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ämäTyökirja"/>
  <mc:AlternateContent xmlns:mc="http://schemas.openxmlformats.org/markup-compatibility/2006">
    <mc:Choice Requires="x15">
      <x15ac:absPath xmlns:x15ac="http://schemas.microsoft.com/office/spreadsheetml/2010/11/ac" url="T:\Kuntakehitys ja Tutkimus\ARTTU2-TUTKIMUSOHJELMA\Osaprojekti_KUNTALAISTUTKIMUS 2017\Excel-sovellus\"/>
    </mc:Choice>
  </mc:AlternateContent>
  <bookViews>
    <workbookView xWindow="-120" yWindow="130" windowWidth="15750" windowHeight="9720"/>
  </bookViews>
  <sheets>
    <sheet name="Etusivu" sheetId="1" r:id="rId1"/>
    <sheet name="work" sheetId="75" state="hidden" r:id="rId2"/>
    <sheet name="Vastauspros" sheetId="11" state="hidden" r:id="rId3"/>
    <sheet name="K11" sheetId="77" state="hidden" r:id="rId4"/>
    <sheet name="K12" sheetId="78" state="hidden" r:id="rId5"/>
    <sheet name="K13" sheetId="79" state="hidden" r:id="rId6"/>
    <sheet name="K14" sheetId="80" state="hidden" r:id="rId7"/>
    <sheet name="K15" sheetId="81" state="hidden" r:id="rId8"/>
    <sheet name="K16" sheetId="82" state="hidden" r:id="rId9"/>
    <sheet name="K22" sheetId="83" state="hidden" r:id="rId10"/>
    <sheet name="K23" sheetId="84" state="hidden" r:id="rId11"/>
    <sheet name="K24" sheetId="85" state="hidden" r:id="rId12"/>
    <sheet name="K17A" sheetId="86" state="hidden" r:id="rId13"/>
    <sheet name="K17B" sheetId="87" state="hidden" r:id="rId14"/>
    <sheet name="K18" sheetId="88" state="hidden" r:id="rId15"/>
    <sheet name="K20A" sheetId="89" state="hidden" r:id="rId16"/>
    <sheet name="K20B" sheetId="90" state="hidden" r:id="rId17"/>
    <sheet name="K25" sheetId="91" state="hidden" r:id="rId18"/>
    <sheet name="K26" sheetId="92" state="hidden" r:id="rId19"/>
    <sheet name="K27" sheetId="93" state="hidden" r:id="rId20"/>
    <sheet name="K28" sheetId="94" state="hidden" r:id="rId21"/>
    <sheet name="K30" sheetId="95" state="hidden" r:id="rId22"/>
    <sheet name="K31" sheetId="96" state="hidden" r:id="rId23"/>
    <sheet name="K32" sheetId="97" state="hidden" r:id="rId24"/>
    <sheet name="K33" sheetId="98" state="hidden" r:id="rId25"/>
    <sheet name="K34" sheetId="99" state="hidden" r:id="rId26"/>
    <sheet name="K35A" sheetId="100" state="hidden" r:id="rId27"/>
    <sheet name="K35B" sheetId="101" state="hidden" r:id="rId28"/>
    <sheet name="K36A" sheetId="102" state="hidden" r:id="rId29"/>
    <sheet name="K36B" sheetId="103" state="hidden" r:id="rId30"/>
    <sheet name="K37" sheetId="104" state="hidden" r:id="rId31"/>
    <sheet name="K38" sheetId="105" state="hidden" r:id="rId32"/>
    <sheet name="K39" sheetId="106" state="hidden" r:id="rId33"/>
  </sheets>
  <externalReferences>
    <externalReference r:id="rId34"/>
  </externalReferences>
  <definedNames>
    <definedName name="AN_koko">work!$B$1</definedName>
    <definedName name="asukasluku">Vastauspros!$A$2:$H$41</definedName>
    <definedName name="Kunnat">Vastauspros!$A$2:$A$41</definedName>
    <definedName name="Kunnat2">Vastauspros!$A$2:$A$41</definedName>
    <definedName name="_xlnm.Print_Area" localSheetId="0">Etusivu!$A$1:$J$1559</definedName>
    <definedName name="vaesto2015">[1]vaesto!$A$2:$B$318</definedName>
  </definedNames>
  <calcPr calcId="162913"/>
</workbook>
</file>

<file path=xl/calcChain.xml><?xml version="1.0" encoding="utf-8"?>
<calcChain xmlns="http://schemas.openxmlformats.org/spreadsheetml/2006/main">
  <c r="D18" i="75" l="1"/>
  <c r="D45" i="75"/>
  <c r="F229" i="75" l="1"/>
  <c r="C7" i="85" l="1"/>
  <c r="C8" i="85"/>
  <c r="C9" i="85"/>
  <c r="C10" i="85"/>
  <c r="C11" i="85"/>
  <c r="C12" i="85"/>
  <c r="C13" i="85"/>
  <c r="C14" i="85"/>
  <c r="C15" i="85"/>
  <c r="C16" i="85"/>
  <c r="C17" i="85"/>
  <c r="C18" i="85"/>
  <c r="C19" i="85"/>
  <c r="C20" i="85"/>
  <c r="C21" i="85"/>
  <c r="C22" i="85"/>
  <c r="C23" i="85"/>
  <c r="C24" i="85"/>
  <c r="C25" i="85"/>
  <c r="C26" i="85"/>
  <c r="C27" i="85"/>
  <c r="C28" i="85"/>
  <c r="C29" i="85"/>
  <c r="C30" i="85"/>
  <c r="C31" i="85"/>
  <c r="C32" i="85"/>
  <c r="C33" i="85"/>
  <c r="C34" i="85"/>
  <c r="C35" i="85"/>
  <c r="C36" i="85"/>
  <c r="C37" i="85"/>
  <c r="C38" i="85"/>
  <c r="C39" i="85"/>
  <c r="C40" i="85"/>
  <c r="C41" i="85"/>
  <c r="C42" i="85"/>
  <c r="C43" i="85"/>
  <c r="C44" i="85"/>
  <c r="C45" i="85"/>
  <c r="C46" i="85"/>
  <c r="A10" i="75" l="1"/>
  <c r="F28" i="75" l="1"/>
  <c r="F318" i="75"/>
  <c r="F343" i="75"/>
  <c r="F332" i="75"/>
  <c r="F285" i="75"/>
  <c r="F266" i="75"/>
  <c r="F259" i="75"/>
  <c r="F244" i="75"/>
  <c r="F341" i="75"/>
  <c r="F336" i="75"/>
  <c r="F330" i="75"/>
  <c r="F316" i="75"/>
  <c r="F302" i="75"/>
  <c r="F283" i="75"/>
  <c r="F264" i="75"/>
  <c r="F257" i="75"/>
  <c r="F242" i="75"/>
  <c r="F235" i="75"/>
  <c r="F227" i="75"/>
  <c r="F220" i="75"/>
  <c r="F215" i="75"/>
  <c r="F210" i="75"/>
  <c r="F200" i="75"/>
  <c r="F195" i="75"/>
  <c r="F191" i="75"/>
  <c r="F183" i="75"/>
  <c r="F175" i="75"/>
  <c r="F159" i="75"/>
  <c r="F149" i="75"/>
  <c r="F47" i="75"/>
  <c r="F127" i="75"/>
  <c r="F111" i="75"/>
  <c r="F101" i="75"/>
  <c r="F91" i="75"/>
  <c r="F139" i="75"/>
  <c r="F38" i="75"/>
  <c r="F26" i="75"/>
  <c r="F23" i="75"/>
  <c r="F44" i="75"/>
  <c r="F41" i="75"/>
  <c r="F12" i="75"/>
  <c r="F9" i="75"/>
  <c r="F6" i="75"/>
  <c r="F83" i="75"/>
  <c r="F67" i="75"/>
  <c r="F57" i="75"/>
  <c r="F202" i="75"/>
  <c r="F3" i="75"/>
  <c r="E341" i="75" l="1"/>
  <c r="E336" i="75"/>
  <c r="E330" i="75"/>
  <c r="E316" i="75"/>
  <c r="E302" i="75"/>
  <c r="E283" i="75"/>
  <c r="E264" i="75"/>
  <c r="E257" i="75"/>
  <c r="E242" i="75"/>
  <c r="E235" i="75"/>
  <c r="E227" i="75"/>
  <c r="E220" i="75"/>
  <c r="E215" i="75"/>
  <c r="E210" i="75"/>
  <c r="E200" i="75"/>
  <c r="E195" i="75"/>
  <c r="E191" i="75"/>
  <c r="E183" i="75"/>
  <c r="E139" i="75"/>
  <c r="E91" i="75"/>
  <c r="E47" i="75"/>
  <c r="E44" i="75"/>
  <c r="E41" i="75"/>
  <c r="E38" i="75"/>
  <c r="E26" i="75"/>
  <c r="E23" i="75"/>
  <c r="E12" i="75"/>
  <c r="E9" i="75"/>
  <c r="E6" i="75"/>
  <c r="E342" i="75"/>
  <c r="F342" i="75" s="1"/>
  <c r="E337" i="75"/>
  <c r="F337" i="75" s="1"/>
  <c r="E331" i="75"/>
  <c r="F331" i="75" s="1"/>
  <c r="E317" i="75"/>
  <c r="F317" i="75" s="1"/>
  <c r="E303" i="75"/>
  <c r="F303" i="75" s="1"/>
  <c r="E265" i="75"/>
  <c r="F265" i="75" s="1"/>
  <c r="E258" i="75"/>
  <c r="F258" i="75" s="1"/>
  <c r="E243" i="75"/>
  <c r="F243" i="75" s="1"/>
  <c r="E236" i="75"/>
  <c r="F236" i="75" s="1"/>
  <c r="E228" i="75"/>
  <c r="F228" i="75" s="1"/>
  <c r="E221" i="75"/>
  <c r="F221" i="75" s="1"/>
  <c r="E216" i="75"/>
  <c r="F216" i="75" s="1"/>
  <c r="E211" i="75"/>
  <c r="F211" i="75" s="1"/>
  <c r="E201" i="75"/>
  <c r="F201" i="75" s="1"/>
  <c r="E196" i="75"/>
  <c r="F196" i="75" s="1"/>
  <c r="E192" i="75"/>
  <c r="F192" i="75" s="1"/>
  <c r="E184" i="75"/>
  <c r="F184" i="75" s="1"/>
  <c r="E140" i="75"/>
  <c r="F140" i="75" s="1"/>
  <c r="E92" i="75"/>
  <c r="F92" i="75" s="1"/>
  <c r="B208" i="75"/>
  <c r="B207" i="75"/>
  <c r="B206" i="75"/>
  <c r="B205" i="75"/>
  <c r="B204" i="75"/>
  <c r="B203" i="75"/>
  <c r="B202" i="75"/>
  <c r="D208" i="75"/>
  <c r="D207" i="75"/>
  <c r="D206" i="75"/>
  <c r="D205" i="75"/>
  <c r="D204" i="75"/>
  <c r="D203" i="75"/>
  <c r="D202" i="75"/>
  <c r="B137" i="75"/>
  <c r="B136" i="75"/>
  <c r="B135" i="75"/>
  <c r="B134" i="75"/>
  <c r="B133" i="75"/>
  <c r="B132" i="75"/>
  <c r="B131" i="75"/>
  <c r="B130" i="75"/>
  <c r="B129" i="75"/>
  <c r="B128" i="75"/>
  <c r="B126" i="75"/>
  <c r="B125" i="75"/>
  <c r="B124" i="75"/>
  <c r="B123" i="75"/>
  <c r="B122" i="75"/>
  <c r="B121" i="75"/>
  <c r="B120" i="75"/>
  <c r="B119" i="75"/>
  <c r="B118" i="75"/>
  <c r="B117" i="75"/>
  <c r="B116" i="75"/>
  <c r="B115" i="75"/>
  <c r="B114" i="75"/>
  <c r="B113" i="75"/>
  <c r="B112" i="75"/>
  <c r="B110" i="75"/>
  <c r="B109" i="75"/>
  <c r="B108" i="75"/>
  <c r="B107" i="75"/>
  <c r="B106" i="75"/>
  <c r="B105" i="75"/>
  <c r="B104" i="75"/>
  <c r="B103" i="75"/>
  <c r="B102" i="75"/>
  <c r="B100" i="75"/>
  <c r="B99" i="75"/>
  <c r="B98" i="75"/>
  <c r="B97" i="75"/>
  <c r="B96" i="75"/>
  <c r="B95" i="75"/>
  <c r="B94" i="75"/>
  <c r="B93" i="75"/>
  <c r="B92" i="75"/>
  <c r="D189" i="75"/>
  <c r="D188" i="75"/>
  <c r="D187" i="75"/>
  <c r="D186" i="75"/>
  <c r="E284" i="75" l="1"/>
  <c r="F284" i="75" s="1"/>
  <c r="B6" i="75"/>
  <c r="B7" i="75"/>
  <c r="D7" i="75"/>
  <c r="E45" i="75"/>
  <c r="F45" i="75" s="1"/>
  <c r="E42" i="75"/>
  <c r="F42" i="75" s="1"/>
  <c r="E39" i="75"/>
  <c r="F39" i="75" s="1"/>
  <c r="E27" i="75"/>
  <c r="F27" i="75" s="1"/>
  <c r="E24" i="75"/>
  <c r="F24" i="75" s="1"/>
  <c r="E13" i="75"/>
  <c r="F13" i="75" s="1"/>
  <c r="E10" i="75"/>
  <c r="F10" i="75" s="1"/>
  <c r="E7" i="75"/>
  <c r="F7" i="75" s="1"/>
  <c r="E4" i="75"/>
  <c r="F4" i="75" s="1"/>
  <c r="E48" i="75"/>
  <c r="F48" i="75" s="1"/>
  <c r="D89" i="75"/>
  <c r="D88" i="75"/>
  <c r="D87" i="75"/>
  <c r="D86" i="75"/>
  <c r="D85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69" i="75"/>
  <c r="D68" i="75"/>
  <c r="D352" i="75"/>
  <c r="B352" i="75"/>
  <c r="D351" i="75"/>
  <c r="D350" i="75"/>
  <c r="D349" i="75"/>
  <c r="D348" i="75"/>
  <c r="D347" i="75"/>
  <c r="D346" i="75"/>
  <c r="D345" i="75"/>
  <c r="D344" i="75"/>
  <c r="D343" i="75"/>
  <c r="B351" i="75"/>
  <c r="B350" i="75"/>
  <c r="B349" i="75"/>
  <c r="B348" i="75"/>
  <c r="B347" i="75"/>
  <c r="B346" i="75"/>
  <c r="B345" i="75"/>
  <c r="B344" i="75"/>
  <c r="B343" i="75"/>
  <c r="D339" i="75"/>
  <c r="D338" i="75"/>
  <c r="B339" i="75"/>
  <c r="B338" i="75"/>
  <c r="D334" i="75"/>
  <c r="D333" i="75"/>
  <c r="D332" i="75"/>
  <c r="B334" i="75"/>
  <c r="B333" i="75"/>
  <c r="B332" i="75"/>
  <c r="D328" i="75"/>
  <c r="D327" i="75"/>
  <c r="D326" i="75"/>
  <c r="D325" i="75"/>
  <c r="D324" i="75"/>
  <c r="D323" i="75"/>
  <c r="D322" i="75"/>
  <c r="D321" i="75"/>
  <c r="D320" i="75"/>
  <c r="D319" i="75"/>
  <c r="D318" i="75"/>
  <c r="B328" i="75"/>
  <c r="B327" i="75"/>
  <c r="B326" i="75"/>
  <c r="B325" i="75"/>
  <c r="B324" i="75"/>
  <c r="B323" i="75"/>
  <c r="B322" i="75"/>
  <c r="B321" i="75"/>
  <c r="B320" i="75"/>
  <c r="B319" i="75"/>
  <c r="B318" i="75"/>
  <c r="D314" i="75"/>
  <c r="D313" i="75"/>
  <c r="D312" i="75"/>
  <c r="D311" i="75"/>
  <c r="D310" i="75"/>
  <c r="D309" i="75"/>
  <c r="D308" i="75"/>
  <c r="D307" i="75"/>
  <c r="D306" i="75"/>
  <c r="D305" i="75"/>
  <c r="D304" i="75"/>
  <c r="B314" i="75"/>
  <c r="B313" i="75"/>
  <c r="B312" i="75"/>
  <c r="B311" i="75"/>
  <c r="B310" i="75"/>
  <c r="B309" i="75"/>
  <c r="B308" i="75"/>
  <c r="B307" i="75"/>
  <c r="B306" i="75"/>
  <c r="B305" i="75"/>
  <c r="B304" i="75"/>
  <c r="D300" i="75"/>
  <c r="D299" i="75"/>
  <c r="D298" i="75"/>
  <c r="D297" i="75"/>
  <c r="D296" i="75"/>
  <c r="D295" i="75"/>
  <c r="D294" i="75"/>
  <c r="D293" i="75"/>
  <c r="D292" i="75"/>
  <c r="D291" i="75"/>
  <c r="D290" i="75"/>
  <c r="D289" i="75"/>
  <c r="D288" i="75"/>
  <c r="D287" i="75"/>
  <c r="D286" i="75"/>
  <c r="D285" i="75"/>
  <c r="B300" i="75"/>
  <c r="B299" i="75"/>
  <c r="B298" i="75"/>
  <c r="B297" i="75"/>
  <c r="B296" i="75"/>
  <c r="B295" i="75"/>
  <c r="B294" i="75"/>
  <c r="B293" i="75"/>
  <c r="B292" i="75"/>
  <c r="B291" i="75"/>
  <c r="B290" i="75"/>
  <c r="B289" i="75"/>
  <c r="B288" i="75"/>
  <c r="B287" i="75"/>
  <c r="B286" i="75"/>
  <c r="B285" i="75"/>
  <c r="B284" i="75"/>
  <c r="B281" i="75"/>
  <c r="B280" i="75"/>
  <c r="B279" i="75"/>
  <c r="B278" i="75"/>
  <c r="B277" i="75"/>
  <c r="B276" i="75"/>
  <c r="B275" i="75"/>
  <c r="B274" i="75"/>
  <c r="B273" i="75"/>
  <c r="B272" i="75"/>
  <c r="B271" i="75"/>
  <c r="B270" i="75"/>
  <c r="B269" i="75"/>
  <c r="B268" i="75"/>
  <c r="B267" i="75"/>
  <c r="B266" i="75"/>
  <c r="B262" i="75"/>
  <c r="B261" i="75"/>
  <c r="B260" i="75"/>
  <c r="B259" i="75"/>
  <c r="D281" i="75"/>
  <c r="D280" i="75"/>
  <c r="D279" i="75"/>
  <c r="D278" i="75"/>
  <c r="D277" i="75"/>
  <c r="D276" i="75"/>
  <c r="D275" i="75"/>
  <c r="D274" i="75"/>
  <c r="D273" i="75"/>
  <c r="D272" i="75"/>
  <c r="D271" i="75"/>
  <c r="D270" i="75"/>
  <c r="D269" i="75"/>
  <c r="D268" i="75"/>
  <c r="D267" i="75"/>
  <c r="D266" i="75"/>
  <c r="D262" i="75"/>
  <c r="D261" i="75"/>
  <c r="D260" i="75"/>
  <c r="D259" i="75"/>
  <c r="D342" i="75"/>
  <c r="D337" i="75"/>
  <c r="D331" i="75"/>
  <c r="D317" i="75"/>
  <c r="D303" i="75"/>
  <c r="D284" i="75"/>
  <c r="D265" i="75"/>
  <c r="D258" i="75"/>
  <c r="B342" i="75"/>
  <c r="B337" i="75"/>
  <c r="B331" i="75"/>
  <c r="B317" i="75"/>
  <c r="B303" i="75"/>
  <c r="B265" i="75"/>
  <c r="B258" i="75"/>
  <c r="D255" i="75"/>
  <c r="D254" i="75"/>
  <c r="D253" i="75"/>
  <c r="D252" i="75"/>
  <c r="D251" i="75"/>
  <c r="D250" i="75"/>
  <c r="D249" i="75"/>
  <c r="D248" i="75"/>
  <c r="D247" i="75"/>
  <c r="D246" i="75"/>
  <c r="D245" i="75"/>
  <c r="D244" i="75"/>
  <c r="B255" i="75"/>
  <c r="B254" i="75"/>
  <c r="B253" i="75"/>
  <c r="B252" i="75"/>
  <c r="B251" i="75"/>
  <c r="B250" i="75"/>
  <c r="B249" i="75"/>
  <c r="B248" i="75"/>
  <c r="B247" i="75"/>
  <c r="B246" i="75"/>
  <c r="B245" i="75"/>
  <c r="B244" i="75"/>
  <c r="B243" i="75"/>
  <c r="D243" i="75"/>
  <c r="D240" i="75"/>
  <c r="D239" i="75"/>
  <c r="D238" i="75"/>
  <c r="D237" i="75"/>
  <c r="B240" i="75"/>
  <c r="B239" i="75"/>
  <c r="B238" i="75"/>
  <c r="B237" i="75"/>
  <c r="D236" i="75"/>
  <c r="B236" i="75"/>
  <c r="D233" i="75"/>
  <c r="D232" i="75"/>
  <c r="D231" i="75"/>
  <c r="D230" i="75"/>
  <c r="D229" i="75"/>
  <c r="D228" i="75"/>
  <c r="B233" i="75"/>
  <c r="B232" i="75"/>
  <c r="B231" i="75"/>
  <c r="B230" i="75"/>
  <c r="B229" i="75"/>
  <c r="B228" i="75"/>
  <c r="D225" i="75"/>
  <c r="D224" i="75"/>
  <c r="D223" i="75"/>
  <c r="D222" i="75"/>
  <c r="D221" i="75"/>
  <c r="D218" i="75"/>
  <c r="D217" i="75"/>
  <c r="D216" i="75"/>
  <c r="B225" i="75"/>
  <c r="B224" i="75"/>
  <c r="B223" i="75"/>
  <c r="B222" i="75"/>
  <c r="B221" i="75"/>
  <c r="B218" i="75"/>
  <c r="B217" i="75"/>
  <c r="B216" i="75"/>
  <c r="D213" i="75"/>
  <c r="D212" i="75"/>
  <c r="D211" i="75"/>
  <c r="B213" i="75"/>
  <c r="B212" i="75"/>
  <c r="B211" i="75"/>
  <c r="B201" i="75"/>
  <c r="D201" i="75"/>
  <c r="D198" i="75"/>
  <c r="D197" i="75"/>
  <c r="B198" i="75"/>
  <c r="B197" i="75"/>
  <c r="B196" i="75"/>
  <c r="D196" i="75"/>
  <c r="D193" i="75"/>
  <c r="B193" i="75"/>
  <c r="D192" i="75"/>
  <c r="D185" i="75"/>
  <c r="D184" i="75"/>
  <c r="B192" i="75"/>
  <c r="B189" i="75"/>
  <c r="B188" i="75"/>
  <c r="B187" i="75"/>
  <c r="B186" i="75"/>
  <c r="B185" i="75"/>
  <c r="B184" i="75"/>
  <c r="D181" i="75"/>
  <c r="D180" i="75"/>
  <c r="D179" i="75"/>
  <c r="D178" i="75"/>
  <c r="D177" i="75"/>
  <c r="B181" i="75"/>
  <c r="B180" i="75"/>
  <c r="B179" i="75"/>
  <c r="B178" i="75"/>
  <c r="B177" i="75"/>
  <c r="D176" i="75"/>
  <c r="B176" i="75"/>
  <c r="D174" i="75"/>
  <c r="D173" i="75"/>
  <c r="D172" i="75"/>
  <c r="D171" i="75"/>
  <c r="D170" i="75"/>
  <c r="D169" i="75"/>
  <c r="D168" i="75"/>
  <c r="D167" i="75"/>
  <c r="D166" i="75"/>
  <c r="D165" i="75"/>
  <c r="D164" i="75"/>
  <c r="D163" i="75"/>
  <c r="D162" i="75"/>
  <c r="D161" i="75"/>
  <c r="B174" i="75"/>
  <c r="B173" i="75"/>
  <c r="B172" i="75"/>
  <c r="B171" i="75"/>
  <c r="B170" i="75"/>
  <c r="B169" i="75"/>
  <c r="B168" i="75"/>
  <c r="B167" i="75"/>
  <c r="B166" i="75"/>
  <c r="B165" i="75"/>
  <c r="B164" i="75"/>
  <c r="B163" i="75"/>
  <c r="B162" i="75"/>
  <c r="B161" i="75"/>
  <c r="D160" i="75"/>
  <c r="B160" i="75"/>
  <c r="D158" i="75"/>
  <c r="D157" i="75"/>
  <c r="D156" i="75"/>
  <c r="D155" i="75"/>
  <c r="D154" i="75"/>
  <c r="D153" i="75"/>
  <c r="D152" i="75"/>
  <c r="D151" i="75"/>
  <c r="B158" i="75"/>
  <c r="B157" i="75"/>
  <c r="B156" i="75"/>
  <c r="B155" i="75"/>
  <c r="B154" i="75"/>
  <c r="B153" i="75"/>
  <c r="B152" i="75"/>
  <c r="B151" i="75"/>
  <c r="D150" i="75"/>
  <c r="B150" i="75"/>
  <c r="D148" i="75"/>
  <c r="D147" i="75"/>
  <c r="D146" i="75"/>
  <c r="D145" i="75"/>
  <c r="D144" i="75"/>
  <c r="D143" i="75"/>
  <c r="D142" i="75"/>
  <c r="D141" i="75"/>
  <c r="B148" i="75"/>
  <c r="B147" i="75"/>
  <c r="B146" i="75"/>
  <c r="B145" i="75"/>
  <c r="B144" i="75"/>
  <c r="B143" i="75"/>
  <c r="B142" i="75"/>
  <c r="B141" i="75"/>
  <c r="D140" i="75"/>
  <c r="B140" i="75"/>
  <c r="D137" i="75"/>
  <c r="D136" i="75"/>
  <c r="D135" i="75"/>
  <c r="D134" i="75"/>
  <c r="D133" i="75"/>
  <c r="D132" i="75"/>
  <c r="D131" i="75"/>
  <c r="D130" i="75"/>
  <c r="D129" i="75"/>
  <c r="D128" i="75"/>
  <c r="D126" i="75"/>
  <c r="D125" i="75"/>
  <c r="D124" i="75"/>
  <c r="D123" i="75"/>
  <c r="D122" i="75" l="1"/>
  <c r="D121" i="75"/>
  <c r="D120" i="75"/>
  <c r="D119" i="75"/>
  <c r="D118" i="75"/>
  <c r="D117" i="75"/>
  <c r="D116" i="75"/>
  <c r="D115" i="75"/>
  <c r="D114" i="75"/>
  <c r="D113" i="75"/>
  <c r="D112" i="75" l="1"/>
  <c r="D110" i="75"/>
  <c r="D109" i="75"/>
  <c r="D108" i="75"/>
  <c r="D107" i="75"/>
  <c r="D106" i="75"/>
  <c r="D105" i="75"/>
  <c r="D104" i="75"/>
  <c r="D103" i="75"/>
  <c r="D102" i="75"/>
  <c r="D100" i="75"/>
  <c r="D99" i="75"/>
  <c r="D98" i="75"/>
  <c r="D97" i="75"/>
  <c r="D96" i="75"/>
  <c r="D95" i="75"/>
  <c r="D94" i="75"/>
  <c r="D93" i="75"/>
  <c r="D92" i="75"/>
  <c r="B101" i="75"/>
  <c r="B111" i="75"/>
  <c r="B127" i="75"/>
  <c r="B89" i="75"/>
  <c r="B88" i="75"/>
  <c r="B87" i="75"/>
  <c r="B86" i="75"/>
  <c r="B85" i="75"/>
  <c r="B84" i="75"/>
  <c r="D84" i="75"/>
  <c r="B82" i="75"/>
  <c r="B81" i="75"/>
  <c r="B80" i="75"/>
  <c r="B79" i="75"/>
  <c r="B78" i="75"/>
  <c r="B77" i="75"/>
  <c r="B76" i="75"/>
  <c r="B75" i="75"/>
  <c r="B74" i="75"/>
  <c r="B73" i="75"/>
  <c r="B72" i="75"/>
  <c r="B71" i="75"/>
  <c r="B70" i="75"/>
  <c r="B69" i="75"/>
  <c r="B68" i="75"/>
  <c r="D66" i="75"/>
  <c r="D65" i="75"/>
  <c r="D64" i="75"/>
  <c r="D63" i="75"/>
  <c r="D62" i="75"/>
  <c r="D61" i="75"/>
  <c r="D60" i="75"/>
  <c r="D59" i="75"/>
  <c r="B66" i="75"/>
  <c r="B65" i="75"/>
  <c r="B64" i="75"/>
  <c r="B63" i="75"/>
  <c r="B62" i="75"/>
  <c r="B61" i="75"/>
  <c r="B60" i="75"/>
  <c r="B59" i="75"/>
  <c r="D58" i="75"/>
  <c r="B58" i="75"/>
  <c r="D56" i="75"/>
  <c r="D55" i="75"/>
  <c r="D54" i="75"/>
  <c r="D53" i="75"/>
  <c r="D52" i="75"/>
  <c r="D51" i="75"/>
  <c r="D50" i="75"/>
  <c r="D49" i="75"/>
  <c r="B56" i="75"/>
  <c r="B55" i="75"/>
  <c r="B54" i="75"/>
  <c r="B53" i="75"/>
  <c r="B52" i="75"/>
  <c r="B51" i="75"/>
  <c r="B50" i="75"/>
  <c r="B49" i="75"/>
  <c r="B48" i="75"/>
  <c r="D48" i="75"/>
  <c r="B47" i="75"/>
  <c r="B45" i="75" l="1"/>
  <c r="D42" i="75"/>
  <c r="D39" i="75"/>
  <c r="B42" i="75"/>
  <c r="B39" i="75"/>
  <c r="D36" i="75"/>
  <c r="D35" i="75"/>
  <c r="D34" i="75"/>
  <c r="D33" i="75"/>
  <c r="D32" i="75"/>
  <c r="D31" i="75"/>
  <c r="D30" i="75"/>
  <c r="D29" i="75"/>
  <c r="D28" i="75"/>
  <c r="D27" i="75"/>
  <c r="B36" i="75"/>
  <c r="B35" i="75"/>
  <c r="B34" i="75"/>
  <c r="B33" i="75"/>
  <c r="B32" i="75"/>
  <c r="B31" i="75"/>
  <c r="B30" i="75"/>
  <c r="B28" i="75"/>
  <c r="B27" i="75"/>
  <c r="B26" i="75"/>
  <c r="B29" i="75"/>
  <c r="D24" i="75"/>
  <c r="B24" i="75"/>
  <c r="D1" i="75"/>
  <c r="C1" i="75" s="1"/>
  <c r="D21" i="75"/>
  <c r="D20" i="75"/>
  <c r="D19" i="75"/>
  <c r="D17" i="75"/>
  <c r="D16" i="75"/>
  <c r="D15" i="75"/>
  <c r="D14" i="75"/>
  <c r="D13" i="75"/>
  <c r="B21" i="75"/>
  <c r="B20" i="75"/>
  <c r="B19" i="75"/>
  <c r="B18" i="75"/>
  <c r="B17" i="75"/>
  <c r="B16" i="75"/>
  <c r="B15" i="75"/>
  <c r="B14" i="75"/>
  <c r="B13" i="75"/>
  <c r="D10" i="75"/>
  <c r="B10" i="75"/>
  <c r="B341" i="75"/>
  <c r="B336" i="75"/>
  <c r="B330" i="75"/>
  <c r="B316" i="75"/>
  <c r="B302" i="75"/>
  <c r="B283" i="75"/>
  <c r="B264" i="75"/>
  <c r="B257" i="75"/>
  <c r="B242" i="75"/>
  <c r="B235" i="75"/>
  <c r="B227" i="75"/>
  <c r="B16" i="1"/>
  <c r="E16" i="1"/>
  <c r="C16" i="1"/>
  <c r="B220" i="75"/>
  <c r="B215" i="75"/>
  <c r="B210" i="75"/>
  <c r="B200" i="75"/>
  <c r="B195" i="75"/>
  <c r="B191" i="75"/>
  <c r="B183" i="75"/>
  <c r="B175" i="75"/>
  <c r="B159" i="75"/>
  <c r="B149" i="75"/>
  <c r="B139" i="75"/>
  <c r="B91" i="75"/>
  <c r="B83" i="75"/>
  <c r="B67" i="75"/>
  <c r="B57" i="75"/>
  <c r="B44" i="75"/>
  <c r="B41" i="75"/>
  <c r="B38" i="75"/>
  <c r="B23" i="75"/>
  <c r="B12" i="75" l="1"/>
  <c r="B9" i="75"/>
  <c r="D4" i="75" l="1"/>
  <c r="B4" i="75"/>
  <c r="H16" i="1" l="1"/>
  <c r="G16" i="1"/>
  <c r="F16" i="1"/>
  <c r="D3" i="75" l="1"/>
  <c r="B1" i="75"/>
  <c r="C45" i="75" l="1"/>
  <c r="C89" i="75"/>
  <c r="C85" i="75"/>
  <c r="C80" i="75"/>
  <c r="C76" i="75"/>
  <c r="C72" i="75"/>
  <c r="C68" i="75"/>
  <c r="C65" i="75"/>
  <c r="C59" i="75"/>
  <c r="C54" i="75"/>
  <c r="C50" i="75"/>
  <c r="C82" i="75"/>
  <c r="C70" i="75"/>
  <c r="C63" i="75"/>
  <c r="C56" i="75"/>
  <c r="C48" i="75"/>
  <c r="C81" i="75"/>
  <c r="C69" i="75"/>
  <c r="C60" i="75"/>
  <c r="C51" i="75"/>
  <c r="C88" i="75"/>
  <c r="C84" i="75"/>
  <c r="C79" i="75"/>
  <c r="C75" i="75"/>
  <c r="C71" i="75"/>
  <c r="C66" i="75"/>
  <c r="C64" i="75"/>
  <c r="C58" i="75"/>
  <c r="C53" i="75"/>
  <c r="C49" i="75"/>
  <c r="C87" i="75"/>
  <c r="C78" i="75"/>
  <c r="C74" i="75"/>
  <c r="C62" i="75"/>
  <c r="C52" i="75"/>
  <c r="C86" i="75"/>
  <c r="C77" i="75"/>
  <c r="C73" i="75"/>
  <c r="C61" i="75"/>
  <c r="C55" i="75"/>
  <c r="D6" i="75"/>
  <c r="D127" i="75"/>
  <c r="D111" i="75"/>
  <c r="D101" i="75"/>
  <c r="C348" i="75"/>
  <c r="C344" i="75"/>
  <c r="C334" i="75"/>
  <c r="C325" i="75"/>
  <c r="C321" i="75"/>
  <c r="C312" i="75"/>
  <c r="C308" i="75"/>
  <c r="C304" i="75"/>
  <c r="C300" i="75"/>
  <c r="C296" i="75"/>
  <c r="C292" i="75"/>
  <c r="C288" i="75"/>
  <c r="C278" i="75"/>
  <c r="C274" i="75"/>
  <c r="C270" i="75"/>
  <c r="C266" i="75"/>
  <c r="C259" i="75"/>
  <c r="C337" i="75"/>
  <c r="C317" i="75"/>
  <c r="C284" i="75"/>
  <c r="C258" i="75"/>
  <c r="C255" i="75"/>
  <c r="C251" i="75"/>
  <c r="C247" i="75"/>
  <c r="C239" i="75"/>
  <c r="C236" i="75"/>
  <c r="C232" i="75"/>
  <c r="C225" i="75"/>
  <c r="C218" i="75"/>
  <c r="C205" i="75"/>
  <c r="C201" i="75"/>
  <c r="C197" i="75"/>
  <c r="C186" i="75"/>
  <c r="C180" i="75"/>
  <c r="C172" i="75"/>
  <c r="C168" i="75"/>
  <c r="C164" i="75"/>
  <c r="C155" i="75"/>
  <c r="C151" i="75"/>
  <c r="C148" i="75"/>
  <c r="C144" i="75"/>
  <c r="C137" i="75"/>
  <c r="C133" i="75"/>
  <c r="C129" i="75"/>
  <c r="C332" i="75"/>
  <c r="C323" i="75"/>
  <c r="C298" i="75"/>
  <c r="C286" i="75"/>
  <c r="C280" i="75"/>
  <c r="C276" i="75"/>
  <c r="C272" i="75"/>
  <c r="C207" i="75"/>
  <c r="C188" i="75"/>
  <c r="C166" i="75"/>
  <c r="C351" i="75"/>
  <c r="C347" i="75"/>
  <c r="C343" i="75"/>
  <c r="C339" i="75"/>
  <c r="C333" i="75"/>
  <c r="C328" i="75"/>
  <c r="C324" i="75"/>
  <c r="C320" i="75"/>
  <c r="C311" i="75"/>
  <c r="C307" i="75"/>
  <c r="C299" i="75"/>
  <c r="C295" i="75"/>
  <c r="C291" i="75"/>
  <c r="C287" i="75"/>
  <c r="C281" i="75"/>
  <c r="C277" i="75"/>
  <c r="C273" i="75"/>
  <c r="C269" i="75"/>
  <c r="C262" i="75"/>
  <c r="C254" i="75"/>
  <c r="C250" i="75"/>
  <c r="C246" i="75"/>
  <c r="C238" i="75"/>
  <c r="C231" i="75"/>
  <c r="C228" i="75"/>
  <c r="C224" i="75"/>
  <c r="C221" i="75"/>
  <c r="C217" i="75"/>
  <c r="C213" i="75"/>
  <c r="C208" i="75"/>
  <c r="C204" i="75"/>
  <c r="C196" i="75"/>
  <c r="C189" i="75"/>
  <c r="C185" i="75"/>
  <c r="C179" i="75"/>
  <c r="C171" i="75"/>
  <c r="C167" i="75"/>
  <c r="C163" i="75"/>
  <c r="C158" i="75"/>
  <c r="C154" i="75"/>
  <c r="C147" i="75"/>
  <c r="C143" i="75"/>
  <c r="C140" i="75"/>
  <c r="C136" i="75"/>
  <c r="C132" i="75"/>
  <c r="C352" i="75"/>
  <c r="C350" i="75"/>
  <c r="C346" i="75"/>
  <c r="C338" i="75"/>
  <c r="C314" i="75"/>
  <c r="C310" i="75"/>
  <c r="C306" i="75"/>
  <c r="C268" i="75"/>
  <c r="C261" i="75"/>
  <c r="C342" i="75"/>
  <c r="C303" i="75"/>
  <c r="C253" i="75"/>
  <c r="C245" i="75"/>
  <c r="C230" i="75"/>
  <c r="C184" i="75"/>
  <c r="C153" i="75"/>
  <c r="C150" i="75"/>
  <c r="C146" i="75"/>
  <c r="C142" i="75"/>
  <c r="C7" i="75"/>
  <c r="C349" i="75"/>
  <c r="C345" i="75"/>
  <c r="C326" i="75"/>
  <c r="C322" i="75"/>
  <c r="C318" i="75"/>
  <c r="C313" i="75"/>
  <c r="C309" i="75"/>
  <c r="C305" i="75"/>
  <c r="C297" i="75"/>
  <c r="C293" i="75"/>
  <c r="C289" i="75"/>
  <c r="C285" i="75"/>
  <c r="C279" i="75"/>
  <c r="C275" i="75"/>
  <c r="C271" i="75"/>
  <c r="C267" i="75"/>
  <c r="C260" i="75"/>
  <c r="C252" i="75"/>
  <c r="C248" i="75"/>
  <c r="C244" i="75"/>
  <c r="C240" i="75"/>
  <c r="C233" i="75"/>
  <c r="C229" i="75"/>
  <c r="C222" i="75"/>
  <c r="C216" i="75"/>
  <c r="C211" i="75"/>
  <c r="C206" i="75"/>
  <c r="C202" i="75"/>
  <c r="C198" i="75"/>
  <c r="C193" i="75"/>
  <c r="C187" i="75"/>
  <c r="C181" i="75"/>
  <c r="C177" i="75"/>
  <c r="C173" i="75"/>
  <c r="C169" i="75"/>
  <c r="C165" i="75"/>
  <c r="C161" i="75"/>
  <c r="C160" i="75"/>
  <c r="C156" i="75"/>
  <c r="C152" i="75"/>
  <c r="C145" i="75"/>
  <c r="C141" i="75"/>
  <c r="C134" i="75"/>
  <c r="C130" i="75"/>
  <c r="C128" i="75"/>
  <c r="C327" i="75"/>
  <c r="C319" i="75"/>
  <c r="C294" i="75"/>
  <c r="C290" i="75"/>
  <c r="C331" i="75"/>
  <c r="C265" i="75"/>
  <c r="C249" i="75"/>
  <c r="C243" i="75"/>
  <c r="C237" i="75"/>
  <c r="C223" i="75"/>
  <c r="C212" i="75"/>
  <c r="C203" i="75"/>
  <c r="C192" i="75"/>
  <c r="C178" i="75"/>
  <c r="C176" i="75"/>
  <c r="C174" i="75"/>
  <c r="C170" i="75"/>
  <c r="C162" i="75"/>
  <c r="C157" i="75"/>
  <c r="C135" i="75"/>
  <c r="C131" i="75"/>
  <c r="C123" i="75"/>
  <c r="C119" i="75"/>
  <c r="C115" i="75"/>
  <c r="C122" i="75"/>
  <c r="C118" i="75"/>
  <c r="C124" i="75"/>
  <c r="C121" i="75"/>
  <c r="C117" i="75"/>
  <c r="C113" i="75"/>
  <c r="C125" i="75"/>
  <c r="C120" i="75"/>
  <c r="C116" i="75"/>
  <c r="C126" i="75"/>
  <c r="C114" i="75"/>
  <c r="C109" i="75"/>
  <c r="C105" i="75"/>
  <c r="C99" i="75"/>
  <c r="C95" i="75"/>
  <c r="C112" i="75"/>
  <c r="C108" i="75"/>
  <c r="C104" i="75"/>
  <c r="C102" i="75"/>
  <c r="C98" i="75"/>
  <c r="C94" i="75"/>
  <c r="C106" i="75"/>
  <c r="C107" i="75"/>
  <c r="C103" i="75"/>
  <c r="C97" i="75"/>
  <c r="C93" i="75"/>
  <c r="C110" i="75"/>
  <c r="C100" i="75"/>
  <c r="C96" i="75"/>
  <c r="C92" i="75"/>
  <c r="C42" i="75"/>
  <c r="C35" i="75"/>
  <c r="C31" i="75"/>
  <c r="C27" i="75"/>
  <c r="C34" i="75"/>
  <c r="C30" i="75"/>
  <c r="C24" i="75"/>
  <c r="C36" i="75"/>
  <c r="C32" i="75"/>
  <c r="C28" i="75"/>
  <c r="C39" i="75"/>
  <c r="C33" i="75"/>
  <c r="C29" i="75"/>
  <c r="C13" i="75"/>
  <c r="C18" i="75"/>
  <c r="C14" i="75"/>
  <c r="C16" i="75"/>
  <c r="C15" i="75"/>
  <c r="C21" i="75"/>
  <c r="C17" i="75"/>
  <c r="C20" i="75"/>
  <c r="C19" i="75"/>
  <c r="C10" i="75"/>
  <c r="D336" i="75"/>
  <c r="D341" i="75"/>
  <c r="D330" i="75"/>
  <c r="D264" i="75"/>
  <c r="D227" i="75"/>
  <c r="D283" i="75"/>
  <c r="D235" i="75"/>
  <c r="D242" i="75"/>
  <c r="D316" i="75"/>
  <c r="D257" i="75"/>
  <c r="D302" i="75"/>
  <c r="D220" i="75"/>
  <c r="D210" i="75"/>
  <c r="D195" i="75"/>
  <c r="D183" i="75"/>
  <c r="D159" i="75"/>
  <c r="D139" i="75"/>
  <c r="D91" i="75"/>
  <c r="D67" i="75"/>
  <c r="D215" i="75"/>
  <c r="D200" i="75"/>
  <c r="D191" i="75"/>
  <c r="D175" i="75"/>
  <c r="D149" i="75"/>
  <c r="D83" i="75"/>
  <c r="D57" i="75"/>
  <c r="D47" i="75"/>
  <c r="D26" i="75"/>
  <c r="D44" i="75"/>
  <c r="D23" i="75"/>
  <c r="D38" i="75"/>
  <c r="D41" i="75"/>
  <c r="D12" i="75"/>
  <c r="D9" i="75"/>
  <c r="C4" i="75"/>
  <c r="C3" i="75"/>
  <c r="C6" i="75" l="1"/>
  <c r="C127" i="75"/>
  <c r="C111" i="75"/>
  <c r="C101" i="75"/>
  <c r="C336" i="75"/>
  <c r="C341" i="75"/>
  <c r="C316" i="75"/>
  <c r="C257" i="75"/>
  <c r="C264" i="75"/>
  <c r="C227" i="75"/>
  <c r="C283" i="75"/>
  <c r="C235" i="75"/>
  <c r="C302" i="75"/>
  <c r="C242" i="75"/>
  <c r="C330" i="75"/>
  <c r="C220" i="75"/>
  <c r="C195" i="75"/>
  <c r="C200" i="75"/>
  <c r="C175" i="75"/>
  <c r="C83" i="75"/>
  <c r="C183" i="75"/>
  <c r="C139" i="75"/>
  <c r="C91" i="75"/>
  <c r="C215" i="75"/>
  <c r="C191" i="75"/>
  <c r="C149" i="75"/>
  <c r="C57" i="75"/>
  <c r="C159" i="75"/>
  <c r="C67" i="75"/>
  <c r="C210" i="75"/>
  <c r="C44" i="75"/>
  <c r="C23" i="75"/>
  <c r="C41" i="75"/>
  <c r="C47" i="75"/>
  <c r="C26" i="75"/>
  <c r="C38" i="75"/>
  <c r="C9" i="75"/>
  <c r="C12" i="75"/>
</calcChain>
</file>

<file path=xl/sharedStrings.xml><?xml version="1.0" encoding="utf-8"?>
<sst xmlns="http://schemas.openxmlformats.org/spreadsheetml/2006/main" count="3571" uniqueCount="761">
  <si>
    <t>Suomen Kuntaliitto</t>
  </si>
  <si>
    <t>Marianne Pekola-Sjöblom</t>
  </si>
  <si>
    <t>Hirvensalmi</t>
  </si>
  <si>
    <t>Hollola</t>
  </si>
  <si>
    <t>Hämeenlinna</t>
  </si>
  <si>
    <t>Jyväskylä</t>
  </si>
  <si>
    <t>Kotka</t>
  </si>
  <si>
    <t>Kuusamo</t>
  </si>
  <si>
    <t>Lappeenranta</t>
  </si>
  <si>
    <t>Lempäälä</t>
  </si>
  <si>
    <t>Mustasaari</t>
  </si>
  <si>
    <t>Oulu</t>
  </si>
  <si>
    <t>Pudasjärvi</t>
  </si>
  <si>
    <t>Salo</t>
  </si>
  <si>
    <t>Sipoo</t>
  </si>
  <si>
    <t>Turku</t>
  </si>
  <si>
    <t>Vaasa</t>
  </si>
  <si>
    <t>Vimpeli</t>
  </si>
  <si>
    <t>Näpäytä solua ja valitse kunta alasvetovalikosta</t>
  </si>
  <si>
    <t>vastanneet</t>
  </si>
  <si>
    <t>Kunta</t>
  </si>
  <si>
    <t>Kunnan nimi</t>
  </si>
  <si>
    <t>Kemiönsaari</t>
  </si>
  <si>
    <t>Raasepori</t>
  </si>
  <si>
    <t>Vöyri</t>
  </si>
  <si>
    <t xml:space="preserve">Hirvensalmi       </t>
  </si>
  <si>
    <t xml:space="preserve">Hollola           </t>
  </si>
  <si>
    <t xml:space="preserve">Kotka             </t>
  </si>
  <si>
    <t xml:space="preserve">Kuusamo           </t>
  </si>
  <si>
    <t xml:space="preserve">Lempäälä          </t>
  </si>
  <si>
    <t xml:space="preserve">Mustasaari        </t>
  </si>
  <si>
    <t xml:space="preserve">Pudasjärvi        </t>
  </si>
  <si>
    <t xml:space="preserve">Sipoo             </t>
  </si>
  <si>
    <t xml:space="preserve">Turku             </t>
  </si>
  <si>
    <t xml:space="preserve">Vimpeli           </t>
  </si>
  <si>
    <t>Yhteensä</t>
  </si>
  <si>
    <t>otos</t>
  </si>
  <si>
    <t>Otos, lkm</t>
  </si>
  <si>
    <t>Vastanneet, lkm</t>
  </si>
  <si>
    <t>%</t>
  </si>
  <si>
    <t>Vast. lkm</t>
  </si>
  <si>
    <t>kuntanro</t>
  </si>
  <si>
    <t>Askola</t>
  </si>
  <si>
    <t>Espoo</t>
  </si>
  <si>
    <t>Hattula</t>
  </si>
  <si>
    <t xml:space="preserve">Hämeenlinna </t>
  </si>
  <si>
    <t>Inari</t>
  </si>
  <si>
    <t xml:space="preserve">Jyväskylä </t>
  </si>
  <si>
    <t>Kankaanpää</t>
  </si>
  <si>
    <t>Keitele</t>
  </si>
  <si>
    <t>Keuruu</t>
  </si>
  <si>
    <t xml:space="preserve">Kokkola </t>
  </si>
  <si>
    <t xml:space="preserve">Kurikka </t>
  </si>
  <si>
    <t xml:space="preserve">Lappeenranta </t>
  </si>
  <si>
    <t>Liperi</t>
  </si>
  <si>
    <t xml:space="preserve">Mikkeli </t>
  </si>
  <si>
    <t>Nivala</t>
  </si>
  <si>
    <t xml:space="preserve">Oulu </t>
  </si>
  <si>
    <t>Paltamo</t>
  </si>
  <si>
    <t>Parkano</t>
  </si>
  <si>
    <t>Petäjävesi</t>
  </si>
  <si>
    <t>Raisio</t>
  </si>
  <si>
    <t>Rautalampi</t>
  </si>
  <si>
    <t xml:space="preserve">Salo </t>
  </si>
  <si>
    <t>Säkylä</t>
  </si>
  <si>
    <t>Tampere</t>
  </si>
  <si>
    <t>Tornio</t>
  </si>
  <si>
    <t xml:space="preserve">Vaasa </t>
  </si>
  <si>
    <t>Vantaa</t>
  </si>
  <si>
    <t>Kokkola</t>
  </si>
  <si>
    <t>Kurikka</t>
  </si>
  <si>
    <t>Mikkeli</t>
  </si>
  <si>
    <t>Asukasluku 31.12.2014</t>
  </si>
  <si>
    <t>ARTTU2-Tutkimuskunnat</t>
  </si>
  <si>
    <t>alle 5000</t>
  </si>
  <si>
    <t>5000-10000</t>
  </si>
  <si>
    <t>10001-20000</t>
  </si>
  <si>
    <t>20001-50000</t>
  </si>
  <si>
    <t>50001-100000</t>
  </si>
  <si>
    <t>yli 100000</t>
  </si>
  <si>
    <t>Esbo</t>
  </si>
  <si>
    <t>Tavastehus</t>
  </si>
  <si>
    <t>Enare</t>
  </si>
  <si>
    <t>Kimitoön</t>
  </si>
  <si>
    <t>Karleby</t>
  </si>
  <si>
    <t>Villmanstrand</t>
  </si>
  <si>
    <t>S:t Michel</t>
  </si>
  <si>
    <t>Korsholm</t>
  </si>
  <si>
    <t>Uleåborg</t>
  </si>
  <si>
    <t>Raseborg</t>
  </si>
  <si>
    <t>Reso</t>
  </si>
  <si>
    <t>Sibbo</t>
  </si>
  <si>
    <t>Tammerfors</t>
  </si>
  <si>
    <t>Torneå</t>
  </si>
  <si>
    <t>Åbo</t>
  </si>
  <si>
    <t>Vasa</t>
  </si>
  <si>
    <t>Vanda</t>
  </si>
  <si>
    <t>Vörå</t>
  </si>
  <si>
    <t>N</t>
  </si>
  <si>
    <t>Kaikki kunnat (N=40)</t>
  </si>
  <si>
    <t>Sarake1</t>
  </si>
  <si>
    <t>Hyvä asunto</t>
  </si>
  <si>
    <t>Hyvä asuinympäristö</t>
  </si>
  <si>
    <t>Hyvät liikenneyhteydet</t>
  </si>
  <si>
    <t>Hyvät palvelut</t>
  </si>
  <si>
    <t>Perhe ja muut läheiset</t>
  </si>
  <si>
    <t>Yhteisöllisyys ja naapurisuhteet</t>
  </si>
  <si>
    <t>Turvallisuus</t>
  </si>
  <si>
    <t>Hyvät toimeentulomahdollisuudet</t>
  </si>
  <si>
    <t>(</t>
  </si>
  <si>
    <t>)</t>
  </si>
  <si>
    <t>=</t>
  </si>
  <si>
    <t/>
  </si>
  <si>
    <t>Kaikki ARTTU2-kunnat</t>
  </si>
  <si>
    <t>Luonnonläheisyys</t>
  </si>
  <si>
    <t>Askola (5000 - 10 000 as.)</t>
  </si>
  <si>
    <t>Hattula (5000 - 10 000 as.)</t>
  </si>
  <si>
    <t>Inari (5000 - 10 000 as.)</t>
  </si>
  <si>
    <t>Kemiönsaari  (5000 - 10 000 as.)</t>
  </si>
  <si>
    <t>Parkano (5000 - 10 000 as.)</t>
  </si>
  <si>
    <t>Pudasjärvi (5000 - 10 000 as.)</t>
  </si>
  <si>
    <t>Säkylä (5000 - 10 000 as.)</t>
  </si>
  <si>
    <t>Vöyri (5000 - 10 000 as.)</t>
  </si>
  <si>
    <t>Hirvensalmi (alle 5000 as.)</t>
  </si>
  <si>
    <t>Keitele (alle 5000 as.)</t>
  </si>
  <si>
    <t>Paltamo (alle 5000 as.)</t>
  </si>
  <si>
    <t>Petäjävesi (alle 5000 as.)</t>
  </si>
  <si>
    <t>Rautalampi (alle 5000 as.)</t>
  </si>
  <si>
    <t>Vimpeli (alle 5000 as.)</t>
  </si>
  <si>
    <t>Espoo (yli 100 000 as.)</t>
  </si>
  <si>
    <t>Vantaa (yli 100 000 as.)</t>
  </si>
  <si>
    <t>Jyväskylä (yli 100 000 as.)</t>
  </si>
  <si>
    <t>Oulu (yli 100 000 as.)</t>
  </si>
  <si>
    <t xml:space="preserve">Turku (yli 100 000 as.)            </t>
  </si>
  <si>
    <t>Tampere (yli 100 000 as.)</t>
  </si>
  <si>
    <t xml:space="preserve">Hollola (20 001 - 50 000 as.)  </t>
  </si>
  <si>
    <t xml:space="preserve">Kokkola (20 001 - 50 000 as.)  </t>
  </si>
  <si>
    <t xml:space="preserve">Kurikka (20 001 - 50 000 as.)  </t>
  </si>
  <si>
    <t xml:space="preserve">Lempäälä (20 001 - 50 000 as.)           </t>
  </si>
  <si>
    <t xml:space="preserve">Raasepori (20 001 - 50 000 as.)  </t>
  </si>
  <si>
    <t xml:space="preserve">Raisio (20 001 - 50 000 as.)  </t>
  </si>
  <si>
    <t xml:space="preserve">Tornio (20 001 - 50 000 as.)  </t>
  </si>
  <si>
    <t>Salo (50 0001 - 100 000 as.)</t>
  </si>
  <si>
    <t>Vaasa (50 0001 - 100 000 as.)</t>
  </si>
  <si>
    <t xml:space="preserve">Kotka (50 0001 - 100 000 as.)             </t>
  </si>
  <si>
    <t>Hämeenlinna (50 001 - 100 000 as.)</t>
  </si>
  <si>
    <t>Mikkeli (50 0001 - 100 000 as.)</t>
  </si>
  <si>
    <t>Lappeenranta (50 0001 - 100 000 as.)</t>
  </si>
  <si>
    <t>Mustasaari (10 001 - 20 000 as.)</t>
  </si>
  <si>
    <t>Nivala (10 001 - 20 000 as.)</t>
  </si>
  <si>
    <t>Liperi  (10 001 - 20 000 as.)</t>
  </si>
  <si>
    <t>Keuruu (10 001 - 20 000 as.)</t>
  </si>
  <si>
    <t>Kankaanpää (10 001 - 20 000 as.)</t>
  </si>
  <si>
    <t xml:space="preserve">Sipoo (10 001 - 20 000 as.)     </t>
  </si>
  <si>
    <t xml:space="preserve">Kuusamo (10 001 - 20 000 as.)          </t>
  </si>
  <si>
    <t>K11: Miten tyytyväinen olet nykyiseen elämäntilanteeseesi?</t>
  </si>
  <si>
    <t>% vastanneista melko tai erittäin tyytyväinen (4+5)</t>
  </si>
  <si>
    <t>KUNTA</t>
  </si>
  <si>
    <t>Kuntakokoluokka:</t>
  </si>
  <si>
    <t>KAIKKI ARTTU2-KUNNAT</t>
  </si>
  <si>
    <t>K12: Miten hyvin kykenet mielestäsi hoitamaan asioitasi kunnan kanssa?</t>
  </si>
  <si>
    <t>% vastanneista kykenee hoitamaan melko tai erittäin hyvin (4+5)</t>
  </si>
  <si>
    <t>K13: Kuvittele tilanne, jossa kunnat kilpailevat keskenään siitä, missä kunnassa tai kaupungissa on "hyvä asua ja elää".  Miten arvioisit nykyisen kotikuntasi sijoittuvan kilpailussa?</t>
  </si>
  <si>
    <t>Arvioi asteikolla 1 (erittäin huonosti) - 5 (erittäin hyvin).</t>
  </si>
  <si>
    <t>% vastanneista arvioi kotikuntansa sijoittuvan kilpailussa melko tai erittäin hyvin (4+5)</t>
  </si>
  <si>
    <t>%  melko tai erittäin hyvin (4+5)</t>
  </si>
  <si>
    <t>K14: Mitkä ovat mielestäsi kolme tärkeintä asiaa hyvässä kotikunnassa/-kaupungissa?</t>
  </si>
  <si>
    <t>Valitse korkeintaan kolme asiaa.</t>
  </si>
  <si>
    <t>% vastanneista valinnut kolmen tärkeimmän asian joukkoon</t>
  </si>
  <si>
    <t>K1401</t>
  </si>
  <si>
    <t>K1402</t>
  </si>
  <si>
    <t>K1403</t>
  </si>
  <si>
    <t>K1404</t>
  </si>
  <si>
    <t>K1405</t>
  </si>
  <si>
    <t>K1406</t>
  </si>
  <si>
    <t>K1407</t>
  </si>
  <si>
    <t>K1408</t>
  </si>
  <si>
    <t>K1409</t>
  </si>
  <si>
    <t>K15: Miten todennäköistä on, että asut nykyisessä kotikunnassasi edelleen 3 vuoden kuluttua?</t>
  </si>
  <si>
    <t>Arvioi asteikolla 1 (erittäin epätodennäköistä) - 5 (erittäin todennäköistä).</t>
  </si>
  <si>
    <t>% vastanneista pitää melko tai erittäin todennäköisenä (4+5)</t>
  </si>
  <si>
    <t>K16: Ihminen voi samaistua ja kokea kuuluvansa erilaisiin alueellisiin kokonaisuuksiin. Missä määrin koet samaistuvasi tai koet yhteenkuuluvaisuutta seuraaviin alueellisiin kokonaisuuksiin?</t>
  </si>
  <si>
    <t>Arvioi asteikolla 1 (erittäin vähän) - 5 (erittäin paljon).</t>
  </si>
  <si>
    <t>% vastanneista samaistuu melko tai erittäin paljon (4+5)</t>
  </si>
  <si>
    <t>K1601</t>
  </si>
  <si>
    <t>K1602</t>
  </si>
  <si>
    <t>K1603</t>
  </si>
  <si>
    <t>K1604</t>
  </si>
  <si>
    <t>K1605</t>
  </si>
  <si>
    <t>K1606</t>
  </si>
  <si>
    <t>K1607</t>
  </si>
  <si>
    <t>K1608</t>
  </si>
  <si>
    <t>K1609</t>
  </si>
  <si>
    <t>K1610</t>
  </si>
  <si>
    <t>Asuinalue</t>
  </si>
  <si>
    <t>Kylä/kunnanosa</t>
  </si>
  <si>
    <t>Kotikunta</t>
  </si>
  <si>
    <t>Muu kunta</t>
  </si>
  <si>
    <t>Seutu</t>
  </si>
  <si>
    <t>k1606</t>
  </si>
  <si>
    <t>Maakunta</t>
  </si>
  <si>
    <t>Suomi</t>
  </si>
  <si>
    <t>Pohjoismaat</t>
  </si>
  <si>
    <t>Eurooppa</t>
  </si>
  <si>
    <t>Euroopan unioni</t>
  </si>
  <si>
    <t>K22: Onko sinulla/perheelläsi käytössä internet-yhteys?</t>
  </si>
  <si>
    <t>% vastanneista on käytössä</t>
  </si>
  <si>
    <t>K23: Oletko käyttänyt kuntasi tarjoamia sähköisiä asiointipalveluja?</t>
  </si>
  <si>
    <t>% vastanneista on käyttänyt</t>
  </si>
  <si>
    <t>K24: Miten arvioit kuntasi tarjoamien sähköisten asiointipalvelujen toimivuutta?</t>
  </si>
  <si>
    <t>Arvioi asteikolla 1 (toimivuus erittäin huono) - 5 (toimivuus erittäin hyvä)</t>
  </si>
  <si>
    <t>% vastanneista pitää toimivuutta hyvänä (4+5)</t>
  </si>
  <si>
    <t>KYS17A: Mitä kuntasi järjestämiä palveluja tai toimia olet käyttänyt? Oletko Sinä tai perheenjäsenesi käyttänyt alla mainittuja palveluja viimeisen 12 kuukauden aikana? Valitse vaihtoehto 1 (ei) tai 2 (kyllä)</t>
  </si>
  <si>
    <t>% vastanneista käyttänyt ko. palvelua viimeisen 12 kuukauden aikana</t>
  </si>
  <si>
    <t>K17A01</t>
  </si>
  <si>
    <t>K17A02</t>
  </si>
  <si>
    <t>K17A03</t>
  </si>
  <si>
    <t>K17A04</t>
  </si>
  <si>
    <t>K17A05</t>
  </si>
  <si>
    <t>K17A06</t>
  </si>
  <si>
    <t>K17A07</t>
  </si>
  <si>
    <t>K17A08</t>
  </si>
  <si>
    <t>K17A09</t>
  </si>
  <si>
    <t>K17A10</t>
  </si>
  <si>
    <t>K17A11</t>
  </si>
  <si>
    <t>K17A12</t>
  </si>
  <si>
    <t>K17A13</t>
  </si>
  <si>
    <t>K17A14</t>
  </si>
  <si>
    <t>K17A15</t>
  </si>
  <si>
    <t>17A16</t>
  </si>
  <si>
    <t>K17A17</t>
  </si>
  <si>
    <t>K17A18</t>
  </si>
  <si>
    <t>K17A19</t>
  </si>
  <si>
    <t>K17A20</t>
  </si>
  <si>
    <t>K17A21</t>
  </si>
  <si>
    <t>K17A22</t>
  </si>
  <si>
    <t>K17A23</t>
  </si>
  <si>
    <t>K17A24</t>
  </si>
  <si>
    <t>K17A25</t>
  </si>
  <si>
    <t>K17A26</t>
  </si>
  <si>
    <t>K17A27</t>
  </si>
  <si>
    <t>K17A28</t>
  </si>
  <si>
    <t>K17A29</t>
  </si>
  <si>
    <t>K17A30</t>
  </si>
  <si>
    <t>K17A31</t>
  </si>
  <si>
    <t>K17A32</t>
  </si>
  <si>
    <t>K17A33</t>
  </si>
  <si>
    <t>K17A34</t>
  </si>
  <si>
    <t>K17A35</t>
  </si>
  <si>
    <t>K17A36</t>
  </si>
  <si>
    <t>K17A37</t>
  </si>
  <si>
    <t>K17A38</t>
  </si>
  <si>
    <t>K17A39</t>
  </si>
  <si>
    <t>Kuntakokoluokittain, % vastanneista käyttänyt ko. palvelua viimeisen 12 kuukauden aikana</t>
  </si>
  <si>
    <t>Kuntakokoluokka</t>
  </si>
  <si>
    <t>Kaikki vastaajat</t>
  </si>
  <si>
    <t>Kaikki vastaajat (N=11 856), % vastanneista käyttänyt ko. palvelua viimeisen 12 kuukauden aikana</t>
  </si>
  <si>
    <t>Terveyspalvelut:</t>
  </si>
  <si>
    <t>Terveyskeskuksen lääkärivastaanotto</t>
  </si>
  <si>
    <t>Sairaan-/terveydenhoitajan vastaanotto</t>
  </si>
  <si>
    <t>Hammashoito</t>
  </si>
  <si>
    <t>Äitiys- ja lastenneuvola</t>
  </si>
  <si>
    <t>Kouluterveydenhuolto</t>
  </si>
  <si>
    <t>Sairaalahoito</t>
  </si>
  <si>
    <t>Kotisairaanhoito</t>
  </si>
  <si>
    <t>Terveyskeskuksen vuodeosasto</t>
  </si>
  <si>
    <t>Mielenterveyspalvelut</t>
  </si>
  <si>
    <t>Sosiaalipalvelut:</t>
  </si>
  <si>
    <t>Vanhusten palveluasuminen</t>
  </si>
  <si>
    <t>Vanhusten laitoshoito</t>
  </si>
  <si>
    <t>Vanhusten kotipalvelu</t>
  </si>
  <si>
    <t>Lapsiperheiden kotipalvelu</t>
  </si>
  <si>
    <t>Perheneuvola</t>
  </si>
  <si>
    <t>Lastensuojelun palvelut</t>
  </si>
  <si>
    <t>K17A16</t>
  </si>
  <si>
    <t>Vammaisten palvelut</t>
  </si>
  <si>
    <t>Päihdepalvelut</t>
  </si>
  <si>
    <t>Toimeentulotuki</t>
  </si>
  <si>
    <t>Koulutus- ja sivistyspalvelut:</t>
  </si>
  <si>
    <t>Lasten päivähoito</t>
  </si>
  <si>
    <t>Esiopetus</t>
  </si>
  <si>
    <t>Perusopetus, luokat 1-6</t>
  </si>
  <si>
    <t>Perusopetus, luokat 7-9</t>
  </si>
  <si>
    <t>Lukiokoulutus</t>
  </si>
  <si>
    <t>Ammatillinen koulutus</t>
  </si>
  <si>
    <t>Erityisopetus</t>
  </si>
  <si>
    <t>Oppilas-/opiskelijahuolto</t>
  </si>
  <si>
    <t>Aamu- tai iltapäivätoiminta</t>
  </si>
  <si>
    <t>Oppilaiden koulukuljetus</t>
  </si>
  <si>
    <t>Kansalais- ja työväenopisto</t>
  </si>
  <si>
    <t>Kirjastopalvelut</t>
  </si>
  <si>
    <t>Kulttuuripalvelut</t>
  </si>
  <si>
    <t>Liikuntapalvelut</t>
  </si>
  <si>
    <t>Nuorisopalvelut</t>
  </si>
  <si>
    <t>Tekniset palvelut:</t>
  </si>
  <si>
    <t>Kunnallinen asuntotarjonta</t>
  </si>
  <si>
    <t>Kunnallinen tonttitarjonta</t>
  </si>
  <si>
    <t>Joukkoliikennepalvelut</t>
  </si>
  <si>
    <t>Rakennusvalvonta</t>
  </si>
  <si>
    <t>Jätehuolto</t>
  </si>
  <si>
    <t>Kierrätystoiminta</t>
  </si>
  <si>
    <t xml:space="preserve">KYS17B: Miten kuntasi järjestämiä 
 palveluja on mielestäsi hoidettu?
</t>
  </si>
  <si>
    <t>Arvioi palvelujen/toimien hoitamista asteikolla 1 (erittäin huonosti) – 5 (erittäin hyvin). % vastanneista pitää palvelua hyvin hoidettuna (4+5)</t>
  </si>
  <si>
    <t>K17B01</t>
  </si>
  <si>
    <t>K17B02</t>
  </si>
  <si>
    <t>K17B03</t>
  </si>
  <si>
    <t>K17B04</t>
  </si>
  <si>
    <t>K17B05</t>
  </si>
  <si>
    <t>K17B06</t>
  </si>
  <si>
    <t>K17B07</t>
  </si>
  <si>
    <t>K17B08</t>
  </si>
  <si>
    <t>K17B09</t>
  </si>
  <si>
    <t>K17B10</t>
  </si>
  <si>
    <t>K17B11</t>
  </si>
  <si>
    <t>K17B12</t>
  </si>
  <si>
    <t>K17B13</t>
  </si>
  <si>
    <t>K17B14</t>
  </si>
  <si>
    <t>K17B15</t>
  </si>
  <si>
    <t>17B16</t>
  </si>
  <si>
    <t>K17B17</t>
  </si>
  <si>
    <t>K17B18</t>
  </si>
  <si>
    <t>K17B19</t>
  </si>
  <si>
    <t>K17B20</t>
  </si>
  <si>
    <t>K17B21</t>
  </si>
  <si>
    <t>K17B22</t>
  </si>
  <si>
    <t>K17B23</t>
  </si>
  <si>
    <t>K17B24</t>
  </si>
  <si>
    <t>K17B25</t>
  </si>
  <si>
    <t>K17B26</t>
  </si>
  <si>
    <t>K17B27</t>
  </si>
  <si>
    <t>K17B28</t>
  </si>
  <si>
    <t>K17B29</t>
  </si>
  <si>
    <t>K17B30</t>
  </si>
  <si>
    <t>K17B31</t>
  </si>
  <si>
    <t>K17B32</t>
  </si>
  <si>
    <t>K17B33</t>
  </si>
  <si>
    <t>K17B34</t>
  </si>
  <si>
    <t>K17B35</t>
  </si>
  <si>
    <t>K17B36</t>
  </si>
  <si>
    <t>K17B37</t>
  </si>
  <si>
    <t>K17B38</t>
  </si>
  <si>
    <t>K17B39</t>
  </si>
  <si>
    <t>K17B40</t>
  </si>
  <si>
    <t>K17B41</t>
  </si>
  <si>
    <t>K17B42</t>
  </si>
  <si>
    <t>K17B43</t>
  </si>
  <si>
    <t>N_2017</t>
  </si>
  <si>
    <t>Kuntakokoluokittain, % vastanneista pitää palvelua hyvin hoidettuna (4+5)</t>
  </si>
  <si>
    <t>K1B08</t>
  </si>
  <si>
    <t>K1B11</t>
  </si>
  <si>
    <t>K1B15</t>
  </si>
  <si>
    <t>Kaikki vastaajat (N=11 856), % vastanneista pitää palvelua hyvin hoidettuna (4+5)</t>
  </si>
  <si>
    <t>K17B16</t>
  </si>
  <si>
    <t>Teiden ja katujen hoito</t>
  </si>
  <si>
    <t>Kunnallistekniikka</t>
  </si>
  <si>
    <t>Kaavoitus</t>
  </si>
  <si>
    <t>Ympäristön siisteys</t>
  </si>
  <si>
    <t xml:space="preserve">KYS18: Miten arvioit kuntasi järjestämien palvelujen saatavuutta ja saavutettavuutta?
</t>
  </si>
  <si>
    <t>Arvioi palvelujen saatavuutta ja saavutettavuutta asteikolla 1 (erittäin huono) – 5 (erittäin hyvä). % vastanneista pitää palvelua hyvin saatavana ja saavutettavana (4+5) (pl eos-vastaukset)</t>
  </si>
  <si>
    <t>K1801</t>
  </si>
  <si>
    <t>K1802</t>
  </si>
  <si>
    <t>K1803</t>
  </si>
  <si>
    <t>K1804</t>
  </si>
  <si>
    <t>K1805</t>
  </si>
  <si>
    <t>K1806</t>
  </si>
  <si>
    <t>K1807</t>
  </si>
  <si>
    <t>K1808</t>
  </si>
  <si>
    <t>K1809</t>
  </si>
  <si>
    <t>K1810</t>
  </si>
  <si>
    <t>K1811</t>
  </si>
  <si>
    <t>K1812</t>
  </si>
  <si>
    <t>K1813</t>
  </si>
  <si>
    <t>K1814</t>
  </si>
  <si>
    <t>K1815</t>
  </si>
  <si>
    <t>K1816</t>
  </si>
  <si>
    <t>K1817</t>
  </si>
  <si>
    <t>K1818</t>
  </si>
  <si>
    <t>K1819</t>
  </si>
  <si>
    <t>K1820</t>
  </si>
  <si>
    <t>K1821</t>
  </si>
  <si>
    <t>K1822</t>
  </si>
  <si>
    <t>K1823</t>
  </si>
  <si>
    <t>K1824</t>
  </si>
  <si>
    <t>K1825</t>
  </si>
  <si>
    <t>K1826</t>
  </si>
  <si>
    <t>K1827</t>
  </si>
  <si>
    <t>K1828</t>
  </si>
  <si>
    <t>K1829</t>
  </si>
  <si>
    <t>K1830</t>
  </si>
  <si>
    <t>K1831</t>
  </si>
  <si>
    <t>K1832</t>
  </si>
  <si>
    <t>K1833</t>
  </si>
  <si>
    <t>K1834</t>
  </si>
  <si>
    <t>K1835</t>
  </si>
  <si>
    <t>K1836</t>
  </si>
  <si>
    <t>K1837</t>
  </si>
  <si>
    <t>K1838</t>
  </si>
  <si>
    <t>K1839</t>
  </si>
  <si>
    <t>Kuntakokoluokittain, % vastanneista pitää palvelua hyvin saatavana ja saavutettavana (4+5)</t>
  </si>
  <si>
    <t>Kaikki vastaajat (N=11 856), % vastanneista pitää palvelua hyvin saatavana ja saavutettavana (4+5)</t>
  </si>
  <si>
    <t xml:space="preserve">KYS20A: Oletko käyttänyt yksityistää palvelua?
</t>
  </si>
  <si>
    <t>% vastanneista on käyttänyt ko. palvelua</t>
  </si>
  <si>
    <t>K20A01</t>
  </si>
  <si>
    <t>K20A02</t>
  </si>
  <si>
    <t>K20A03</t>
  </si>
  <si>
    <t>K20A04</t>
  </si>
  <si>
    <t>K20A05</t>
  </si>
  <si>
    <t>K20A06</t>
  </si>
  <si>
    <t>Kaikki vastaajat (N=11 856), % vastanneista käyttänyt yksityistä palvelua</t>
  </si>
  <si>
    <t>Lääkäripalvelut</t>
  </si>
  <si>
    <t>Kotipalvelu</t>
  </si>
  <si>
    <t xml:space="preserve">KYS20B: Arvio yksityisen palvelun laadusta suhteessa vastaavaan kunnalliseen palveluun
</t>
  </si>
  <si>
    <t>% vastanneista pitää yksityisen palvelun laatua parempana</t>
  </si>
  <si>
    <t>K20B01</t>
  </si>
  <si>
    <t>K20B02</t>
  </si>
  <si>
    <t>K25: Kuinka kiinnostunut olet oman kuntasi kunnallispolitiikasta?</t>
  </si>
  <si>
    <t>Arvioi asteikolla 1 (en lainkaan kiinnostunut) - 5 (erittäin kiinnostunut)</t>
  </si>
  <si>
    <t>kunnittain:</t>
  </si>
  <si>
    <t>ei kiinnostunut (1+2)</t>
  </si>
  <si>
    <t>neutraali (3)</t>
  </si>
  <si>
    <t>kiinnostunut (4+5)</t>
  </si>
  <si>
    <t>N-2017</t>
  </si>
  <si>
    <t>kuntakokoluokittain:</t>
  </si>
  <si>
    <t>K26: Seuraatko kuntasi toimintaa ja päätöksentekoa seuraavien kanavien välityksellä?</t>
  </si>
  <si>
    <t>Vastaa asteikolla 1 (en lainkaan), 2 (harvoin), 3 (silloin tällöin), 4 (usein).</t>
  </si>
  <si>
    <t>K26.01</t>
  </si>
  <si>
    <t>K26.02</t>
  </si>
  <si>
    <t>K26.03</t>
  </si>
  <si>
    <t>K26.04</t>
  </si>
  <si>
    <t>K26.05</t>
  </si>
  <si>
    <t>K26.06</t>
  </si>
  <si>
    <t>K26.07</t>
  </si>
  <si>
    <t>K26.08</t>
  </si>
  <si>
    <t>% vastanneista seuraa silloin tällöin tai usein (3+4)</t>
  </si>
  <si>
    <t>K27: Oletko toiminut tai toimitko jossain kunnallisessa luottamustehtävässä?</t>
  </si>
  <si>
    <t>Kunnittain:</t>
  </si>
  <si>
    <t>en ole koskaan toiminut</t>
  </si>
  <si>
    <t>kyllä, olen toiminut aikaisemmin</t>
  </si>
  <si>
    <t>kyllä, toimin parastaikaa</t>
  </si>
  <si>
    <t>Kuntakokoluokittain:</t>
  </si>
  <si>
    <t>K28: Olisitko halukas ottamaan vastaan sinulle tarjottavan kunnallisen luottamustehtävän?</t>
  </si>
  <si>
    <t>en ole</t>
  </si>
  <si>
    <t>ehkä</t>
  </si>
  <si>
    <t>kyllä</t>
  </si>
  <si>
    <t>K30: Äänestätkö vaaleissa samaa puoluetta tai ryhmittymää, vai vaihteleeko valintasi puolueiden välillä?</t>
  </si>
  <si>
    <t xml:space="preserve">aina samaa </t>
  </si>
  <si>
    <t>pääsääntöisesti samaa</t>
  </si>
  <si>
    <t>vaihtelee eri vaaleissa</t>
  </si>
  <si>
    <t>en äänestä koskaan</t>
  </si>
  <si>
    <t>äänestän eka kertaa</t>
  </si>
  <si>
    <t>K31: Kuinka tärkeinä pidät seuraavia tekijöitä, kun äänestät kuntavaaleissa?</t>
  </si>
  <si>
    <t>Arvioi asteikolla 1 (ei lainkaan tärkeää) - 5 (hyvin tärkeää)</t>
  </si>
  <si>
    <t>K31.01</t>
  </si>
  <si>
    <t>K31.02</t>
  </si>
  <si>
    <t>K31.03</t>
  </si>
  <si>
    <t>K31.04</t>
  </si>
  <si>
    <t>K31.05</t>
  </si>
  <si>
    <t>K31.06</t>
  </si>
  <si>
    <t>henkilö</t>
  </si>
  <si>
    <t>sukupuoli</t>
  </si>
  <si>
    <t>ikä</t>
  </si>
  <si>
    <t>puolue/valitsijayhdistys</t>
  </si>
  <si>
    <t>oman kylän, kunnan- tai kaupunginosan ehdokas</t>
  </si>
  <si>
    <t>jokin muu</t>
  </si>
  <si>
    <t>% pitää tärkeänä</t>
  </si>
  <si>
    <t>K32: Mitä mieltä olet seuraavista kunnalliseen päätöksentekoon liittyvistä asioista?</t>
  </si>
  <si>
    <t>Arvioi väittämiä asteikolla 1 (täysin eri mieltä) - 5 (täysin samaa mieltä)</t>
  </si>
  <si>
    <t>% vastanneista samaa mieltä väittämän kanssa (4+5)</t>
  </si>
  <si>
    <t>K32.01</t>
  </si>
  <si>
    <t>K32.02</t>
  </si>
  <si>
    <t>K32.03</t>
  </si>
  <si>
    <t>K32.04</t>
  </si>
  <si>
    <t>K32.05</t>
  </si>
  <si>
    <t>Kuntavaaleissa äänestäminen on tärkein keino vaikuttaa kuntani asioihin.</t>
  </si>
  <si>
    <t>Tärkeimmistä asioista päätettäessä tulisi järjestää kunnallinen kansanäänestys.</t>
  </si>
  <si>
    <t>Kuntavaaleissa tulisi voida äänestää internetin välityksellä.</t>
  </si>
  <si>
    <t>Kuntavaalien äänestysikäraja tulisi laskea 18 vuodesta 16 vuoteen.</t>
  </si>
  <si>
    <t>Kunnanjohtaja tulisi valita suoralla kansanvaalilla.</t>
  </si>
  <si>
    <t>K33: Mitä mieltä olet seuraavista oman kuntasi päätöksentekoon ja päättäjiin liittyvistä väittämistä?</t>
  </si>
  <si>
    <t>K33.01</t>
  </si>
  <si>
    <t>K33.02</t>
  </si>
  <si>
    <t>K33.03</t>
  </si>
  <si>
    <t>K33.04</t>
  </si>
  <si>
    <t>K33.05</t>
  </si>
  <si>
    <t>K33.06</t>
  </si>
  <si>
    <t>K33.07</t>
  </si>
  <si>
    <t>K33.08</t>
  </si>
  <si>
    <t>K33.09</t>
  </si>
  <si>
    <t>K33.10</t>
  </si>
  <si>
    <t>K33.11</t>
  </si>
  <si>
    <t>K33.12</t>
  </si>
  <si>
    <t>K33.13</t>
  </si>
  <si>
    <t>Kuntani palveluista tiedotetaan riittävästi.</t>
  </si>
  <si>
    <t>Kuntani päätöksistä tiedotetaan riittävästi.</t>
  </si>
  <si>
    <t>Kuntani päätöksenteko on oikeudenmukaista ja kohtelee tasavertaisesti eri väestöryhmiä.</t>
  </si>
  <si>
    <t>Luotan kuntani poliittisiin päättäjiin omaa kuntaani kehitettäessä.</t>
  </si>
  <si>
    <t>Kunnassani kuunnellaan kuntalaisten mielipiteitä.</t>
  </si>
  <si>
    <t>Uskon kuntani luottamushenkilöiden ajavan vilpittömästi kunnan parasta.</t>
  </si>
  <si>
    <t>Todellista päätösvaltaa kunnassani käyttävät viranhaltijat, eivät luottamushenkilöt.</t>
  </si>
  <si>
    <t>Kuntani asioiden hoidossa on huomattavaa parantamisen varaa.</t>
  </si>
  <si>
    <t>Vaaleilla valitsemamme kunnanvaltuutetut menettävät yleensä pian kosketuksen äänestäjiin.</t>
  </si>
  <si>
    <t>Kuntani päättäjät keskittyvät liikaa uusien veronmaksajien houkutteluun.</t>
  </si>
  <si>
    <t>Kuntani päättäjt pitävät hyvin huolta elämisen edellytyksistä kunnassani.</t>
  </si>
  <si>
    <t>Valtakunnan tason päättäjät pitävät hyvin huolta elämisen edellytyksistä asuinseudullani.</t>
  </si>
  <si>
    <t>Minua kiinnostaa ainoastaan omaa lähiympäristöäni koskeviin asioihin vaikuttaminen.</t>
  </si>
  <si>
    <t>K34: Seuraavassa esitetään joukko kuntasi talouteen ja hallintoon liittyviä väittämiä. Mitä mieltä olet niistä?</t>
  </si>
  <si>
    <t>K34.01</t>
  </si>
  <si>
    <t>K34.02</t>
  </si>
  <si>
    <t>K34.03</t>
  </si>
  <si>
    <t>K34.04</t>
  </si>
  <si>
    <t>K34.05</t>
  </si>
  <si>
    <t>Kuntani talous on hyvin hoidettu.</t>
  </si>
  <si>
    <t>On parempi korottaa kunnallisveroa kuin karsia kunnallisia palveluja.</t>
  </si>
  <si>
    <t>Kuntani itsenäisyys on niin tärkeä, että olen valmis sen takia tinkimään palveluista ja/tai hyväksymään verojen korottamisen.</t>
  </si>
  <si>
    <t>Kuntia tulisi yhdistää kuntaliitoksilla suuremmiksi yksiköiksi.</t>
  </si>
  <si>
    <t xml:space="preserve">Oma kuntani tulisi yhdistää kuntaliitoksella toiseen kuntaan/toisiin kuntiin. </t>
  </si>
  <si>
    <t>K35A: Kunnan päätöksentekoon voidaan vaikuttaa monella tavalla. Oletko käyttänyt seuraavia vaikuttamistapoja/-kanavia?</t>
  </si>
  <si>
    <t>% vastanneista on käyttänyt ko. vaikuttamistapaa</t>
  </si>
  <si>
    <t>K35A.01</t>
  </si>
  <si>
    <t>K35A.02</t>
  </si>
  <si>
    <t>K35A.03</t>
  </si>
  <si>
    <t>K35A.04</t>
  </si>
  <si>
    <t>K35A.05</t>
  </si>
  <si>
    <t>K35A.06</t>
  </si>
  <si>
    <t>K35A.07</t>
  </si>
  <si>
    <t>K35A.08</t>
  </si>
  <si>
    <t>K35A.09</t>
  </si>
  <si>
    <t>K35A.10</t>
  </si>
  <si>
    <t>K35A.11</t>
  </si>
  <si>
    <t>K35A.12</t>
  </si>
  <si>
    <t>K35A.13</t>
  </si>
  <si>
    <t>K35A.14</t>
  </si>
  <si>
    <t>K35A.15</t>
  </si>
  <si>
    <t>K35A.16</t>
  </si>
  <si>
    <t>K35A.17</t>
  </si>
  <si>
    <t>Ottanut yhteyttä kunnan luottamushenkilöön.</t>
  </si>
  <si>
    <t>Ottanut yhteyttä kunnn viranhaltijaan.</t>
  </si>
  <si>
    <t>Tehnyt kuntalaisaloitteen.</t>
  </si>
  <si>
    <t>Tehnyt valituksen tai oikaisuvaatimuksen.</t>
  </si>
  <si>
    <t>Allekirjoittanut vetoomuksen tai adressin.</t>
  </si>
  <si>
    <t>Kirjoittanut yleisönosastokirjoituksen.</t>
  </si>
  <si>
    <t>Osallistunut kunnanosa- tai kylätoimintaan.</t>
  </si>
  <si>
    <t>Osallistunut kunnan järjestämään keskustelu-/kuulemistilaisuuteen.</t>
  </si>
  <si>
    <t xml:space="preserve">Osallistunut päiväkodin, koulun tms. vanhempainiltaan </t>
  </si>
  <si>
    <t>Vastannut kunnan asiakas- tai käyttäjäkyselyyn.</t>
  </si>
  <si>
    <t>Antanut palautetta kunnan järjestämist palveluista.</t>
  </si>
  <si>
    <t>Osallistunut talkootyöhön lähiympäristön hyväksi.</t>
  </si>
  <si>
    <t>Antanut rahaa kampanjaan, joka liittynyt johonkin paikalliseen kysymykseen.</t>
  </si>
  <si>
    <t>Osallistunut sosiaalisen median kautta.</t>
  </si>
  <si>
    <t>Osallistunut vanhus- tai vammaisneuvoston, nuorisovaltuuston tms. toimintaan.</t>
  </si>
  <si>
    <t>Osallistunut jonkin yhdistyksen tai järjestön toimintaan.</t>
  </si>
  <si>
    <t>Jokin muu tapa</t>
  </si>
  <si>
    <t>K35B: Miten arvioit seuraavien vaikuttamistapojen/-kanavien vaikuttaneen tai vaikuttavan kunnan päätöksentekoon?</t>
  </si>
  <si>
    <t>Arvioi vaikuttamistapojen vaikuttavuutta asteikolla 1 (erittäin huono vaikuttamistapa) - 5 (erittäin hyvä vaikuttamistapa)</t>
  </si>
  <si>
    <t>% vastanneista pitää hyvänä vaikuttamistapana (4+5)</t>
  </si>
  <si>
    <t>K35B.01</t>
  </si>
  <si>
    <t>K35B.02</t>
  </si>
  <si>
    <t>K35B.03</t>
  </si>
  <si>
    <t>K35B.04</t>
  </si>
  <si>
    <t>K35B.05</t>
  </si>
  <si>
    <t>K35B.06</t>
  </si>
  <si>
    <t>K35B.07</t>
  </si>
  <si>
    <t>K35B.08</t>
  </si>
  <si>
    <t>K35B.09</t>
  </si>
  <si>
    <t>K35B.10</t>
  </si>
  <si>
    <t>K35B.11</t>
  </si>
  <si>
    <t>K35B.12</t>
  </si>
  <si>
    <t>K35B.13</t>
  </si>
  <si>
    <t>K35B.14</t>
  </si>
  <si>
    <t>K35B.15</t>
  </si>
  <si>
    <t>K35B.16</t>
  </si>
  <si>
    <t>K35B.17</t>
  </si>
  <si>
    <t xml:space="preserve">K36A: Kunnan päätöksentekoon voidaan vaikuttaa myös erilaisten yhdistysten ja järjestöjen kautta. </t>
  </si>
  <si>
    <t>Osallistutko tai oletko osallistunut yhdistysten tai järjestöjen toimintaan viimeisen vuoden aikana?</t>
  </si>
  <si>
    <t>K36A.01</t>
  </si>
  <si>
    <t>K36A.02</t>
  </si>
  <si>
    <t>K36A.03</t>
  </si>
  <si>
    <t>K36A.04</t>
  </si>
  <si>
    <t>K36A.05</t>
  </si>
  <si>
    <t>K36A.06</t>
  </si>
  <si>
    <t>K36A.07</t>
  </si>
  <si>
    <t>K36A.08</t>
  </si>
  <si>
    <t>K36A.09</t>
  </si>
  <si>
    <t>K36A.10</t>
  </si>
  <si>
    <t>K36A.11</t>
  </si>
  <si>
    <t>K36A.12</t>
  </si>
  <si>
    <t>Kylä-/kaupunginosayhdistys</t>
  </si>
  <si>
    <t>Asukasyhdistys</t>
  </si>
  <si>
    <t>Vanhempainyhdistys</t>
  </si>
  <si>
    <t>Liikunta-/urheiluseura</t>
  </si>
  <si>
    <t>Kulttuurijärjestö</t>
  </si>
  <si>
    <t>Nuoriso-/opiskelijajärjestö</t>
  </si>
  <si>
    <t>Poliittinen järjestö/puolue</t>
  </si>
  <si>
    <t>Tuottaja-/yrittäjäjärjestö</t>
  </si>
  <si>
    <t>Ammattiyhdistys/-järjestö</t>
  </si>
  <si>
    <t>Eläkeläisjärjestö</t>
  </si>
  <si>
    <t>Ympäristöjärjestö</t>
  </si>
  <si>
    <t>Vapaaehtoisjärjestö</t>
  </si>
  <si>
    <t xml:space="preserve">K36B: Kunnan päätöksentekoon voidaan vaikuttaa myös erilaisten yhdistysten ja järjestöjen kautta. </t>
  </si>
  <si>
    <t>Miten vaikuttavina pidät ko. toimintaan osallistumista pyrittäessä vaikuttamaan kunnan päätöksentekoon?</t>
  </si>
  <si>
    <t>Arvioi vaikuttamistapojen vaikuttavuutta asteikolla 1 (erittäin huono vaikuttamistapa) - 5 (erittäin hyvä vaikuttamstapa)</t>
  </si>
  <si>
    <t>K36B.01</t>
  </si>
  <si>
    <t>K36B.02</t>
  </si>
  <si>
    <t>K36B.03</t>
  </si>
  <si>
    <t>K36B.04</t>
  </si>
  <si>
    <t>K36B.05</t>
  </si>
  <si>
    <t>K36B.06</t>
  </si>
  <si>
    <t>K36B.07</t>
  </si>
  <si>
    <t>K36B.08</t>
  </si>
  <si>
    <t>K36B.09</t>
  </si>
  <si>
    <t>K36B.10</t>
  </si>
  <si>
    <t>K36B.11</t>
  </si>
  <si>
    <t>K36B.12</t>
  </si>
  <si>
    <t>K37: Hallitus on valmistellut sote- ja maakuntauudistusta, jossa perustetaan uudet maakunnat, uudistetaan sosiaali- ja terveydenhuollon rakenne, palvelut ja rahoitus sekä siirretään maakunnille uusia tehtäviä. Uudistuksen on tarkoitus tulla voimaan 1.1.2019. Mitä mieltä olet seuraavista sote- ja maakuntauudistusta koskevista väittämistä?</t>
  </si>
  <si>
    <t>Arvioi asteikolla 1 (täysin eri mieltä) - 5 (täysin samaa mieltä).</t>
  </si>
  <si>
    <t>% vastanneista samaa mieltä (4+5)</t>
  </si>
  <si>
    <t>K3701</t>
  </si>
  <si>
    <t>K3702</t>
  </si>
  <si>
    <t>K3703</t>
  </si>
  <si>
    <t>K3704</t>
  </si>
  <si>
    <t>Olen seurannut  uudistusta koskevaa keskustelua aktiivisesti tiedotusvälineistä.</t>
  </si>
  <si>
    <t>Ymmärrän pääpiirteissään mistä uudistuksessa on kyse.</t>
  </si>
  <si>
    <t>Uudistus tulee parantamaan sosiaali- ja terveyspalveluita kunnassani.</t>
  </si>
  <si>
    <t>Uudistus tulee heikentämään kuntalaisten vaikutusmahdollisuuksia.</t>
  </si>
  <si>
    <t>K38: Aiotko äänestää tammikuussa 2018 järjestettävissä maakuntavaaleissa, mikäli sote- ja maakuntauudistus toteutuu hallituksen suunnitelmien mukaan?</t>
  </si>
  <si>
    <t>en</t>
  </si>
  <si>
    <t>en osaa sanoa</t>
  </si>
  <si>
    <t>K39: Monissa kunnissa on käynnissä palveluihin liittyviä uudistuksia. Miten tärkeänä pidät seuraavia asioita oman kuntasi näkökulmasta?</t>
  </si>
  <si>
    <t>Arvioi asteikolla 1 (ei lainkaan tärkeätä) - 5 (erittäin tärkeätä)</t>
  </si>
  <si>
    <t>% vastanneista pitää tärkeänä (4+5)</t>
  </si>
  <si>
    <t>K3901</t>
  </si>
  <si>
    <t>K3902</t>
  </si>
  <si>
    <t>K3903</t>
  </si>
  <si>
    <t>K3904</t>
  </si>
  <si>
    <t>K3905</t>
  </si>
  <si>
    <t>K3906</t>
  </si>
  <si>
    <t>K3907</t>
  </si>
  <si>
    <t>K3908</t>
  </si>
  <si>
    <t>K3909</t>
  </si>
  <si>
    <t>K3910</t>
  </si>
  <si>
    <t>K3911</t>
  </si>
  <si>
    <t>Palveluiden säilyminen kunnan järjestämänä.</t>
  </si>
  <si>
    <t>Palveluiden tarjoaminen mahdollisimman lähellä kotia.</t>
  </si>
  <si>
    <t>Mahdollisuus käyttää joustavasti myös naapurikuntien palveluja.</t>
  </si>
  <si>
    <t>Mahdollisuus käyttää joustavasti myös järjestöjen ja yritysten tarjoamia palveluja.</t>
  </si>
  <si>
    <t>Palvelujen monipuolisuuden ja korkean laadun varmistaminen, vaikka se vaatisi palvelupisteiden vähentämistä.</t>
  </si>
  <si>
    <t>Mahdollisuus käyttää joustavasti yhä kattavampia sähköisiä palveluja.</t>
  </si>
  <si>
    <t>Liikkuvien palvelujen lisääminen, vaikka se merkitsisi pysyvien palvelupisteiden vähentämistä.</t>
  </si>
  <si>
    <t>Mahdollisuus valita kunnan järjestämä verorahoitteinen palvelu julkisen ja yksityisen palveluntuottajan välillä.</t>
  </si>
  <si>
    <t>Kuntalaisten vastuun lisääminen omasta terveydestään ja hyvinvoinnistaan.</t>
  </si>
  <si>
    <t>Käyttäjä-/palvelumaksujen käyttöönotto tai korottaminen kunnallisissa palveluissa.</t>
  </si>
  <si>
    <t>Palvelujen käyttäjien ottaminen mukaan kunnan palvelujen suunnitteluun ja kehittämiseen.</t>
  </si>
  <si>
    <t>37,9</t>
  </si>
  <si>
    <t>K26: Seuraatko kuntasi toimintaa ja päätöksentekoa seuraavien kanavien välityksellä? Vastaa asteikolla 1 (en lainkaan), 2 (harvoin), 3 (silloin tällöin), 4 (usein).</t>
  </si>
  <si>
    <t>1 Maakunnallisesta sanomalehdestä</t>
  </si>
  <si>
    <t>2 Paikallisesta sanomalehdestä, ilmaisjakelulehdestä tms.</t>
  </si>
  <si>
    <t>3 Kunnan omasta tiedotuslehdestä tai muista kotiin jaettavista tiedotteista</t>
  </si>
  <si>
    <t>4 Yhdistysten/järjestöjen tai asuinalueen tiedotuslehdistä</t>
  </si>
  <si>
    <t>5 Radiosta tai tv:stä (esim. Ylen alueuutisista)</t>
  </si>
  <si>
    <t>6 Kunnan www-sivulta</t>
  </si>
  <si>
    <t>7 Yhdistysten/järjestöjen tai asuinalueen www-sivuilta</t>
  </si>
  <si>
    <t>8 Sosiaalisen median, esim. Facebookin tai Twitterin kautta</t>
  </si>
  <si>
    <t>Maakunnallisesta sanomalehdestä</t>
  </si>
  <si>
    <t>Paikallisesta sanomalehdestä, ilmaisjakelulehdestä tms.</t>
  </si>
  <si>
    <t>Kunnan omasta tiedotuslehdestä tai muista kotiin jaettavista tiedotteista</t>
  </si>
  <si>
    <t>Yhdistysten/järjestöjen tai asuinalueen tiedotuslehdistä</t>
  </si>
  <si>
    <t>Radiosta tai tv:stä (esim. Ylen alueuutisista)</t>
  </si>
  <si>
    <t>Kunnan www-sivulta</t>
  </si>
  <si>
    <t>Yhdistysten/järjestöjen tai asuinalueen www-sivuilta</t>
  </si>
  <si>
    <t>Sosiaalisen median, esim. Facebookin tai Twitterin kautta</t>
  </si>
  <si>
    <t>En ole koskaan toiminut</t>
  </si>
  <si>
    <t>Kyllä, olen toiminut aikaisemmin</t>
  </si>
  <si>
    <t xml:space="preserve">Kyllä, toimin parastaikaa </t>
  </si>
  <si>
    <t>En ole</t>
  </si>
  <si>
    <t>Ehkä</t>
  </si>
  <si>
    <t>Kyllä</t>
  </si>
  <si>
    <t>Äänestän aina samaa puoluetta tai ryhmittymää</t>
  </si>
  <si>
    <t>Äänestän pääsääntöisesti samaa puoluetta tai ryhmittymää</t>
  </si>
  <si>
    <t>Puoluevalintani vaihtelee eri vaaleissa</t>
  </si>
  <si>
    <t>En äänestä koskaan</t>
  </si>
  <si>
    <t>Äänestän ensimmäistä kertaa</t>
  </si>
  <si>
    <t>018</t>
  </si>
  <si>
    <t>049</t>
  </si>
  <si>
    <t>082</t>
  </si>
  <si>
    <t>097</t>
  </si>
  <si>
    <t>098</t>
  </si>
  <si>
    <t>109</t>
  </si>
  <si>
    <t>148</t>
  </si>
  <si>
    <t>179</t>
  </si>
  <si>
    <t>214</t>
  </si>
  <si>
    <t>239</t>
  </si>
  <si>
    <t>322</t>
  </si>
  <si>
    <t>249</t>
  </si>
  <si>
    <t>272</t>
  </si>
  <si>
    <t>285</t>
  </si>
  <si>
    <t>301</t>
  </si>
  <si>
    <t>305</t>
  </si>
  <si>
    <t>405</t>
  </si>
  <si>
    <t>418</t>
  </si>
  <si>
    <t>426</t>
  </si>
  <si>
    <t>491</t>
  </si>
  <si>
    <t>499</t>
  </si>
  <si>
    <t>535</t>
  </si>
  <si>
    <t>564</t>
  </si>
  <si>
    <t>578</t>
  </si>
  <si>
    <t>581</t>
  </si>
  <si>
    <t>592</t>
  </si>
  <si>
    <t>615</t>
  </si>
  <si>
    <t>710</t>
  </si>
  <si>
    <t>680</t>
  </si>
  <si>
    <t>686</t>
  </si>
  <si>
    <t>734</t>
  </si>
  <si>
    <t>753</t>
  </si>
  <si>
    <t>783</t>
  </si>
  <si>
    <t>837</t>
  </si>
  <si>
    <t>851</t>
  </si>
  <si>
    <t>853</t>
  </si>
  <si>
    <t>905</t>
  </si>
  <si>
    <t>092</t>
  </si>
  <si>
    <t>934</t>
  </si>
  <si>
    <t>946</t>
  </si>
  <si>
    <t xml:space="preserve">vast.% 2017 </t>
  </si>
  <si>
    <t>vast.% 2015</t>
  </si>
  <si>
    <t>% vastanneista pitää palvelua hyvin saatavana ja saavutettavana (4+5) (pl eos-vastaukset)</t>
  </si>
  <si>
    <t>Kuntalaiskysely 2017</t>
  </si>
  <si>
    <t>max.</t>
  </si>
  <si>
    <t>K17A</t>
  </si>
  <si>
    <t>Mitä kuntasi järjestämiä palveluja tai toimia olet käyttänyt? Oletko Sinä tai perheenjäsenesi käyttänyt alla mainittuja palveluja viimeisen 12 kuukauden aikana?</t>
  </si>
  <si>
    <t>Ottanut yhteyttä kunnan viranhaltijaan.</t>
  </si>
  <si>
    <t>Antanut palautetta kunnan järjestämistä palveluista.</t>
  </si>
  <si>
    <t>K38: Aiotko äänestää tammikuussa 2018 järjestettävissä maakuntavaaleissa, mikäli sote- ja maakuntauudistus toteutuu hallituksen suunnitelmien mukaan? (%)</t>
  </si>
  <si>
    <t>K17B</t>
  </si>
  <si>
    <t xml:space="preserve">Miten kuntasi järjestämiä palveluja on mielestäsi hoidettu? Arvioi palvelujen/toimien hoitamista asteikolla 1 (erittäin huonosti) – 5 (erittäin hyvin).
</t>
  </si>
  <si>
    <t>K18</t>
  </si>
  <si>
    <t xml:space="preserve">Miten arvioit kuntasi järjestämien palvelujen saatavuutta ja saavutettavuutta? Arvioi palvelujen saatavuutta ja saavutettavuutta asteikolla 1 (erittäin huono) – 5 (erittäin hyvä).
</t>
  </si>
  <si>
    <t xml:space="preserve"> % vastanneista on käyttänyt</t>
  </si>
  <si>
    <t xml:space="preserve">K24: Miten arvioit kuntasi tarjoamien sähköisten asiointipalvelujen toimivuutta? </t>
  </si>
  <si>
    <t xml:space="preserve">% vastanneista samaa mieltä väittämän kanssa (4+5) </t>
  </si>
  <si>
    <t>K37: Mitä mieltä olet seuraavista sote- ja maakuntauudistusta koskevista väittämistä? Arvioi asteikolla 1 (täysin eri mieltä) - 5 (täysin samaa mieltä).</t>
  </si>
  <si>
    <t>K28: Olisitko halukas ottamaan vastaan sinulle tarjottavan kunnallisen luottamustehtävän? (%)</t>
  </si>
  <si>
    <t>K30: Äänestätkö vaaleissa samaa puoluetta tai ryhmittymää, vai vaihteleeko valintasi puolueiden välillä? (%)</t>
  </si>
  <si>
    <t>% vastanneista osallistuu</t>
  </si>
  <si>
    <t>% vastanneista pitää toimivuutta melko tai erittäin hyvänä (4+5)</t>
  </si>
  <si>
    <t>K20A: Oletko itse tai perheenjäsenesi käyttänyt yksityisiä, ts. itse ostamiasi ja maksamiasi palveluita viimeisen 12 kuukauden aikana?</t>
  </si>
  <si>
    <t>(valtuusto, hallitus, lautakunta tai johtokunta, kunnallinen yhteistyöelin)</t>
  </si>
  <si>
    <t>% vastanneista pitää palvelua melko tai erittäin hyvin hoidettuna (4+5) (pl eos-vastaukset)</t>
  </si>
  <si>
    <t xml:space="preserve">K35B: Miten arvioit seuraavien vaikuttamistapojen/-kanavien vaikuttaneen tai vaikuttavan kunnan päätöksentekoon? Esitä  arviosi  kaikkien vaikuttamistapojen osalta, vaikka et itse olisikaan käyttänyt kyseistä tapaa.
</t>
  </si>
  <si>
    <t xml:space="preserve">K36A: Kunnan päätöksentekoon voidaan vaikuttaa myös erilaisten yhdistysten ja järjestöjen kautta. Osallistutko tai oletko osallistunut yhdistysten tai järjestöjen toimintaan viimeisen vuoden aikana? </t>
  </si>
  <si>
    <t xml:space="preserve">% vastanneista osallistuu tai on osallistunut </t>
  </si>
  <si>
    <t xml:space="preserve">K13: Kuvittele tilanne, jossa kunnat kilpailevat keskenään siitä, missä kunnassa tai kaupungissa on "hyvä asua ja elää".  Miten arvioisit nykyisen kotikuntasi sijoittuvan kilpailussa? </t>
  </si>
  <si>
    <t>% vastanneista pitää yksityisen palvelun laatua parempana (pl eos-vastaukset)</t>
  </si>
  <si>
    <t xml:space="preserve">K20B: Arvio yksityisen palvelun laadusta suhteessa vastaavaan kunnalliseen palveluun. Arvioi palvelun laatua asteikolla 1 (huonompi) - 3 (parempi).
</t>
  </si>
  <si>
    <t>K25: Kuinka kiinnostunut olet oman kuntasi kunnallispolitiikasta? Arvioi asteikolla 1 (en lainkaan kiinnostunut) - 5 (erittäin kiinnostunut).</t>
  </si>
  <si>
    <t>% vastanneista pitää tärkeänä tai erittäin tärkeänä (4+5)</t>
  </si>
  <si>
    <t>K34: Seuraavassa esitetään joukko kuntasi talouteen ja hallintoon liittyviä väittämiä. Mitä mieltä olet niistä? Arvioi väittämiä asteikolla 1 (täysin eri mieltä) - 5 (täysin samaa mieltä).</t>
  </si>
  <si>
    <t>% vastanneista on samaa mieltä väittämän kanssa (4+5)</t>
  </si>
  <si>
    <t>K36B: Miten vaikuttavina pidät ko. toimintaan osallistumista pyrittäessä vaikuttamaan kunnan päätöksentekoon? Arvioi vaikuttamistapojen vaikuttavuutta asteikolla 1 (erittäin huono vaikuttamistapa) - 5 (erittäin hyvä) vaikuttamistapa.</t>
  </si>
  <si>
    <t>% vastanneista on samaa mieltä (4+5)</t>
  </si>
  <si>
    <t>K39: Monissa kunnissa on käynnissä palveluihin liittyviä uudistuksia. Miten tärkeänä pidät seuraavia asioita oman kuntasi näkökulmasta? Arvioi asteikolla 1 (ei lainkaan tärkeätä) - 5 (erittäin tärkeätä).</t>
  </si>
  <si>
    <t>Tuloksia käytettäessä viitattava lähteeseen: Kuntaliiton ARTTU2-tutkimusohjelman Kuntalaistutkimus 2017.</t>
  </si>
  <si>
    <t>Kuntalaisten palveluarvioita tarkastellessa huomioitava ko. palveluiden käyttäjämäärät.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</si>
</sst>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.0"/>
    <numFmt numFmtId="165" formatCode="_-* #,##0\ _€_-;\-* #,##0\ _€_-;_-* &quot;-&quot;??\ _€_-;_-@_-"/>
    <numFmt numFmtId="166" formatCode="0.0"/>
  </numFmts>
  <fonts count="43" x14ac:knownFonts="1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  <scheme val="minor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b/>
      <sz val="14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name val="Arial"/>
      <family val="2"/>
    </font>
    <font>
      <b/>
      <sz val="9"/>
      <color indexed="56"/>
      <name val="Verdana"/>
      <family val="2"/>
    </font>
    <font>
      <b/>
      <sz val="8"/>
      <color indexed="56"/>
      <name val="Verdana"/>
      <family val="2"/>
    </font>
    <font>
      <b/>
      <sz val="10"/>
      <color indexed="56"/>
      <name val="Verdana"/>
      <family val="2"/>
    </font>
    <font>
      <b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11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name val="Arial"/>
      <family val="2"/>
    </font>
    <font>
      <b/>
      <sz val="12"/>
      <name val="Verdana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Verdana"/>
      <family val="2"/>
      <scheme val="minor"/>
    </font>
    <font>
      <sz val="9"/>
      <color rgb="FF272727"/>
      <name val="Arial"/>
      <family val="2"/>
    </font>
    <font>
      <b/>
      <sz val="9"/>
      <color rgb="FF272727"/>
      <name val="Arial"/>
      <family val="2"/>
    </font>
    <font>
      <b/>
      <sz val="10"/>
      <color rgb="FF272727"/>
      <name val="Arial"/>
      <family val="2"/>
    </font>
    <font>
      <sz val="8"/>
      <color rgb="FFFF0000"/>
      <name val="Verdana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1"/>
      <color rgb="FF0070C0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11"/>
      <name val="Arial"/>
      <family val="2"/>
    </font>
    <font>
      <sz val="10"/>
      <name val="Arial"/>
    </font>
    <font>
      <sz val="9"/>
      <name val="Verdana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gray125">
        <bgColor rgb="FFE5E5E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4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Font="1"/>
    <xf numFmtId="0" fontId="4" fillId="0" borderId="0" xfId="1" applyFont="1"/>
    <xf numFmtId="0" fontId="4" fillId="0" borderId="0" xfId="5" applyFont="1"/>
    <xf numFmtId="3" fontId="4" fillId="0" borderId="0" xfId="1" applyNumberFormat="1" applyFont="1"/>
    <xf numFmtId="0" fontId="7" fillId="0" borderId="0" xfId="0" applyFont="1"/>
    <xf numFmtId="3" fontId="9" fillId="0" borderId="6" xfId="10" applyNumberFormat="1" applyFont="1" applyBorder="1"/>
    <xf numFmtId="3" fontId="11" fillId="0" borderId="0" xfId="10" applyNumberFormat="1" applyFont="1" applyBorder="1"/>
    <xf numFmtId="0" fontId="7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0" xfId="1" applyFont="1"/>
    <xf numFmtId="3" fontId="9" fillId="5" borderId="6" xfId="10" applyNumberFormat="1" applyFont="1" applyFill="1" applyBorder="1"/>
    <xf numFmtId="2" fontId="19" fillId="0" borderId="0" xfId="0" applyNumberFormat="1" applyFont="1"/>
    <xf numFmtId="1" fontId="19" fillId="0" borderId="0" xfId="0" applyNumberFormat="1" applyFont="1"/>
    <xf numFmtId="0" fontId="13" fillId="4" borderId="17" xfId="0" applyFont="1" applyFill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19" fillId="0" borderId="0" xfId="0" applyFont="1"/>
    <xf numFmtId="3" fontId="9" fillId="5" borderId="0" xfId="10" applyNumberFormat="1" applyFont="1" applyFill="1" applyBorder="1"/>
    <xf numFmtId="3" fontId="10" fillId="3" borderId="5" xfId="10" applyNumberFormat="1" applyFont="1" applyFill="1" applyBorder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19" fillId="0" borderId="19" xfId="0" applyFont="1" applyBorder="1"/>
    <xf numFmtId="3" fontId="1" fillId="8" borderId="19" xfId="0" applyNumberFormat="1" applyFont="1" applyFill="1" applyBorder="1"/>
    <xf numFmtId="3" fontId="19" fillId="8" borderId="19" xfId="0" applyNumberFormat="1" applyFont="1" applyFill="1" applyBorder="1"/>
    <xf numFmtId="0" fontId="19" fillId="8" borderId="19" xfId="0" applyFont="1" applyFill="1" applyBorder="1"/>
    <xf numFmtId="4" fontId="1" fillId="8" borderId="19" xfId="0" applyNumberFormat="1" applyFont="1" applyFill="1" applyBorder="1"/>
    <xf numFmtId="164" fontId="1" fillId="8" borderId="19" xfId="0" applyNumberFormat="1" applyFont="1" applyFill="1" applyBorder="1"/>
    <xf numFmtId="2" fontId="19" fillId="8" borderId="19" xfId="0" applyNumberFormat="1" applyFont="1" applyFill="1" applyBorder="1"/>
    <xf numFmtId="1" fontId="19" fillId="8" borderId="19" xfId="0" applyNumberFormat="1" applyFont="1" applyFill="1" applyBorder="1"/>
    <xf numFmtId="164" fontId="19" fillId="8" borderId="19" xfId="0" applyNumberFormat="1" applyFont="1" applyFill="1" applyBorder="1"/>
    <xf numFmtId="3" fontId="1" fillId="9" borderId="19" xfId="0" applyNumberFormat="1" applyFont="1" applyFill="1" applyBorder="1"/>
    <xf numFmtId="0" fontId="19" fillId="0" borderId="20" xfId="0" applyFont="1" applyBorder="1"/>
    <xf numFmtId="1" fontId="1" fillId="7" borderId="20" xfId="11" applyNumberFormat="1" applyFont="1" applyFill="1" applyBorder="1"/>
    <xf numFmtId="1" fontId="19" fillId="8" borderId="20" xfId="0" applyNumberFormat="1" applyFont="1" applyFill="1" applyBorder="1"/>
    <xf numFmtId="2" fontId="1" fillId="7" borderId="20" xfId="11" applyNumberFormat="1" applyFont="1" applyFill="1" applyBorder="1"/>
    <xf numFmtId="2" fontId="19" fillId="8" borderId="20" xfId="0" applyNumberFormat="1" applyFont="1" applyFill="1" applyBorder="1"/>
    <xf numFmtId="1" fontId="1" fillId="7" borderId="20" xfId="0" applyNumberFormat="1" applyFont="1" applyFill="1" applyBorder="1"/>
    <xf numFmtId="2" fontId="1" fillId="7" borderId="20" xfId="0" applyNumberFormat="1" applyFont="1" applyFill="1" applyBorder="1"/>
    <xf numFmtId="2" fontId="1" fillId="7" borderId="19" xfId="11" applyNumberFormat="1" applyFont="1" applyFill="1" applyBorder="1"/>
    <xf numFmtId="0" fontId="19" fillId="8" borderId="21" xfId="0" applyFont="1" applyFill="1" applyBorder="1"/>
    <xf numFmtId="0" fontId="23" fillId="0" borderId="0" xfId="0" applyFont="1"/>
    <xf numFmtId="0" fontId="23" fillId="0" borderId="20" xfId="0" applyFont="1" applyBorder="1"/>
    <xf numFmtId="3" fontId="13" fillId="4" borderId="7" xfId="0" applyNumberFormat="1" applyFont="1" applyFill="1" applyBorder="1" applyAlignment="1">
      <alignment vertical="center" wrapText="1"/>
    </xf>
    <xf numFmtId="165" fontId="13" fillId="4" borderId="7" xfId="13" applyNumberFormat="1" applyFont="1" applyFill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center" vertical="center"/>
    </xf>
    <xf numFmtId="166" fontId="19" fillId="0" borderId="0" xfId="0" applyNumberFormat="1" applyFont="1"/>
    <xf numFmtId="2" fontId="19" fillId="0" borderId="20" xfId="0" applyNumberFormat="1" applyFont="1" applyBorder="1"/>
    <xf numFmtId="4" fontId="19" fillId="8" borderId="20" xfId="0" applyNumberFormat="1" applyFont="1" applyFill="1" applyBorder="1"/>
    <xf numFmtId="2" fontId="19" fillId="8" borderId="21" xfId="0" applyNumberFormat="1" applyFont="1" applyFill="1" applyBorder="1"/>
    <xf numFmtId="0" fontId="25" fillId="0" borderId="0" xfId="0" applyFont="1" applyAlignment="1">
      <alignment vertical="center"/>
    </xf>
    <xf numFmtId="1" fontId="19" fillId="0" borderId="20" xfId="0" applyNumberFormat="1" applyFont="1" applyBorder="1"/>
    <xf numFmtId="0" fontId="20" fillId="0" borderId="16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 wrapText="1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0" borderId="8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horizontal="center"/>
    </xf>
    <xf numFmtId="1" fontId="0" fillId="0" borderId="0" xfId="0" applyNumberFormat="1"/>
    <xf numFmtId="0" fontId="26" fillId="0" borderId="0" xfId="0" applyFont="1" applyAlignment="1">
      <alignment vertical="center"/>
    </xf>
    <xf numFmtId="1" fontId="19" fillId="8" borderId="0" xfId="0" applyNumberFormat="1" applyFont="1" applyFill="1" applyBorder="1"/>
    <xf numFmtId="4" fontId="19" fillId="8" borderId="0" xfId="0" applyNumberFormat="1" applyFont="1" applyFill="1" applyBorder="1"/>
    <xf numFmtId="2" fontId="19" fillId="8" borderId="0" xfId="0" applyNumberFormat="1" applyFont="1" applyFill="1" applyBorder="1"/>
    <xf numFmtId="2" fontId="19" fillId="0" borderId="0" xfId="0" applyNumberFormat="1" applyFont="1" applyBorder="1"/>
    <xf numFmtId="0" fontId="28" fillId="0" borderId="0" xfId="0" applyFont="1" applyAlignment="1">
      <alignment vertical="center"/>
    </xf>
    <xf numFmtId="3" fontId="1" fillId="0" borderId="0" xfId="8" applyNumberFormat="1" applyFont="1"/>
    <xf numFmtId="0" fontId="0" fillId="0" borderId="0" xfId="0" applyFont="1" applyProtection="1">
      <protection locked="0"/>
    </xf>
    <xf numFmtId="0" fontId="5" fillId="0" borderId="0" xfId="1" applyFont="1" applyProtection="1">
      <protection locked="0"/>
    </xf>
    <xf numFmtId="166" fontId="20" fillId="0" borderId="8" xfId="0" applyNumberFormat="1" applyFont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 vertical="center" wrapText="1"/>
    </xf>
    <xf numFmtId="166" fontId="13" fillId="4" borderId="7" xfId="0" applyNumberFormat="1" applyFont="1" applyFill="1" applyBorder="1" applyAlignment="1">
      <alignment vertical="center" wrapText="1"/>
    </xf>
    <xf numFmtId="0" fontId="0" fillId="0" borderId="0" xfId="0" applyBorder="1"/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17" fontId="20" fillId="0" borderId="0" xfId="0" applyNumberFormat="1" applyFont="1" applyBorder="1" applyAlignment="1">
      <alignment horizontal="right" vertical="center" wrapText="1"/>
    </xf>
    <xf numFmtId="0" fontId="29" fillId="0" borderId="0" xfId="0" applyFont="1" applyFill="1" applyBorder="1" applyAlignment="1">
      <alignment horizontal="center" wrapText="1"/>
    </xf>
    <xf numFmtId="166" fontId="30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left"/>
    </xf>
    <xf numFmtId="0" fontId="30" fillId="8" borderId="19" xfId="0" applyFont="1" applyFill="1" applyBorder="1"/>
    <xf numFmtId="2" fontId="30" fillId="0" borderId="0" xfId="0" applyNumberFormat="1" applyFont="1"/>
    <xf numFmtId="0" fontId="30" fillId="0" borderId="20" xfId="0" applyFont="1" applyBorder="1"/>
    <xf numFmtId="0" fontId="31" fillId="0" borderId="20" xfId="0" applyFont="1" applyBorder="1"/>
    <xf numFmtId="0" fontId="0" fillId="0" borderId="0" xfId="0" applyFont="1"/>
    <xf numFmtId="166" fontId="7" fillId="0" borderId="11" xfId="0" applyNumberFormat="1" applyFont="1" applyBorder="1" applyAlignment="1">
      <alignment horizontal="center" vertical="center"/>
    </xf>
    <xf numFmtId="49" fontId="19" fillId="0" borderId="0" xfId="0" applyNumberFormat="1" applyFont="1"/>
    <xf numFmtId="3" fontId="19" fillId="6" borderId="4" xfId="0" applyNumberFormat="1" applyFont="1" applyFill="1" applyBorder="1" applyAlignment="1">
      <alignment vertical="top"/>
    </xf>
    <xf numFmtId="3" fontId="19" fillId="0" borderId="4" xfId="0" applyNumberFormat="1" applyFont="1" applyBorder="1" applyAlignment="1">
      <alignment vertical="top"/>
    </xf>
    <xf numFmtId="3" fontId="19" fillId="6" borderId="18" xfId="0" applyNumberFormat="1" applyFont="1" applyFill="1" applyBorder="1" applyAlignment="1">
      <alignment vertical="top"/>
    </xf>
    <xf numFmtId="3" fontId="19" fillId="0" borderId="18" xfId="0" applyNumberFormat="1" applyFont="1" applyBorder="1" applyAlignment="1">
      <alignment vertical="top"/>
    </xf>
    <xf numFmtId="0" fontId="32" fillId="0" borderId="18" xfId="0" applyFont="1" applyBorder="1" applyAlignment="1">
      <alignment vertical="top"/>
    </xf>
    <xf numFmtId="166" fontId="30" fillId="0" borderId="0" xfId="0" applyNumberFormat="1" applyFont="1" applyAlignment="1">
      <alignment horizontal="left"/>
    </xf>
    <xf numFmtId="3" fontId="11" fillId="0" borderId="0" xfId="10" applyNumberFormat="1" applyFont="1" applyFill="1" applyBorder="1"/>
    <xf numFmtId="0" fontId="14" fillId="0" borderId="0" xfId="0" applyFont="1"/>
    <xf numFmtId="0" fontId="0" fillId="0" borderId="0" xfId="0"/>
    <xf numFmtId="0" fontId="34" fillId="0" borderId="0" xfId="16" applyFont="1"/>
    <xf numFmtId="0" fontId="33" fillId="0" borderId="0" xfId="16"/>
    <xf numFmtId="3" fontId="34" fillId="0" borderId="0" xfId="16" applyNumberFormat="1" applyFont="1" applyAlignment="1">
      <alignment horizontal="right"/>
    </xf>
    <xf numFmtId="3" fontId="34" fillId="0" borderId="0" xfId="16" applyNumberFormat="1" applyFont="1"/>
    <xf numFmtId="3" fontId="1" fillId="0" borderId="0" xfId="16" applyNumberFormat="1" applyFont="1"/>
    <xf numFmtId="164" fontId="33" fillId="0" borderId="0" xfId="16" applyNumberFormat="1" applyFont="1"/>
    <xf numFmtId="3" fontId="34" fillId="0" borderId="0" xfId="16" applyNumberFormat="1" applyFont="1" applyAlignment="1">
      <alignment horizontal="left"/>
    </xf>
    <xf numFmtId="3" fontId="19" fillId="0" borderId="0" xfId="16" applyNumberFormat="1" applyFont="1"/>
    <xf numFmtId="164" fontId="1" fillId="0" borderId="0" xfId="16" applyNumberFormat="1" applyFont="1"/>
    <xf numFmtId="0" fontId="1" fillId="0" borderId="0" xfId="16" applyFont="1"/>
    <xf numFmtId="0" fontId="35" fillId="0" borderId="0" xfId="16" applyFont="1"/>
    <xf numFmtId="164" fontId="34" fillId="0" borderId="0" xfId="16" applyNumberFormat="1" applyFont="1" applyAlignment="1">
      <alignment horizontal="right"/>
    </xf>
    <xf numFmtId="0" fontId="34" fillId="0" borderId="0" xfId="16" applyFont="1" applyAlignment="1">
      <alignment horizontal="right"/>
    </xf>
    <xf numFmtId="3" fontId="33" fillId="0" borderId="0" xfId="16" applyNumberFormat="1" applyFont="1"/>
    <xf numFmtId="0" fontId="34" fillId="0" borderId="0" xfId="16" applyFont="1" applyAlignment="1">
      <alignment wrapText="1"/>
    </xf>
    <xf numFmtId="166" fontId="33" fillId="0" borderId="0" xfId="16" applyNumberFormat="1"/>
    <xf numFmtId="166" fontId="33" fillId="0" borderId="0" xfId="16" applyNumberFormat="1" applyFont="1"/>
    <xf numFmtId="0" fontId="1" fillId="0" borderId="0" xfId="16" quotePrefix="1" applyFont="1"/>
    <xf numFmtId="164" fontId="34" fillId="0" borderId="0" xfId="16" applyNumberFormat="1" applyFont="1"/>
    <xf numFmtId="0" fontId="36" fillId="0" borderId="0" xfId="0" applyFont="1"/>
    <xf numFmtId="0" fontId="34" fillId="0" borderId="0" xfId="0" applyFont="1"/>
    <xf numFmtId="0" fontId="37" fillId="0" borderId="0" xfId="0" applyFont="1"/>
    <xf numFmtId="3" fontId="34" fillId="0" borderId="0" xfId="0" applyNumberFormat="1" applyFont="1"/>
    <xf numFmtId="164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3" fontId="34" fillId="0" borderId="0" xfId="0" applyNumberFormat="1" applyFont="1" applyAlignment="1">
      <alignment horizontal="left"/>
    </xf>
    <xf numFmtId="164" fontId="34" fillId="0" borderId="0" xfId="0" applyNumberFormat="1" applyFont="1"/>
    <xf numFmtId="0" fontId="38" fillId="0" borderId="0" xfId="0" applyFont="1"/>
    <xf numFmtId="164" fontId="34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4" fillId="0" borderId="0" xfId="16" applyFont="1" applyAlignment="1"/>
    <xf numFmtId="164" fontId="1" fillId="0" borderId="0" xfId="0" applyNumberFormat="1" applyFont="1" applyAlignment="1">
      <alignment horizontal="left"/>
    </xf>
    <xf numFmtId="0" fontId="39" fillId="0" borderId="0" xfId="0" applyFont="1" applyAlignment="1">
      <alignment vertical="center"/>
    </xf>
    <xf numFmtId="3" fontId="9" fillId="5" borderId="25" xfId="10" applyNumberFormat="1" applyFont="1" applyFill="1" applyBorder="1"/>
    <xf numFmtId="3" fontId="9" fillId="0" borderId="25" xfId="10" applyNumberFormat="1" applyFont="1" applyBorder="1"/>
    <xf numFmtId="4" fontId="40" fillId="0" borderId="1" xfId="0" applyNumberFormat="1" applyFont="1" applyBorder="1"/>
    <xf numFmtId="4" fontId="40" fillId="0" borderId="4" xfId="0" applyNumberFormat="1" applyFont="1" applyBorder="1"/>
    <xf numFmtId="166" fontId="20" fillId="0" borderId="0" xfId="0" applyNumberFormat="1" applyFont="1" applyBorder="1" applyAlignment="1">
      <alignment horizontal="right" vertical="center" wrapText="1"/>
    </xf>
    <xf numFmtId="166" fontId="13" fillId="4" borderId="0" xfId="0" applyNumberFormat="1" applyFont="1" applyFill="1" applyBorder="1" applyAlignment="1">
      <alignment vertical="center" wrapText="1"/>
    </xf>
    <xf numFmtId="1" fontId="30" fillId="0" borderId="0" xfId="0" applyNumberFormat="1" applyFont="1" applyAlignment="1">
      <alignment horizontal="right"/>
    </xf>
    <xf numFmtId="3" fontId="19" fillId="0" borderId="0" xfId="0" applyNumberFormat="1" applyFont="1" applyBorder="1" applyAlignment="1">
      <alignment vertical="top"/>
    </xf>
    <xf numFmtId="0" fontId="23" fillId="0" borderId="0" xfId="0" applyFont="1" applyAlignment="1">
      <alignment wrapText="1"/>
    </xf>
    <xf numFmtId="0" fontId="35" fillId="10" borderId="0" xfId="16" applyFont="1" applyFill="1"/>
    <xf numFmtId="166" fontId="30" fillId="10" borderId="0" xfId="0" applyNumberFormat="1" applyFont="1" applyFill="1"/>
    <xf numFmtId="0" fontId="25" fillId="10" borderId="0" xfId="0" applyFont="1" applyFill="1" applyAlignment="1">
      <alignment vertical="center"/>
    </xf>
    <xf numFmtId="2" fontId="1" fillId="11" borderId="20" xfId="11" applyNumberFormat="1" applyFont="1" applyFill="1" applyBorder="1"/>
    <xf numFmtId="2" fontId="19" fillId="10" borderId="20" xfId="0" applyNumberFormat="1" applyFont="1" applyFill="1" applyBorder="1"/>
    <xf numFmtId="1" fontId="19" fillId="10" borderId="20" xfId="0" applyNumberFormat="1" applyFont="1" applyFill="1" applyBorder="1"/>
    <xf numFmtId="1" fontId="1" fillId="11" borderId="20" xfId="11" applyNumberFormat="1" applyFont="1" applyFill="1" applyBorder="1"/>
    <xf numFmtId="1" fontId="19" fillId="10" borderId="0" xfId="0" applyNumberFormat="1" applyFont="1" applyFill="1"/>
    <xf numFmtId="2" fontId="19" fillId="10" borderId="0" xfId="0" applyNumberFormat="1" applyFont="1" applyFill="1"/>
    <xf numFmtId="0" fontId="19" fillId="10" borderId="0" xfId="0" applyFont="1" applyFill="1"/>
    <xf numFmtId="0" fontId="27" fillId="10" borderId="0" xfId="0" applyFont="1" applyFill="1" applyAlignment="1">
      <alignment vertical="center"/>
    </xf>
    <xf numFmtId="166" fontId="30" fillId="10" borderId="0" xfId="0" applyNumberFormat="1" applyFont="1" applyFill="1" applyAlignment="1">
      <alignment horizontal="left"/>
    </xf>
    <xf numFmtId="0" fontId="30" fillId="10" borderId="0" xfId="0" applyFont="1" applyFill="1"/>
    <xf numFmtId="0" fontId="1" fillId="10" borderId="0" xfId="16" applyFont="1" applyFill="1"/>
    <xf numFmtId="0" fontId="34" fillId="10" borderId="0" xfId="16" applyFont="1" applyFill="1"/>
    <xf numFmtId="0" fontId="41" fillId="0" borderId="0" xfId="16" applyFont="1"/>
    <xf numFmtId="164" fontId="1" fillId="0" borderId="0" xfId="16" applyNumberFormat="1" applyFont="1" applyAlignment="1">
      <alignment horizontal="right"/>
    </xf>
    <xf numFmtId="0" fontId="42" fillId="12" borderId="0" xfId="1" applyFont="1" applyFill="1"/>
    <xf numFmtId="0" fontId="0" fillId="12" borderId="0" xfId="0" applyFont="1" applyFill="1"/>
    <xf numFmtId="0" fontId="4" fillId="12" borderId="0" xfId="1" applyFont="1" applyFill="1"/>
    <xf numFmtId="0" fontId="25" fillId="12" borderId="0" xfId="0" applyFont="1" applyFill="1" applyProtection="1">
      <protection locked="0"/>
    </xf>
    <xf numFmtId="0" fontId="0" fillId="12" borderId="0" xfId="0" applyFont="1" applyFill="1" applyProtection="1">
      <protection locked="0"/>
    </xf>
    <xf numFmtId="0" fontId="4" fillId="12" borderId="0" xfId="1" applyFont="1" applyFill="1" applyProtection="1">
      <protection locked="0"/>
    </xf>
    <xf numFmtId="0" fontId="6" fillId="2" borderId="1" xfId="1" applyFont="1" applyFill="1" applyBorder="1" applyAlignment="1" applyProtection="1">
      <alignment horizontal="center"/>
      <protection locked="0"/>
    </xf>
    <xf numFmtId="0" fontId="6" fillId="2" borderId="2" xfId="1" applyFont="1" applyFill="1" applyBorder="1" applyAlignment="1" applyProtection="1">
      <alignment horizontal="center"/>
      <protection locked="0"/>
    </xf>
    <xf numFmtId="0" fontId="6" fillId="2" borderId="3" xfId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/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7">
    <cellStyle name="ARTTU" xfId="7"/>
    <cellStyle name="Normaali" xfId="0" builtinId="0"/>
    <cellStyle name="Normaali 2" xfId="2"/>
    <cellStyle name="Normaali 2 2" xfId="8"/>
    <cellStyle name="Normaali 3" xfId="1"/>
    <cellStyle name="Normaali 3 2" xfId="5"/>
    <cellStyle name="Normaali 4" xfId="10"/>
    <cellStyle name="Normaali 5" xfId="11"/>
    <cellStyle name="Normaali 6" xfId="12"/>
    <cellStyle name="Normaali 7" xfId="14"/>
    <cellStyle name="Normaali 7 2" xfId="15"/>
    <cellStyle name="Normaali 8" xfId="16"/>
    <cellStyle name="Pilkku" xfId="13" builtinId="3"/>
    <cellStyle name="Prosenttia 2" xfId="3"/>
    <cellStyle name="Prosenttia 2 2" xfId="9"/>
    <cellStyle name="Prosenttia 3" xfId="4"/>
    <cellStyle name="Prosenttia 3 2" xfId="6"/>
  </cellStyles>
  <dxfs count="7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0.0"/>
      <alignment horizontal="righ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56"/>
        <name val="Verdana"/>
        <scheme val="none"/>
      </font>
      <numFmt numFmtId="3" formatCode="#,##0"/>
      <fill>
        <patternFill patternType="solid">
          <fgColor theme="5" tint="0.79998168889431442"/>
          <bgColor theme="5" tint="0.79998168889431442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work!$F$6</c:f>
          <c:strCache>
            <c:ptCount val="1"/>
            <c:pt idx="0">
              <c:v>K12: Miten hyvin kykenet mielestäsi hoitamaan asioitasi kunnan kanssa?</c:v>
            </c:pt>
          </c:strCache>
        </c:strRef>
      </c:tx>
      <c:layout>
        <c:manualLayout>
          <c:xMode val="edge"/>
          <c:yMode val="edge"/>
          <c:x val="0.11389340915718868"/>
          <c:y val="2.3778071334214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598556430446195"/>
          <c:y val="0.18629875519231714"/>
          <c:w val="0.73878754738990959"/>
          <c:h val="0.63570952284956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work!$A$7</c:f>
              <c:strCache>
                <c:ptCount val="1"/>
                <c:pt idx="0">
                  <c:v>% vastanneista kykenee hoitamaan melko tai erittäin hyvin (4+5)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work!$B$6:$D$6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work!$B$7:$D$7</c:f>
              <c:numCache>
                <c:formatCode>0.0</c:formatCode>
                <c:ptCount val="3"/>
                <c:pt idx="0">
                  <c:v>60.224470708273103</c:v>
                </c:pt>
                <c:pt idx="1">
                  <c:v>62.150982419855225</c:v>
                </c:pt>
                <c:pt idx="2">
                  <c:v>60.16949152542373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7-4647-966B-36B047CC05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4801519"/>
        <c:axId val="1044823151"/>
      </c:barChart>
      <c:catAx>
        <c:axId val="1044801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23151"/>
        <c:crosses val="autoZero"/>
        <c:auto val="1"/>
        <c:lblAlgn val="ctr"/>
        <c:lblOffset val="100"/>
        <c:noMultiLvlLbl val="0"/>
      </c:catAx>
      <c:valAx>
        <c:axId val="1044823151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0151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</c:f>
          <c:strCache>
            <c:ptCount val="1"/>
            <c:pt idx="0">
              <c:v>K11: Miten tyytyväinen olet nykyiseen elämäntilanteeseesi?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485922948973674"/>
          <c:y val="0.22131513716655715"/>
          <c:w val="0.74078536386464022"/>
          <c:h val="0.53436073535597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work!$A$4</c:f>
              <c:strCache>
                <c:ptCount val="1"/>
                <c:pt idx="0">
                  <c:v>% vastanneista melko tai erittäin tyytyväinen (4+5)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work!$B$3:$D$3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work!$B$4:$D$4</c:f>
              <c:numCache>
                <c:formatCode>0.0</c:formatCode>
                <c:ptCount val="3"/>
                <c:pt idx="0">
                  <c:v>71.564222128020347</c:v>
                </c:pt>
                <c:pt idx="1">
                  <c:v>72.385368366821226</c:v>
                </c:pt>
                <c:pt idx="2">
                  <c:v>72.881355932203405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F-4628-A16C-0CAB7929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10887887"/>
        <c:axId val="1564309951"/>
      </c:barChart>
      <c:catAx>
        <c:axId val="1210887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4309951"/>
        <c:crosses val="autoZero"/>
        <c:auto val="1"/>
        <c:lblAlgn val="ctr"/>
        <c:lblOffset val="100"/>
        <c:noMultiLvlLbl val="0"/>
      </c:catAx>
      <c:valAx>
        <c:axId val="1564309951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108878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work!$F$41</c:f>
          <c:strCache>
            <c:ptCount val="1"/>
            <c:pt idx="0">
              <c:v>K23: Oletko käyttänyt kuntasi tarjoamia sähköisiä asiointipalveluja?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52251447333057"/>
          <c:y val="0.26331662462435529"/>
          <c:w val="0.7403438247032792"/>
          <c:h val="0.529892719472511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work!$A$42</c:f>
              <c:strCache>
                <c:ptCount val="1"/>
                <c:pt idx="0">
                  <c:v>% vastanneista on käyttänyt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work!$B$41:$D$41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work!$B$42:$D$42</c:f>
              <c:numCache>
                <c:formatCode>0.0</c:formatCode>
                <c:ptCount val="3"/>
                <c:pt idx="0">
                  <c:v>55.918227108744205</c:v>
                </c:pt>
                <c:pt idx="1">
                  <c:v>51.67189132706374</c:v>
                </c:pt>
                <c:pt idx="2">
                  <c:v>46.218487394957982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0DB-B322-8A4B3914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11030463"/>
        <c:axId val="511035455"/>
      </c:barChart>
      <c:catAx>
        <c:axId val="511030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035455"/>
        <c:crosses val="autoZero"/>
        <c:auto val="1"/>
        <c:lblAlgn val="ctr"/>
        <c:lblOffset val="100"/>
        <c:noMultiLvlLbl val="0"/>
      </c:catAx>
      <c:valAx>
        <c:axId val="51103545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0304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work!$F$44</c:f>
          <c:strCache>
            <c:ptCount val="1"/>
            <c:pt idx="0">
              <c:v>K24: Miten arvioit kuntasi tarjoamien sähköisten asiointipalvelujen toimivuutta?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603480058228494"/>
          <c:y val="0.23211036475727964"/>
          <c:w val="0.73936710860174171"/>
          <c:h val="0.592189338434115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work!$A$45</c:f>
              <c:strCache>
                <c:ptCount val="1"/>
                <c:pt idx="0">
                  <c:v>% vastanneista pitää toimivuutta melko tai erittäin hyvänä (4+5)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work!$B$44:$D$44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work!$B$45:$D$45</c:f>
              <c:numCache>
                <c:formatCode>0.0</c:formatCode>
                <c:ptCount val="3"/>
                <c:pt idx="0">
                  <c:v>43.27835051546392</c:v>
                </c:pt>
                <c:pt idx="1">
                  <c:v>43.110236220472444</c:v>
                </c:pt>
                <c:pt idx="2">
                  <c:v>26.804123711340207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E-4FFB-800F-7A37C4B02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11045023"/>
        <c:axId val="511046271"/>
      </c:barChart>
      <c:catAx>
        <c:axId val="51104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046271"/>
        <c:crosses val="autoZero"/>
        <c:auto val="1"/>
        <c:lblAlgn val="ctr"/>
        <c:lblOffset val="100"/>
        <c:noMultiLvlLbl val="0"/>
      </c:catAx>
      <c:valAx>
        <c:axId val="511046271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04502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work!$F$139</c:f>
          <c:strCache>
            <c:ptCount val="1"/>
            <c:pt idx="0">
              <c:v>Terveyspalvelut: Miten arvioit kuntasi järjestämien palvelujen saatavuutta ja saavutettavuutta? Arvioi palvelujen saatavuutta ja saavutettavuutta asteikolla 1 (erittäin huono) – 5 (erittäin hyvä).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6737096560502319"/>
          <c:y val="0.17003959602446428"/>
          <c:w val="0.58758298164710543"/>
          <c:h val="0.7909002728726184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work!$D$139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work!$A$140:$A$148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work!$D$140:$D$148</c:f>
              <c:numCache>
                <c:formatCode>0.0</c:formatCode>
                <c:ptCount val="9"/>
                <c:pt idx="0">
                  <c:v>33.644859813084111</c:v>
                </c:pt>
                <c:pt idx="1">
                  <c:v>63.265306122448976</c:v>
                </c:pt>
                <c:pt idx="2">
                  <c:v>67.010309278350519</c:v>
                </c:pt>
                <c:pt idx="3">
                  <c:v>77.142857142857139</c:v>
                </c:pt>
                <c:pt idx="4">
                  <c:v>70</c:v>
                </c:pt>
                <c:pt idx="5">
                  <c:v>52.727272727272727</c:v>
                </c:pt>
                <c:pt idx="6">
                  <c:v>65.517241379310349</c:v>
                </c:pt>
                <c:pt idx="7">
                  <c:v>35.294117647058826</c:v>
                </c:pt>
                <c:pt idx="8">
                  <c:v>28.571428571428573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3-42AF-BBB7-274C8DC59097}"/>
            </c:ext>
          </c:extLst>
        </c:ser>
        <c:ser>
          <c:idx val="1"/>
          <c:order val="1"/>
          <c:tx>
            <c:strRef>
              <c:f>work!$C$139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work!$A$140:$A$148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work!$C$140:$C$148</c:f>
              <c:numCache>
                <c:formatCode>0.0</c:formatCode>
                <c:ptCount val="9"/>
                <c:pt idx="0">
                  <c:v>47.160068846815832</c:v>
                </c:pt>
                <c:pt idx="1">
                  <c:v>63.791008505467801</c:v>
                </c:pt>
                <c:pt idx="2">
                  <c:v>48.56361149110807</c:v>
                </c:pt>
                <c:pt idx="3">
                  <c:v>79.545454545454547</c:v>
                </c:pt>
                <c:pt idx="4">
                  <c:v>69.065849923430321</c:v>
                </c:pt>
                <c:pt idx="5">
                  <c:v>62.614913176710928</c:v>
                </c:pt>
                <c:pt idx="6">
                  <c:v>46.341463414634148</c:v>
                </c:pt>
                <c:pt idx="7">
                  <c:v>45.833333333333336</c:v>
                </c:pt>
                <c:pt idx="8">
                  <c:v>44.470588235294116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3-42AF-BBB7-274C8DC59097}"/>
            </c:ext>
          </c:extLst>
        </c:ser>
        <c:ser>
          <c:idx val="0"/>
          <c:order val="2"/>
          <c:tx>
            <c:strRef>
              <c:f>work!$B$139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work!$A$140:$A$148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work!$B$140:$B$148</c:f>
              <c:numCache>
                <c:formatCode>0.0</c:formatCode>
                <c:ptCount val="9"/>
                <c:pt idx="0">
                  <c:v>43.591945796354615</c:v>
                </c:pt>
                <c:pt idx="1">
                  <c:v>59.667612484799349</c:v>
                </c:pt>
                <c:pt idx="2">
                  <c:v>43.477277865702014</c:v>
                </c:pt>
                <c:pt idx="3">
                  <c:v>76.914016489988228</c:v>
                </c:pt>
                <c:pt idx="4">
                  <c:v>66.605886949726496</c:v>
                </c:pt>
                <c:pt idx="5">
                  <c:v>62.684458398744113</c:v>
                </c:pt>
                <c:pt idx="6">
                  <c:v>47.455386649041642</c:v>
                </c:pt>
                <c:pt idx="7">
                  <c:v>44.015957446808514</c:v>
                </c:pt>
                <c:pt idx="8">
                  <c:v>34.51097062104872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3-42AF-BBB7-274C8DC5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6246911"/>
        <c:axId val="1456242751"/>
      </c:barChart>
      <c:catAx>
        <c:axId val="14562469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6242751"/>
        <c:crosses val="autoZero"/>
        <c:auto val="1"/>
        <c:lblAlgn val="ctr"/>
        <c:lblOffset val="100"/>
        <c:noMultiLvlLbl val="0"/>
      </c:catAx>
      <c:valAx>
        <c:axId val="145624275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624691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work!$F$149</c:f>
          <c:strCache>
            <c:ptCount val="1"/>
            <c:pt idx="0">
              <c:v>Sosiaalipalvelut: Miten arvioit kuntasi järjestämien palvelujen saatavuutta ja saavutettavuutta? Arvioi palvelujen saatavuutta ja saavutettavuutta asteikolla 1 (erittäin huono) – 5 (erittäin hyvä).
</c:v>
            </c:pt>
          </c:strCache>
        </c:strRef>
      </c:tx>
      <c:layout>
        <c:manualLayout>
          <c:xMode val="edge"/>
          <c:yMode val="edge"/>
          <c:x val="0.12976705493260055"/>
          <c:y val="1.3471504651713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101252827640181"/>
          <c:y val="0.18525604881687643"/>
          <c:w val="0.69478543326407793"/>
          <c:h val="0.7586923163829130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work!$D$149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work!$A$150:$A$158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work!$D$150:$D$158</c:f>
              <c:numCache>
                <c:formatCode>0.0</c:formatCode>
                <c:ptCount val="9"/>
                <c:pt idx="0">
                  <c:v>28.571428571428573</c:v>
                </c:pt>
                <c:pt idx="1">
                  <c:v>32.5</c:v>
                </c:pt>
                <c:pt idx="2">
                  <c:v>47.058823529411768</c:v>
                </c:pt>
                <c:pt idx="3">
                  <c:v>33.333333333333336</c:v>
                </c:pt>
                <c:pt idx="4">
                  <c:v>55</c:v>
                </c:pt>
                <c:pt idx="5">
                  <c:v>29.411764705882351</c:v>
                </c:pt>
                <c:pt idx="6">
                  <c:v>31.578947368421051</c:v>
                </c:pt>
                <c:pt idx="7">
                  <c:v>18.181818181818183</c:v>
                </c:pt>
                <c:pt idx="8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A-4BE0-BA7E-4AFC4B7721B3}"/>
            </c:ext>
          </c:extLst>
        </c:ser>
        <c:ser>
          <c:idx val="1"/>
          <c:order val="1"/>
          <c:tx>
            <c:strRef>
              <c:f>work!$C$149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work!$A$150:$A$158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work!$C$150:$C$158</c:f>
              <c:numCache>
                <c:formatCode>0.0</c:formatCode>
                <c:ptCount val="9"/>
                <c:pt idx="0">
                  <c:v>34.639498432601883</c:v>
                </c:pt>
                <c:pt idx="1">
                  <c:v>29.513343799058084</c:v>
                </c:pt>
                <c:pt idx="2">
                  <c:v>37.6</c:v>
                </c:pt>
                <c:pt idx="3">
                  <c:v>24.046920821114369</c:v>
                </c:pt>
                <c:pt idx="4">
                  <c:v>52.970297029702969</c:v>
                </c:pt>
                <c:pt idx="5">
                  <c:v>33.738601823708208</c:v>
                </c:pt>
                <c:pt idx="6">
                  <c:v>38.481675392670155</c:v>
                </c:pt>
                <c:pt idx="7">
                  <c:v>34.563758389261743</c:v>
                </c:pt>
                <c:pt idx="8">
                  <c:v>29.154518950437318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A-4BE0-BA7E-4AFC4B7721B3}"/>
            </c:ext>
          </c:extLst>
        </c:ser>
        <c:ser>
          <c:idx val="0"/>
          <c:order val="2"/>
          <c:tx>
            <c:strRef>
              <c:f>work!$B$149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work!$A$150:$A$158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work!$B$150:$B$158</c:f>
              <c:numCache>
                <c:formatCode>0.0</c:formatCode>
                <c:ptCount val="9"/>
                <c:pt idx="0">
                  <c:v>33.913721413721412</c:v>
                </c:pt>
                <c:pt idx="1">
                  <c:v>28.722002635046113</c:v>
                </c:pt>
                <c:pt idx="2">
                  <c:v>36.052287581699346</c:v>
                </c:pt>
                <c:pt idx="3">
                  <c:v>26.426133593369087</c:v>
                </c:pt>
                <c:pt idx="4">
                  <c:v>51.296829971181559</c:v>
                </c:pt>
                <c:pt idx="5">
                  <c:v>33.964945523448606</c:v>
                </c:pt>
                <c:pt idx="6">
                  <c:v>40.74074074074074</c:v>
                </c:pt>
                <c:pt idx="7">
                  <c:v>29.909365558912388</c:v>
                </c:pt>
                <c:pt idx="8">
                  <c:v>27.752762996316005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A-4BE0-BA7E-4AFC4B77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0020319"/>
        <c:axId val="220021151"/>
      </c:barChart>
      <c:catAx>
        <c:axId val="220020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21151"/>
        <c:crosses val="autoZero"/>
        <c:auto val="1"/>
        <c:lblAlgn val="ctr"/>
        <c:lblOffset val="100"/>
        <c:noMultiLvlLbl val="0"/>
      </c:catAx>
      <c:valAx>
        <c:axId val="22002115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2031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>
      <c:oddFooter>&amp;C&amp;P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work!$F$175</c:f>
          <c:strCache>
            <c:ptCount val="1"/>
            <c:pt idx="0">
              <c:v>Tekniset palvelut: Miten arvioit kuntasi järjestämien palvelujen saatavuutta ja saavutettavuutta? Arvioi palvelujen saatavuutta ja saavutettavuutta asteikolla 1 (erittäin huono) – 5 (erittäin hyvä).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5246683553364901"/>
          <c:y val="0.29291252454190542"/>
          <c:w val="0.70333112600683068"/>
          <c:h val="0.616848873949749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work!$D$175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work!$A$176:$A$181</c:f>
              <c:strCache>
                <c:ptCount val="6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</c:strCache>
            </c:strRef>
          </c:cat>
          <c:val>
            <c:numRef>
              <c:f>work!$D$176:$D$181</c:f>
              <c:numCache>
                <c:formatCode>0.0</c:formatCode>
                <c:ptCount val="6"/>
                <c:pt idx="0">
                  <c:v>19.512195121951219</c:v>
                </c:pt>
                <c:pt idx="1">
                  <c:v>40</c:v>
                </c:pt>
                <c:pt idx="2">
                  <c:v>17.241379310344829</c:v>
                </c:pt>
                <c:pt idx="3">
                  <c:v>57.142857142857146</c:v>
                </c:pt>
                <c:pt idx="4">
                  <c:v>84.545454545454547</c:v>
                </c:pt>
                <c:pt idx="5">
                  <c:v>85.217391304347828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3-45DC-AFEB-28D0EED17854}"/>
            </c:ext>
          </c:extLst>
        </c:ser>
        <c:ser>
          <c:idx val="1"/>
          <c:order val="1"/>
          <c:tx>
            <c:strRef>
              <c:f>work!$C$175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work!$A$176:$A$181</c:f>
              <c:strCache>
                <c:ptCount val="6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</c:strCache>
            </c:strRef>
          </c:cat>
          <c:val>
            <c:numRef>
              <c:f>work!$C$176:$C$181</c:f>
              <c:numCache>
                <c:formatCode>0.0</c:formatCode>
                <c:ptCount val="6"/>
                <c:pt idx="0">
                  <c:v>35.976505139500738</c:v>
                </c:pt>
                <c:pt idx="1">
                  <c:v>46.601941747572816</c:v>
                </c:pt>
                <c:pt idx="2">
                  <c:v>38.888888888888886</c:v>
                </c:pt>
                <c:pt idx="3">
                  <c:v>50.550964187327821</c:v>
                </c:pt>
                <c:pt idx="4">
                  <c:v>81.399521531100476</c:v>
                </c:pt>
                <c:pt idx="5">
                  <c:v>78.612716763005778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3-45DC-AFEB-28D0EED17854}"/>
            </c:ext>
          </c:extLst>
        </c:ser>
        <c:ser>
          <c:idx val="0"/>
          <c:order val="2"/>
          <c:tx>
            <c:strRef>
              <c:f>work!$B$175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work!$A$176:$A$181</c:f>
              <c:strCache>
                <c:ptCount val="6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</c:strCache>
            </c:strRef>
          </c:cat>
          <c:val>
            <c:numRef>
              <c:f>work!$B$176:$B$181</c:f>
              <c:numCache>
                <c:formatCode>0.0</c:formatCode>
                <c:ptCount val="6"/>
                <c:pt idx="0">
                  <c:v>35.742505228910062</c:v>
                </c:pt>
                <c:pt idx="1">
                  <c:v>44.045761830473218</c:v>
                </c:pt>
                <c:pt idx="2">
                  <c:v>44.79991204925242</c:v>
                </c:pt>
                <c:pt idx="3">
                  <c:v>79.367290091524069</c:v>
                </c:pt>
                <c:pt idx="4">
                  <c:v>75.648511534411796</c:v>
                </c:pt>
                <c:pt idx="5">
                  <c:v>44.045761830473218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3-45DC-AFEB-28D0EED1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0007007"/>
        <c:axId val="220008255"/>
      </c:barChart>
      <c:catAx>
        <c:axId val="2200070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08255"/>
        <c:crosses val="autoZero"/>
        <c:auto val="1"/>
        <c:lblAlgn val="ctr"/>
        <c:lblOffset val="100"/>
        <c:noMultiLvlLbl val="0"/>
      </c:catAx>
      <c:valAx>
        <c:axId val="22000825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070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work!$F$183</c:f>
          <c:strCache>
            <c:ptCount val="1"/>
            <c:pt idx="0">
              <c:v>K20A: Oletko itse tai perheenjäsenesi käyttänyt yksityisiä, ts. itse ostamiasi ja maksamiasi palveluita viimeisen 12 kuukauden aikana?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116319635284385"/>
          <c:y val="0.24666598137689091"/>
          <c:w val="0.69460924979895511"/>
          <c:h val="0.6503852838094059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work!$D$183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work!$A$184:$A$189</c:f>
              <c:strCache>
                <c:ptCount val="6"/>
                <c:pt idx="0">
                  <c:v>Lääkäripalvelut</c:v>
                </c:pt>
                <c:pt idx="1">
                  <c:v>Hammashoito</c:v>
                </c:pt>
                <c:pt idx="2">
                  <c:v>Lasten päivähoito</c:v>
                </c:pt>
                <c:pt idx="3">
                  <c:v>Kotipalvelu</c:v>
                </c:pt>
                <c:pt idx="4">
                  <c:v>Vanhusten palveluasuminen</c:v>
                </c:pt>
                <c:pt idx="5">
                  <c:v>Vanhusten laitoshoito</c:v>
                </c:pt>
              </c:strCache>
            </c:strRef>
          </c:cat>
          <c:val>
            <c:numRef>
              <c:f>work!$D$184:$D$189</c:f>
              <c:numCache>
                <c:formatCode>0.0</c:formatCode>
                <c:ptCount val="6"/>
                <c:pt idx="0">
                  <c:v>71.186440677966104</c:v>
                </c:pt>
                <c:pt idx="1">
                  <c:v>31.304347826086957</c:v>
                </c:pt>
                <c:pt idx="2">
                  <c:v>0.93457943925233644</c:v>
                </c:pt>
                <c:pt idx="3">
                  <c:v>3.669724770642202</c:v>
                </c:pt>
                <c:pt idx="4">
                  <c:v>0.93457943925233644</c:v>
                </c:pt>
                <c:pt idx="5">
                  <c:v>1.8518518518518519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8-4895-B224-F51591599822}"/>
            </c:ext>
          </c:extLst>
        </c:ser>
        <c:ser>
          <c:idx val="1"/>
          <c:order val="1"/>
          <c:tx>
            <c:strRef>
              <c:f>work!$C$183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work!$A$184:$A$189</c:f>
              <c:strCache>
                <c:ptCount val="6"/>
                <c:pt idx="0">
                  <c:v>Lääkäripalvelut</c:v>
                </c:pt>
                <c:pt idx="1">
                  <c:v>Hammashoito</c:v>
                </c:pt>
                <c:pt idx="2">
                  <c:v>Lasten päivähoito</c:v>
                </c:pt>
                <c:pt idx="3">
                  <c:v>Kotipalvelu</c:v>
                </c:pt>
                <c:pt idx="4">
                  <c:v>Vanhusten palveluasuminen</c:v>
                </c:pt>
                <c:pt idx="5">
                  <c:v>Vanhusten laitoshoito</c:v>
                </c:pt>
              </c:strCache>
            </c:strRef>
          </c:cat>
          <c:val>
            <c:numRef>
              <c:f>work!$C$184:$C$189</c:f>
              <c:numCache>
                <c:formatCode>0.0</c:formatCode>
                <c:ptCount val="6"/>
                <c:pt idx="0">
                  <c:v>59.763948497854081</c:v>
                </c:pt>
                <c:pt idx="1">
                  <c:v>46.587215601300109</c:v>
                </c:pt>
                <c:pt idx="2">
                  <c:v>2.3781902552204177</c:v>
                </c:pt>
                <c:pt idx="3">
                  <c:v>3.2332563510392611</c:v>
                </c:pt>
                <c:pt idx="4">
                  <c:v>1.7908723281340266</c:v>
                </c:pt>
                <c:pt idx="5">
                  <c:v>1.3864818024263432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8-4895-B224-F51591599822}"/>
            </c:ext>
          </c:extLst>
        </c:ser>
        <c:ser>
          <c:idx val="0"/>
          <c:order val="2"/>
          <c:tx>
            <c:strRef>
              <c:f>work!$B$183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work!$A$184:$A$189</c:f>
              <c:strCache>
                <c:ptCount val="6"/>
                <c:pt idx="0">
                  <c:v>Lääkäripalvelut</c:v>
                </c:pt>
                <c:pt idx="1">
                  <c:v>Hammashoito</c:v>
                </c:pt>
                <c:pt idx="2">
                  <c:v>Lasten päivähoito</c:v>
                </c:pt>
                <c:pt idx="3">
                  <c:v>Kotipalvelu</c:v>
                </c:pt>
                <c:pt idx="4">
                  <c:v>Vanhusten palveluasuminen</c:v>
                </c:pt>
                <c:pt idx="5">
                  <c:v>Vanhusten laitoshoito</c:v>
                </c:pt>
              </c:strCache>
            </c:strRef>
          </c:cat>
          <c:val>
            <c:numRef>
              <c:f>work!$B$184:$B$189</c:f>
              <c:numCache>
                <c:formatCode>0.0</c:formatCode>
                <c:ptCount val="6"/>
                <c:pt idx="0">
                  <c:v>59.478901658040179</c:v>
                </c:pt>
                <c:pt idx="1">
                  <c:v>48.022749489025152</c:v>
                </c:pt>
                <c:pt idx="2">
                  <c:v>2.7394654237610578</c:v>
                </c:pt>
                <c:pt idx="3">
                  <c:v>2.8155706727135299</c:v>
                </c:pt>
                <c:pt idx="4">
                  <c:v>1.5894039735099337</c:v>
                </c:pt>
                <c:pt idx="5">
                  <c:v>1.3394129381590196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8-4895-B224-F51591599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9"/>
        <c:axId val="511035871"/>
        <c:axId val="511026303"/>
      </c:barChart>
      <c:catAx>
        <c:axId val="511035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026303"/>
        <c:crosses val="autoZero"/>
        <c:auto val="1"/>
        <c:lblAlgn val="ctr"/>
        <c:lblOffset val="100"/>
        <c:noMultiLvlLbl val="0"/>
      </c:catAx>
      <c:valAx>
        <c:axId val="511026303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03587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>
      <c:oddFooter>&amp;C&amp;P</c:oddFooter>
    </c:headerFooter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work!$F$191</c:f>
          <c:strCache>
            <c:ptCount val="1"/>
            <c:pt idx="0">
              <c:v>K20B: Arvio yksityisen palvelun laadusta suhteessa vastaavaan kunnalliseen palveluun. Arvioi palvelun laatua asteikolla 1 (huonompi) - 3 (parempi).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198417562970412"/>
          <c:y val="0.36686947956771149"/>
          <c:w val="0.80191766373171802"/>
          <c:h val="0.4978915547151280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work!$D$191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work!$A$192:$A$193</c:f>
              <c:strCache>
                <c:ptCount val="2"/>
                <c:pt idx="0">
                  <c:v>Lääkäripalvelut</c:v>
                </c:pt>
                <c:pt idx="1">
                  <c:v>Hammashoito</c:v>
                </c:pt>
              </c:strCache>
            </c:strRef>
          </c:cat>
          <c:val>
            <c:numRef>
              <c:f>work!$D$192:$D$193</c:f>
              <c:numCache>
                <c:formatCode>0.0</c:formatCode>
                <c:ptCount val="2"/>
                <c:pt idx="0">
                  <c:v>61.904761904761905</c:v>
                </c:pt>
                <c:pt idx="1">
                  <c:v>30.864197530864196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B5-4A8A-A7B5-9731BE82A430}"/>
            </c:ext>
          </c:extLst>
        </c:ser>
        <c:ser>
          <c:idx val="1"/>
          <c:order val="1"/>
          <c:tx>
            <c:strRef>
              <c:f>work!$C$191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work!$A$192:$A$193</c:f>
              <c:strCache>
                <c:ptCount val="2"/>
                <c:pt idx="0">
                  <c:v>Lääkäripalvelut</c:v>
                </c:pt>
                <c:pt idx="1">
                  <c:v>Hammashoito</c:v>
                </c:pt>
              </c:strCache>
            </c:strRef>
          </c:cat>
          <c:val>
            <c:numRef>
              <c:f>work!$C$192:$C$193</c:f>
              <c:numCache>
                <c:formatCode>0.0</c:formatCode>
                <c:ptCount val="2"/>
                <c:pt idx="0">
                  <c:v>67.822222222222223</c:v>
                </c:pt>
                <c:pt idx="1">
                  <c:v>64.087759815242492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5-4A8A-A7B5-9731BE82A430}"/>
            </c:ext>
          </c:extLst>
        </c:ser>
        <c:ser>
          <c:idx val="0"/>
          <c:order val="2"/>
          <c:tx>
            <c:strRef>
              <c:f>work!$B$191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work!$A$192:$A$193</c:f>
              <c:strCache>
                <c:ptCount val="2"/>
                <c:pt idx="0">
                  <c:v>Lääkäripalvelut</c:v>
                </c:pt>
                <c:pt idx="1">
                  <c:v>Hammashoito</c:v>
                </c:pt>
              </c:strCache>
            </c:strRef>
          </c:cat>
          <c:val>
            <c:numRef>
              <c:f>work!$B$192:$B$193</c:f>
              <c:numCache>
                <c:formatCode>0.0</c:formatCode>
                <c:ptCount val="2"/>
                <c:pt idx="0">
                  <c:v>59.478901658040179</c:v>
                </c:pt>
                <c:pt idx="1">
                  <c:v>48.022749489025152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5-4A8A-A7B5-9731BE82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0030303"/>
        <c:axId val="220023647"/>
      </c:barChart>
      <c:catAx>
        <c:axId val="2200303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23647"/>
        <c:crosses val="autoZero"/>
        <c:auto val="1"/>
        <c:lblAlgn val="ctr"/>
        <c:lblOffset val="100"/>
        <c:noMultiLvlLbl val="0"/>
      </c:catAx>
      <c:valAx>
        <c:axId val="220023647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3030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work!$F$200</c:f>
          <c:strCache>
            <c:ptCount val="1"/>
            <c:pt idx="0">
              <c:v>K26: Seuraatko kuntasi toimintaa ja päätöksentekoa seuraavien kanavien välityksellä? Vastaa asteikolla 1 (en lainkaan), 2 (harvoin), 3 (silloin tällöin), 4 (usein).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7191083684751117"/>
          <c:y val="0.26288396706289235"/>
          <c:w val="0.48317623020947881"/>
          <c:h val="0.6607888640158492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work!$D$200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work!$A$201:$A$208</c:f>
              <c:strCache>
                <c:ptCount val="8"/>
                <c:pt idx="0">
                  <c:v>Maakunnallisesta sanomalehdestä</c:v>
                </c:pt>
                <c:pt idx="1">
                  <c:v>Paikallisesta sanomalehdestä, ilmaisjakelulehdestä tms.</c:v>
                </c:pt>
                <c:pt idx="2">
                  <c:v>Kunnan omasta tiedotuslehdestä tai muista kotiin jaettavista tiedotteista</c:v>
                </c:pt>
                <c:pt idx="3">
                  <c:v>Yhdistysten/järjestöjen tai asuinalueen tiedotuslehdistä</c:v>
                </c:pt>
                <c:pt idx="4">
                  <c:v>Radiosta tai tv:stä (esim. Ylen alueuutisista)</c:v>
                </c:pt>
                <c:pt idx="5">
                  <c:v>Kunnan www-sivulta</c:v>
                </c:pt>
                <c:pt idx="6">
                  <c:v>Yhdistysten/järjestöjen tai asuinalueen www-sivuilta</c:v>
                </c:pt>
                <c:pt idx="7">
                  <c:v>Sosiaalisen median, esim. Facebookin tai Twitterin kautta</c:v>
                </c:pt>
              </c:strCache>
            </c:strRef>
          </c:cat>
          <c:val>
            <c:numRef>
              <c:f>work!$D$201:$D$208</c:f>
              <c:numCache>
                <c:formatCode>0.0</c:formatCode>
                <c:ptCount val="8"/>
                <c:pt idx="0">
                  <c:v>56.25</c:v>
                </c:pt>
                <c:pt idx="1">
                  <c:v>79.464285714285708</c:v>
                </c:pt>
                <c:pt idx="2">
                  <c:v>67.272727272727266</c:v>
                </c:pt>
                <c:pt idx="3">
                  <c:v>34.545454545454547</c:v>
                </c:pt>
                <c:pt idx="4">
                  <c:v>51.327433628318587</c:v>
                </c:pt>
                <c:pt idx="5">
                  <c:v>46.363636363636367</c:v>
                </c:pt>
                <c:pt idx="6">
                  <c:v>25.225225225225227</c:v>
                </c:pt>
                <c:pt idx="7">
                  <c:v>36.936936936936938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6-4497-B227-2A35C850E1ED}"/>
            </c:ext>
          </c:extLst>
        </c:ser>
        <c:ser>
          <c:idx val="1"/>
          <c:order val="1"/>
          <c:tx>
            <c:strRef>
              <c:f>work!$C$200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work!$A$201:$A$208</c:f>
              <c:strCache>
                <c:ptCount val="8"/>
                <c:pt idx="0">
                  <c:v>Maakunnallisesta sanomalehdestä</c:v>
                </c:pt>
                <c:pt idx="1">
                  <c:v>Paikallisesta sanomalehdestä, ilmaisjakelulehdestä tms.</c:v>
                </c:pt>
                <c:pt idx="2">
                  <c:v>Kunnan omasta tiedotuslehdestä tai muista kotiin jaettavista tiedotteista</c:v>
                </c:pt>
                <c:pt idx="3">
                  <c:v>Yhdistysten/järjestöjen tai asuinalueen tiedotuslehdistä</c:v>
                </c:pt>
                <c:pt idx="4">
                  <c:v>Radiosta tai tv:stä (esim. Ylen alueuutisista)</c:v>
                </c:pt>
                <c:pt idx="5">
                  <c:v>Kunnan www-sivulta</c:v>
                </c:pt>
                <c:pt idx="6">
                  <c:v>Yhdistysten/järjestöjen tai asuinalueen www-sivuilta</c:v>
                </c:pt>
                <c:pt idx="7">
                  <c:v>Sosiaalisen median, esim. Facebookin tai Twitterin kautta</c:v>
                </c:pt>
              </c:strCache>
            </c:strRef>
          </c:cat>
          <c:val>
            <c:numRef>
              <c:f>work!$C$201:$C$208</c:f>
              <c:numCache>
                <c:formatCode>0.0</c:formatCode>
                <c:ptCount val="8"/>
                <c:pt idx="0">
                  <c:v>74.0053050397878</c:v>
                </c:pt>
                <c:pt idx="1">
                  <c:v>84.453781512605048</c:v>
                </c:pt>
                <c:pt idx="2">
                  <c:v>59.923034634414513</c:v>
                </c:pt>
                <c:pt idx="3">
                  <c:v>33.886124930901047</c:v>
                </c:pt>
                <c:pt idx="4">
                  <c:v>70.304975922953446</c:v>
                </c:pt>
                <c:pt idx="5">
                  <c:v>28.911000552791599</c:v>
                </c:pt>
                <c:pt idx="6">
                  <c:v>15.562913907284768</c:v>
                </c:pt>
                <c:pt idx="7">
                  <c:v>27.233115468409586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6-4497-B227-2A35C850E1ED}"/>
            </c:ext>
          </c:extLst>
        </c:ser>
        <c:ser>
          <c:idx val="0"/>
          <c:order val="2"/>
          <c:tx>
            <c:strRef>
              <c:f>work!$B$200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work!$A$201:$A$208</c:f>
              <c:strCache>
                <c:ptCount val="8"/>
                <c:pt idx="0">
                  <c:v>Maakunnallisesta sanomalehdestä</c:v>
                </c:pt>
                <c:pt idx="1">
                  <c:v>Paikallisesta sanomalehdestä, ilmaisjakelulehdestä tms.</c:v>
                </c:pt>
                <c:pt idx="2">
                  <c:v>Kunnan omasta tiedotuslehdestä tai muista kotiin jaettavista tiedotteista</c:v>
                </c:pt>
                <c:pt idx="3">
                  <c:v>Yhdistysten/järjestöjen tai asuinalueen tiedotuslehdistä</c:v>
                </c:pt>
                <c:pt idx="4">
                  <c:v>Radiosta tai tv:stä (esim. Ylen alueuutisista)</c:v>
                </c:pt>
                <c:pt idx="5">
                  <c:v>Kunnan www-sivulta</c:v>
                </c:pt>
                <c:pt idx="6">
                  <c:v>Yhdistysten/järjestöjen tai asuinalueen www-sivuilta</c:v>
                </c:pt>
                <c:pt idx="7">
                  <c:v>Sosiaalisen median, esim. Facebookin tai Twitterin kautta</c:v>
                </c:pt>
              </c:strCache>
            </c:strRef>
          </c:cat>
          <c:val>
            <c:numRef>
              <c:f>work!$B$201:$B$208</c:f>
              <c:numCache>
                <c:formatCode>0.0</c:formatCode>
                <c:ptCount val="8"/>
                <c:pt idx="0">
                  <c:v>67.844835203675885</c:v>
                </c:pt>
                <c:pt idx="1">
                  <c:v>81.736189402480264</c:v>
                </c:pt>
                <c:pt idx="2">
                  <c:v>59.173568599207776</c:v>
                </c:pt>
                <c:pt idx="3">
                  <c:v>33.633633633633636</c:v>
                </c:pt>
                <c:pt idx="4">
                  <c:v>69.98595012293643</c:v>
                </c:pt>
                <c:pt idx="5">
                  <c:v>27.242162653339392</c:v>
                </c:pt>
                <c:pt idx="6">
                  <c:v>14.503955624261161</c:v>
                </c:pt>
                <c:pt idx="7">
                  <c:v>26.866342867422198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6-4497-B227-2A35C850E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8385039"/>
        <c:axId val="220020735"/>
      </c:barChart>
      <c:catAx>
        <c:axId val="15583850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20735"/>
        <c:crosses val="autoZero"/>
        <c:auto val="1"/>
        <c:lblAlgn val="ctr"/>
        <c:lblOffset val="100"/>
        <c:noMultiLvlLbl val="0"/>
      </c:catAx>
      <c:valAx>
        <c:axId val="22002073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83850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work!$F$220</c:f>
          <c:strCache>
            <c:ptCount val="1"/>
            <c:pt idx="0">
              <c:v>K30: Äänestätkö vaaleissa samaa puoluetta tai ryhmittymää, vai vaihteleeko valintasi puolueiden välillä? (%)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0"/>
          <c:tx>
            <c:strRef>
              <c:f>work!$A$221</c:f>
              <c:strCache>
                <c:ptCount val="1"/>
                <c:pt idx="0">
                  <c:v>Äänestän aina samaa puoluetta tai ryhmittymää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work!$B$220:$D$220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work!$B$221:$D$221</c:f>
              <c:numCache>
                <c:formatCode>0.0</c:formatCode>
                <c:ptCount val="3"/>
                <c:pt idx="0">
                  <c:v>20.442607422715923</c:v>
                </c:pt>
                <c:pt idx="1">
                  <c:v>20.868200836820083</c:v>
                </c:pt>
                <c:pt idx="2">
                  <c:v>25.641025641025642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0-472D-A774-455AF09E49AE}"/>
            </c:ext>
          </c:extLst>
        </c:ser>
        <c:ser>
          <c:idx val="1"/>
          <c:order val="1"/>
          <c:tx>
            <c:strRef>
              <c:f>work!$A$222</c:f>
              <c:strCache>
                <c:ptCount val="1"/>
                <c:pt idx="0">
                  <c:v>Äänestän pääsääntöisesti samaa puoluetta tai ryhmittymää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work!$B$220:$D$220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work!$B$222:$D$222</c:f>
              <c:numCache>
                <c:formatCode>0.0</c:formatCode>
                <c:ptCount val="3"/>
                <c:pt idx="0">
                  <c:v>43.21880650994575</c:v>
                </c:pt>
                <c:pt idx="1">
                  <c:v>43.77615062761506</c:v>
                </c:pt>
                <c:pt idx="2">
                  <c:v>35.042735042735046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0-472D-A774-455AF09E49AE}"/>
            </c:ext>
          </c:extLst>
        </c:ser>
        <c:ser>
          <c:idx val="0"/>
          <c:order val="2"/>
          <c:tx>
            <c:strRef>
              <c:f>work!$A$223</c:f>
              <c:strCache>
                <c:ptCount val="1"/>
                <c:pt idx="0">
                  <c:v>Puoluevalintani vaihtelee eri vaaleissa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work!$B$220:$D$220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work!$B$223:$D$223</c:f>
              <c:numCache>
                <c:formatCode>0.0</c:formatCode>
                <c:ptCount val="3"/>
                <c:pt idx="0">
                  <c:v>31.025574786876778</c:v>
                </c:pt>
                <c:pt idx="1">
                  <c:v>30.439330543933053</c:v>
                </c:pt>
                <c:pt idx="2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0-472D-A774-455AF09E49AE}"/>
            </c:ext>
          </c:extLst>
        </c:ser>
        <c:ser>
          <c:idx val="3"/>
          <c:order val="3"/>
          <c:tx>
            <c:strRef>
              <c:f>work!$A$224</c:f>
              <c:strCache>
                <c:ptCount val="1"/>
                <c:pt idx="0">
                  <c:v>En äänestä koskaan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work!$B$220:$D$220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work!$B$224:$D$224</c:f>
              <c:numCache>
                <c:formatCode>0.0</c:formatCode>
                <c:ptCount val="3"/>
                <c:pt idx="0">
                  <c:v>3.5046930164470851</c:v>
                </c:pt>
                <c:pt idx="1">
                  <c:v>3.0857740585774058</c:v>
                </c:pt>
                <c:pt idx="2">
                  <c:v>5.1282051282051286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A-4301-818B-1B38B3CC0C54}"/>
            </c:ext>
          </c:extLst>
        </c:ser>
        <c:ser>
          <c:idx val="4"/>
          <c:order val="4"/>
          <c:tx>
            <c:strRef>
              <c:f>work!$A$225</c:f>
              <c:strCache>
                <c:ptCount val="1"/>
                <c:pt idx="0">
                  <c:v>Äänestän ensimmäistä kertaa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0426157237324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A-4301-818B-1B38B3CC0C54}"/>
                </c:ext>
              </c:extLst>
            </c:dLbl>
            <c:dLbl>
              <c:idx val="1"/>
              <c:layout>
                <c:manualLayout>
                  <c:x val="2.20426157237326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A-4301-818B-1B38B3CC0C54}"/>
                </c:ext>
              </c:extLst>
            </c:dLbl>
            <c:dLbl>
              <c:idx val="2"/>
              <c:layout>
                <c:manualLayout>
                  <c:x val="2.2042615723732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A-4301-818B-1B38B3CC0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work!$B$220:$D$220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work!$B$225:$D$225</c:f>
              <c:numCache>
                <c:formatCode>0.0</c:formatCode>
                <c:ptCount val="3"/>
                <c:pt idx="0">
                  <c:v>1.8083182640144666</c:v>
                </c:pt>
                <c:pt idx="1">
                  <c:v>1.8305439330543933</c:v>
                </c:pt>
                <c:pt idx="2">
                  <c:v>0.85470085470085466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A-4301-818B-1B38B3CC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20015327"/>
        <c:axId val="220017823"/>
      </c:barChart>
      <c:catAx>
        <c:axId val="2200153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17823"/>
        <c:crosses val="autoZero"/>
        <c:auto val="1"/>
        <c:lblAlgn val="ctr"/>
        <c:lblOffset val="100"/>
        <c:noMultiLvlLbl val="0"/>
      </c:catAx>
      <c:valAx>
        <c:axId val="220017823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1532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work!$F$12</c:f>
          <c:strCache>
            <c:ptCount val="1"/>
            <c:pt idx="0">
              <c:v>K14: Mitkä ovat mielestäsi kolme tärkeintä asiaa hyvässä kotikunnassa/-kaupungissa?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704108408476866"/>
          <c:y val="0.13226983156610508"/>
          <c:w val="0.65701404585700773"/>
          <c:h val="0.820241644926551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work!$D$12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work!$A$13:$A$21</c:f>
              <c:strCache>
                <c:ptCount val="9"/>
                <c:pt idx="0">
                  <c:v>Hyvä asunto</c:v>
                </c:pt>
                <c:pt idx="1">
                  <c:v>Hyvä asuinympäristö</c:v>
                </c:pt>
                <c:pt idx="2">
                  <c:v>Luonnonläheisyys</c:v>
                </c:pt>
                <c:pt idx="3">
                  <c:v>Hyvät liikenneyhteydet</c:v>
                </c:pt>
                <c:pt idx="4">
                  <c:v>Hyvät palvelut</c:v>
                </c:pt>
                <c:pt idx="5">
                  <c:v>Perhe ja muut läheiset</c:v>
                </c:pt>
                <c:pt idx="6">
                  <c:v>Yhteisöllisyys ja naapurisuhteet</c:v>
                </c:pt>
                <c:pt idx="7">
                  <c:v>Turvallisuus</c:v>
                </c:pt>
                <c:pt idx="8">
                  <c:v>Hyvät toimeentulomahdollisuudet</c:v>
                </c:pt>
              </c:strCache>
            </c:strRef>
          </c:cat>
          <c:val>
            <c:numRef>
              <c:f>work!$D$13:$D$21</c:f>
              <c:numCache>
                <c:formatCode>0.0</c:formatCode>
                <c:ptCount val="9"/>
                <c:pt idx="0">
                  <c:v>28.571428571428573</c:v>
                </c:pt>
                <c:pt idx="1">
                  <c:v>46.218487394957982</c:v>
                </c:pt>
                <c:pt idx="2">
                  <c:v>42.016806722689076</c:v>
                </c:pt>
                <c:pt idx="3">
                  <c:v>21.008403361344538</c:v>
                </c:pt>
                <c:pt idx="4">
                  <c:v>40.336134453781511</c:v>
                </c:pt>
                <c:pt idx="5">
                  <c:v>34.45378151260504</c:v>
                </c:pt>
                <c:pt idx="6">
                  <c:v>10.92436974789916</c:v>
                </c:pt>
                <c:pt idx="7">
                  <c:v>36.134453781512605</c:v>
                </c:pt>
                <c:pt idx="8">
                  <c:v>7.5630252100840334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1-4E05-A78F-9DF14BA3D7A8}"/>
            </c:ext>
          </c:extLst>
        </c:ser>
        <c:ser>
          <c:idx val="1"/>
          <c:order val="1"/>
          <c:tx>
            <c:strRef>
              <c:f>work!$C$12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work!$A$13:$A$21</c:f>
              <c:strCache>
                <c:ptCount val="9"/>
                <c:pt idx="0">
                  <c:v>Hyvä asunto</c:v>
                </c:pt>
                <c:pt idx="1">
                  <c:v>Hyvä asuinympäristö</c:v>
                </c:pt>
                <c:pt idx="2">
                  <c:v>Luonnonläheisyys</c:v>
                </c:pt>
                <c:pt idx="3">
                  <c:v>Hyvät liikenneyhteydet</c:v>
                </c:pt>
                <c:pt idx="4">
                  <c:v>Hyvät palvelut</c:v>
                </c:pt>
                <c:pt idx="5">
                  <c:v>Perhe ja muut läheiset</c:v>
                </c:pt>
                <c:pt idx="6">
                  <c:v>Yhteisöllisyys ja naapurisuhteet</c:v>
                </c:pt>
                <c:pt idx="7">
                  <c:v>Turvallisuus</c:v>
                </c:pt>
                <c:pt idx="8">
                  <c:v>Hyvät toimeentulomahdollisuudet</c:v>
                </c:pt>
              </c:strCache>
            </c:strRef>
          </c:cat>
          <c:val>
            <c:numRef>
              <c:f>work!$C$13:$C$21</c:f>
              <c:numCache>
                <c:formatCode>0.0</c:formatCode>
                <c:ptCount val="9"/>
                <c:pt idx="0">
                  <c:v>26.974358974358974</c:v>
                </c:pt>
                <c:pt idx="1">
                  <c:v>46.358974358974358</c:v>
                </c:pt>
                <c:pt idx="2">
                  <c:v>29.333333333333332</c:v>
                </c:pt>
                <c:pt idx="3">
                  <c:v>24.717948717948719</c:v>
                </c:pt>
                <c:pt idx="4">
                  <c:v>50.717948717948715</c:v>
                </c:pt>
                <c:pt idx="5">
                  <c:v>32.564102564102562</c:v>
                </c:pt>
                <c:pt idx="6">
                  <c:v>8.3589743589743595</c:v>
                </c:pt>
                <c:pt idx="7">
                  <c:v>36.974358974358971</c:v>
                </c:pt>
                <c:pt idx="8">
                  <c:v>15.179487179487179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1-4E05-A78F-9DF14BA3D7A8}"/>
            </c:ext>
          </c:extLst>
        </c:ser>
        <c:ser>
          <c:idx val="2"/>
          <c:order val="2"/>
          <c:tx>
            <c:strRef>
              <c:f>work!$B$12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work!$A$13:$A$21</c:f>
              <c:strCache>
                <c:ptCount val="9"/>
                <c:pt idx="0">
                  <c:v>Hyvä asunto</c:v>
                </c:pt>
                <c:pt idx="1">
                  <c:v>Hyvä asuinympäristö</c:v>
                </c:pt>
                <c:pt idx="2">
                  <c:v>Luonnonläheisyys</c:v>
                </c:pt>
                <c:pt idx="3">
                  <c:v>Hyvät liikenneyhteydet</c:v>
                </c:pt>
                <c:pt idx="4">
                  <c:v>Hyvät palvelut</c:v>
                </c:pt>
                <c:pt idx="5">
                  <c:v>Perhe ja muut läheiset</c:v>
                </c:pt>
                <c:pt idx="6">
                  <c:v>Yhteisöllisyys ja naapurisuhteet</c:v>
                </c:pt>
                <c:pt idx="7">
                  <c:v>Turvallisuus</c:v>
                </c:pt>
                <c:pt idx="8">
                  <c:v>Hyvät toimeentulomahdollisuudet</c:v>
                </c:pt>
              </c:strCache>
            </c:strRef>
          </c:cat>
          <c:val>
            <c:numRef>
              <c:f>work!$B$13:$B$21</c:f>
              <c:numCache>
                <c:formatCode>0.0</c:formatCode>
                <c:ptCount val="9"/>
                <c:pt idx="0">
                  <c:v>28.238866396761132</c:v>
                </c:pt>
                <c:pt idx="1">
                  <c:v>46.271929824561404</c:v>
                </c:pt>
                <c:pt idx="2">
                  <c:v>30.727058029689609</c:v>
                </c:pt>
                <c:pt idx="3">
                  <c:v>25.868758434547907</c:v>
                </c:pt>
                <c:pt idx="4">
                  <c:v>47.731106612685558</c:v>
                </c:pt>
                <c:pt idx="5">
                  <c:v>30.85357624831309</c:v>
                </c:pt>
                <c:pt idx="6">
                  <c:v>7.5067476383265861</c:v>
                </c:pt>
                <c:pt idx="7">
                  <c:v>35.560053981106613</c:v>
                </c:pt>
                <c:pt idx="8">
                  <c:v>17.729419703103915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1-4E05-A78F-9DF14BA3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4823983"/>
        <c:axId val="1044820239"/>
      </c:barChart>
      <c:catAx>
        <c:axId val="1044823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20239"/>
        <c:crosses val="autoZero"/>
        <c:auto val="1"/>
        <c:lblAlgn val="ctr"/>
        <c:lblOffset val="100"/>
        <c:noMultiLvlLbl val="0"/>
      </c:catAx>
      <c:valAx>
        <c:axId val="104482023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2398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>
      <c:oddHeader>&amp;C&amp;12Päättäjäkysely 2017
</c:oddHeader>
      <c:oddFooter>&amp;C&amp;P</c:oddFooter>
    </c:headerFooter>
    <c:pageMargins b="0.75" l="0.7" r="0.7" t="0.75" header="0.3" footer="0.3"/>
    <c:pageSetup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work!$F$227</c:f>
          <c:strCache>
            <c:ptCount val="1"/>
            <c:pt idx="0">
              <c:v>K31: Kuinka tärkeinä pidät seuraavia tekijöitä, kun äänestät kuntavaaleissa?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3831379775176893"/>
          <c:y val="0.25786669060116924"/>
          <c:w val="0.51745864840003009"/>
          <c:h val="0.6414471687647240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work!$D$227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work!$A$228:$A$233</c:f>
              <c:strCache>
                <c:ptCount val="6"/>
                <c:pt idx="0">
                  <c:v>henkilö</c:v>
                </c:pt>
                <c:pt idx="1">
                  <c:v>sukupuoli</c:v>
                </c:pt>
                <c:pt idx="2">
                  <c:v>ikä</c:v>
                </c:pt>
                <c:pt idx="3">
                  <c:v>puolue/valitsijayhdistys</c:v>
                </c:pt>
                <c:pt idx="4">
                  <c:v>oman kylän, kunnan- tai kaupunginosan ehdokas</c:v>
                </c:pt>
                <c:pt idx="5">
                  <c:v>jokin muu</c:v>
                </c:pt>
              </c:strCache>
            </c:strRef>
          </c:cat>
          <c:val>
            <c:numRef>
              <c:f>work!$D$228:$D$233</c:f>
              <c:numCache>
                <c:formatCode>0.0</c:formatCode>
                <c:ptCount val="6"/>
                <c:pt idx="0">
                  <c:v>84.955752212389385</c:v>
                </c:pt>
                <c:pt idx="1">
                  <c:v>12.037037037037036</c:v>
                </c:pt>
                <c:pt idx="2">
                  <c:v>18.518518518518519</c:v>
                </c:pt>
                <c:pt idx="3">
                  <c:v>59.813084112149532</c:v>
                </c:pt>
                <c:pt idx="4">
                  <c:v>50.458715596330272</c:v>
                </c:pt>
                <c:pt idx="5">
                  <c:v>54.545454545454547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B-4E58-A551-87223FFD6E9A}"/>
            </c:ext>
          </c:extLst>
        </c:ser>
        <c:ser>
          <c:idx val="1"/>
          <c:order val="1"/>
          <c:tx>
            <c:strRef>
              <c:f>work!$C$227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work!$A$228:$A$233</c:f>
              <c:strCache>
                <c:ptCount val="6"/>
                <c:pt idx="0">
                  <c:v>henkilö</c:v>
                </c:pt>
                <c:pt idx="1">
                  <c:v>sukupuoli</c:v>
                </c:pt>
                <c:pt idx="2">
                  <c:v>ikä</c:v>
                </c:pt>
                <c:pt idx="3">
                  <c:v>puolue/valitsijayhdistys</c:v>
                </c:pt>
                <c:pt idx="4">
                  <c:v>oman kylän, kunnan- tai kaupunginosan ehdokas</c:v>
                </c:pt>
                <c:pt idx="5">
                  <c:v>jokin muu</c:v>
                </c:pt>
              </c:strCache>
            </c:strRef>
          </c:cat>
          <c:val>
            <c:numRef>
              <c:f>work!$C$228:$C$233</c:f>
              <c:numCache>
                <c:formatCode>0.0</c:formatCode>
                <c:ptCount val="6"/>
                <c:pt idx="0">
                  <c:v>84.74666666666667</c:v>
                </c:pt>
                <c:pt idx="1">
                  <c:v>18.603382433169667</c:v>
                </c:pt>
                <c:pt idx="2">
                  <c:v>25.687568756875688</c:v>
                </c:pt>
                <c:pt idx="3">
                  <c:v>61.724327292696323</c:v>
                </c:pt>
                <c:pt idx="4">
                  <c:v>48.373101952277658</c:v>
                </c:pt>
                <c:pt idx="5">
                  <c:v>37.226277372262771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B-4E58-A551-87223FFD6E9A}"/>
            </c:ext>
          </c:extLst>
        </c:ser>
        <c:ser>
          <c:idx val="0"/>
          <c:order val="2"/>
          <c:tx>
            <c:strRef>
              <c:f>work!$B$227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work!$A$228:$A$233</c:f>
              <c:strCache>
                <c:ptCount val="6"/>
                <c:pt idx="0">
                  <c:v>henkilö</c:v>
                </c:pt>
                <c:pt idx="1">
                  <c:v>sukupuoli</c:v>
                </c:pt>
                <c:pt idx="2">
                  <c:v>ikä</c:v>
                </c:pt>
                <c:pt idx="3">
                  <c:v>puolue/valitsijayhdistys</c:v>
                </c:pt>
                <c:pt idx="4">
                  <c:v>oman kylän, kunnan- tai kaupunginosan ehdokas</c:v>
                </c:pt>
                <c:pt idx="5">
                  <c:v>jokin muu</c:v>
                </c:pt>
              </c:strCache>
            </c:strRef>
          </c:cat>
          <c:val>
            <c:numRef>
              <c:f>work!$B$228:$B$233</c:f>
              <c:numCache>
                <c:formatCode>0.0</c:formatCode>
                <c:ptCount val="6"/>
                <c:pt idx="0">
                  <c:v>84.911971830985919</c:v>
                </c:pt>
                <c:pt idx="1">
                  <c:v>18.023465703971119</c:v>
                </c:pt>
                <c:pt idx="2">
                  <c:v>26.557674841053586</c:v>
                </c:pt>
                <c:pt idx="3">
                  <c:v>63.348089258288915</c:v>
                </c:pt>
                <c:pt idx="4">
                  <c:v>43.171254915981407</c:v>
                </c:pt>
                <c:pt idx="5">
                  <c:v>42.130482860302251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B-4E58-A551-87223FFD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1432943"/>
        <c:axId val="1571435023"/>
      </c:barChart>
      <c:catAx>
        <c:axId val="15714329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1435023"/>
        <c:crosses val="autoZero"/>
        <c:auto val="1"/>
        <c:lblAlgn val="ctr"/>
        <c:lblOffset val="100"/>
        <c:noMultiLvlLbl val="0"/>
      </c:catAx>
      <c:valAx>
        <c:axId val="157143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143294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work!$F$235</c:f>
          <c:strCache>
            <c:ptCount val="1"/>
            <c:pt idx="0">
              <c:v>K32: Mitä mieltä olet seuraavista kunnalliseen päätöksentekoon liittyvistä asioista?</c:v>
            </c:pt>
          </c:strCache>
        </c:strRef>
      </c:tx>
      <c:layout>
        <c:manualLayout>
          <c:xMode val="edge"/>
          <c:yMode val="edge"/>
          <c:x val="0.13716377968750321"/>
          <c:y val="2.370370923387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8328970129652238"/>
          <c:y val="0.25779510861532251"/>
          <c:w val="0.47248274485527664"/>
          <c:h val="0.6455461519788868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work!$D$235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work!$A$236:$A$240</c:f>
              <c:strCache>
                <c:ptCount val="5"/>
                <c:pt idx="0">
                  <c:v>Kuntavaaleissa äänestäminen on tärkein keino vaikuttaa kuntani asioihin.</c:v>
                </c:pt>
                <c:pt idx="1">
                  <c:v>Tärkeimmistä asioista päätettäessä tulisi järjestää kunnallinen kansanäänestys.</c:v>
                </c:pt>
                <c:pt idx="2">
                  <c:v>Kuntavaaleissa tulisi voida äänestää internetin välityksellä.</c:v>
                </c:pt>
                <c:pt idx="3">
                  <c:v>Kuntavaalien äänestysikäraja tulisi laskea 18 vuodesta 16 vuoteen.</c:v>
                </c:pt>
                <c:pt idx="4">
                  <c:v>Kunnanjohtaja tulisi valita suoralla kansanvaalilla.</c:v>
                </c:pt>
              </c:strCache>
            </c:strRef>
          </c:cat>
          <c:val>
            <c:numRef>
              <c:f>work!$D$236:$D$240</c:f>
              <c:numCache>
                <c:formatCode>0.0</c:formatCode>
                <c:ptCount val="5"/>
                <c:pt idx="0">
                  <c:v>66.666666666666671</c:v>
                </c:pt>
                <c:pt idx="1">
                  <c:v>48.672566371681413</c:v>
                </c:pt>
                <c:pt idx="2">
                  <c:v>41.592920353982301</c:v>
                </c:pt>
                <c:pt idx="3">
                  <c:v>19.298245614035089</c:v>
                </c:pt>
                <c:pt idx="4">
                  <c:v>33.628318584070797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6-4EEB-AFC4-689B44A5481E}"/>
            </c:ext>
          </c:extLst>
        </c:ser>
        <c:ser>
          <c:idx val="1"/>
          <c:order val="1"/>
          <c:tx>
            <c:strRef>
              <c:f>work!$C$235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work!$A$236:$A$240</c:f>
              <c:strCache>
                <c:ptCount val="5"/>
                <c:pt idx="0">
                  <c:v>Kuntavaaleissa äänestäminen on tärkein keino vaikuttaa kuntani asioihin.</c:v>
                </c:pt>
                <c:pt idx="1">
                  <c:v>Tärkeimmistä asioista päätettäessä tulisi järjestää kunnallinen kansanäänestys.</c:v>
                </c:pt>
                <c:pt idx="2">
                  <c:v>Kuntavaaleissa tulisi voida äänestää internetin välityksellä.</c:v>
                </c:pt>
                <c:pt idx="3">
                  <c:v>Kuntavaalien äänestysikäraja tulisi laskea 18 vuodesta 16 vuoteen.</c:v>
                </c:pt>
                <c:pt idx="4">
                  <c:v>Kunnanjohtaja tulisi valita suoralla kansanvaalilla.</c:v>
                </c:pt>
              </c:strCache>
            </c:strRef>
          </c:cat>
          <c:val>
            <c:numRef>
              <c:f>work!$C$236:$C$240</c:f>
              <c:numCache>
                <c:formatCode>0.0</c:formatCode>
                <c:ptCount val="5"/>
                <c:pt idx="0">
                  <c:v>70.473684210526315</c:v>
                </c:pt>
                <c:pt idx="1">
                  <c:v>45.478865703584802</c:v>
                </c:pt>
                <c:pt idx="2">
                  <c:v>37.263385613845323</c:v>
                </c:pt>
                <c:pt idx="3">
                  <c:v>16.077170418006432</c:v>
                </c:pt>
                <c:pt idx="4">
                  <c:v>34.698275862068968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6-4EEB-AFC4-689B44A5481E}"/>
            </c:ext>
          </c:extLst>
        </c:ser>
        <c:ser>
          <c:idx val="0"/>
          <c:order val="2"/>
          <c:tx>
            <c:strRef>
              <c:f>work!$B$235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work!$A$236:$A$240</c:f>
              <c:strCache>
                <c:ptCount val="5"/>
                <c:pt idx="0">
                  <c:v>Kuntavaaleissa äänestäminen on tärkein keino vaikuttaa kuntani asioihin.</c:v>
                </c:pt>
                <c:pt idx="1">
                  <c:v>Tärkeimmistä asioista päätettäessä tulisi järjestää kunnallinen kansanäänestys.</c:v>
                </c:pt>
                <c:pt idx="2">
                  <c:v>Kuntavaaleissa tulisi voida äänestää internetin välityksellä.</c:v>
                </c:pt>
                <c:pt idx="3">
                  <c:v>Kuntavaalien äänestysikäraja tulisi laskea 18 vuodesta 16 vuoteen.</c:v>
                </c:pt>
                <c:pt idx="4">
                  <c:v>Kunnanjohtaja tulisi valita suoralla kansanvaalilla.</c:v>
                </c:pt>
              </c:strCache>
            </c:strRef>
          </c:cat>
          <c:val>
            <c:numRef>
              <c:f>work!$B$236:$B$240</c:f>
              <c:numCache>
                <c:formatCode>0.0</c:formatCode>
                <c:ptCount val="5"/>
                <c:pt idx="0">
                  <c:v>70.233362143474508</c:v>
                </c:pt>
                <c:pt idx="1">
                  <c:v>46.475654772367726</c:v>
                </c:pt>
                <c:pt idx="2">
                  <c:v>38.774422735346356</c:v>
                </c:pt>
                <c:pt idx="3">
                  <c:v>15.851409502063756</c:v>
                </c:pt>
                <c:pt idx="4">
                  <c:v>34.474865745224051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6-4EEB-AFC4-689B44A54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1435439"/>
        <c:axId val="1571432527"/>
      </c:barChart>
      <c:catAx>
        <c:axId val="15714354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1432527"/>
        <c:crosses val="autoZero"/>
        <c:auto val="1"/>
        <c:lblAlgn val="ctr"/>
        <c:lblOffset val="100"/>
        <c:noMultiLvlLbl val="0"/>
      </c:catAx>
      <c:valAx>
        <c:axId val="1571432527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14354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work!$F$242</c:f>
          <c:strCache>
            <c:ptCount val="1"/>
            <c:pt idx="0">
              <c:v>K33: Mitä mieltä olet seuraavista oman kuntasi päätöksentekoon ja päättäjiin liittyvistä väittämistä?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8430938922862415"/>
          <c:y val="0.1455247027399654"/>
          <c:w val="0.47146305692317481"/>
          <c:h val="0.7995555783367959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work!$D$242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work!$A$243:$A$255</c:f>
              <c:strCache>
                <c:ptCount val="13"/>
                <c:pt idx="0">
                  <c:v>Kuntani palveluista tiedotetaan riittävästi.</c:v>
                </c:pt>
                <c:pt idx="1">
                  <c:v>Kuntani päätöksistä tiedotetaan riittävästi.</c:v>
                </c:pt>
                <c:pt idx="2">
                  <c:v>Kuntani päätöksenteko on oikeudenmukaista ja kohtelee tasavertaisesti eri väestöryhmiä.</c:v>
                </c:pt>
                <c:pt idx="3">
                  <c:v>Luotan kuntani poliittisiin päättäjiin omaa kuntaani kehitettäessä.</c:v>
                </c:pt>
                <c:pt idx="4">
                  <c:v>Kunnassani kuunnellaan kuntalaisten mielipiteitä.</c:v>
                </c:pt>
                <c:pt idx="5">
                  <c:v>Uskon kuntani luottamushenkilöiden ajavan vilpittömästi kunnan parasta.</c:v>
                </c:pt>
                <c:pt idx="6">
                  <c:v>Todellista päätösvaltaa kunnassani käyttävät viranhaltijat, eivät luottamushenkilöt.</c:v>
                </c:pt>
                <c:pt idx="7">
                  <c:v>Kuntani asioiden hoidossa on huomattavaa parantamisen varaa.</c:v>
                </c:pt>
                <c:pt idx="8">
                  <c:v>Vaaleilla valitsemamme kunnanvaltuutetut menettävät yleensä pian kosketuksen äänestäjiin.</c:v>
                </c:pt>
                <c:pt idx="9">
                  <c:v>Kuntani päättäjät keskittyvät liikaa uusien veronmaksajien houkutteluun.</c:v>
                </c:pt>
                <c:pt idx="10">
                  <c:v>Kuntani päättäjt pitävät hyvin huolta elämisen edellytyksistä kunnassani.</c:v>
                </c:pt>
                <c:pt idx="11">
                  <c:v>Valtakunnan tason päättäjät pitävät hyvin huolta elämisen edellytyksistä asuinseudullani.</c:v>
                </c:pt>
                <c:pt idx="12">
                  <c:v>Minua kiinnostaa ainoastaan omaa lähiympäristöäni koskeviin asioihin vaikuttaminen.</c:v>
                </c:pt>
              </c:strCache>
            </c:strRef>
          </c:cat>
          <c:val>
            <c:numRef>
              <c:f>work!$D$243:$D$255</c:f>
              <c:numCache>
                <c:formatCode>0.0</c:formatCode>
                <c:ptCount val="13"/>
                <c:pt idx="0">
                  <c:v>27.027027027027028</c:v>
                </c:pt>
                <c:pt idx="1">
                  <c:v>24.107142857142858</c:v>
                </c:pt>
                <c:pt idx="2">
                  <c:v>18.75</c:v>
                </c:pt>
                <c:pt idx="3">
                  <c:v>21.428571428571427</c:v>
                </c:pt>
                <c:pt idx="4">
                  <c:v>11.504424778761061</c:v>
                </c:pt>
                <c:pt idx="5">
                  <c:v>23.893805309734514</c:v>
                </c:pt>
                <c:pt idx="6">
                  <c:v>33.035714285714285</c:v>
                </c:pt>
                <c:pt idx="7">
                  <c:v>66.666666666666671</c:v>
                </c:pt>
                <c:pt idx="8">
                  <c:v>39.823008849557525</c:v>
                </c:pt>
                <c:pt idx="9">
                  <c:v>23.008849557522122</c:v>
                </c:pt>
                <c:pt idx="10">
                  <c:v>19.642857142857142</c:v>
                </c:pt>
                <c:pt idx="11">
                  <c:v>8.8495575221238933</c:v>
                </c:pt>
                <c:pt idx="12">
                  <c:v>21.428571428571427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8-440F-8395-C260A3CA9889}"/>
            </c:ext>
          </c:extLst>
        </c:ser>
        <c:ser>
          <c:idx val="1"/>
          <c:order val="1"/>
          <c:tx>
            <c:strRef>
              <c:f>work!$C$242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work!$A$243:$A$255</c:f>
              <c:strCache>
                <c:ptCount val="13"/>
                <c:pt idx="0">
                  <c:v>Kuntani palveluista tiedotetaan riittävästi.</c:v>
                </c:pt>
                <c:pt idx="1">
                  <c:v>Kuntani päätöksistä tiedotetaan riittävästi.</c:v>
                </c:pt>
                <c:pt idx="2">
                  <c:v>Kuntani päätöksenteko on oikeudenmukaista ja kohtelee tasavertaisesti eri väestöryhmiä.</c:v>
                </c:pt>
                <c:pt idx="3">
                  <c:v>Luotan kuntani poliittisiin päättäjiin omaa kuntaani kehitettäessä.</c:v>
                </c:pt>
                <c:pt idx="4">
                  <c:v>Kunnassani kuunnellaan kuntalaisten mielipiteitä.</c:v>
                </c:pt>
                <c:pt idx="5">
                  <c:v>Uskon kuntani luottamushenkilöiden ajavan vilpittömästi kunnan parasta.</c:v>
                </c:pt>
                <c:pt idx="6">
                  <c:v>Todellista päätösvaltaa kunnassani käyttävät viranhaltijat, eivät luottamushenkilöt.</c:v>
                </c:pt>
                <c:pt idx="7">
                  <c:v>Kuntani asioiden hoidossa on huomattavaa parantamisen varaa.</c:v>
                </c:pt>
                <c:pt idx="8">
                  <c:v>Vaaleilla valitsemamme kunnanvaltuutetut menettävät yleensä pian kosketuksen äänestäjiin.</c:v>
                </c:pt>
                <c:pt idx="9">
                  <c:v>Kuntani päättäjät keskittyvät liikaa uusien veronmaksajien houkutteluun.</c:v>
                </c:pt>
                <c:pt idx="10">
                  <c:v>Kuntani päättäjt pitävät hyvin huolta elämisen edellytyksistä kunnassani.</c:v>
                </c:pt>
                <c:pt idx="11">
                  <c:v>Valtakunnan tason päättäjät pitävät hyvin huolta elämisen edellytyksistä asuinseudullani.</c:v>
                </c:pt>
                <c:pt idx="12">
                  <c:v>Minua kiinnostaa ainoastaan omaa lähiympäristöäni koskeviin asioihin vaikuttaminen.</c:v>
                </c:pt>
              </c:strCache>
            </c:strRef>
          </c:cat>
          <c:val>
            <c:numRef>
              <c:f>work!$C$243:$C$255</c:f>
              <c:numCache>
                <c:formatCode>0.0</c:formatCode>
                <c:ptCount val="13"/>
                <c:pt idx="0">
                  <c:v>35.116525423728817</c:v>
                </c:pt>
                <c:pt idx="1">
                  <c:v>30.256136606189969</c:v>
                </c:pt>
                <c:pt idx="2">
                  <c:v>18.739903069466884</c:v>
                </c:pt>
                <c:pt idx="3">
                  <c:v>25.809877854487521</c:v>
                </c:pt>
                <c:pt idx="4">
                  <c:v>15.227882037533512</c:v>
                </c:pt>
                <c:pt idx="5">
                  <c:v>28.396377197655834</c:v>
                </c:pt>
                <c:pt idx="6">
                  <c:v>33.351351351351354</c:v>
                </c:pt>
                <c:pt idx="7">
                  <c:v>51.869658119658119</c:v>
                </c:pt>
                <c:pt idx="8">
                  <c:v>43.272335844994615</c:v>
                </c:pt>
                <c:pt idx="9">
                  <c:v>20.801733477789817</c:v>
                </c:pt>
                <c:pt idx="10">
                  <c:v>23.196986006458559</c:v>
                </c:pt>
                <c:pt idx="11">
                  <c:v>11.482479784366577</c:v>
                </c:pt>
                <c:pt idx="12">
                  <c:v>19.265566790846194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8-440F-8395-C260A3CA9889}"/>
            </c:ext>
          </c:extLst>
        </c:ser>
        <c:ser>
          <c:idx val="0"/>
          <c:order val="2"/>
          <c:tx>
            <c:strRef>
              <c:f>work!$B$242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work!$A$243:$A$255</c:f>
              <c:strCache>
                <c:ptCount val="13"/>
                <c:pt idx="0">
                  <c:v>Kuntani palveluista tiedotetaan riittävästi.</c:v>
                </c:pt>
                <c:pt idx="1">
                  <c:v>Kuntani päätöksistä tiedotetaan riittävästi.</c:v>
                </c:pt>
                <c:pt idx="2">
                  <c:v>Kuntani päätöksenteko on oikeudenmukaista ja kohtelee tasavertaisesti eri väestöryhmiä.</c:v>
                </c:pt>
                <c:pt idx="3">
                  <c:v>Luotan kuntani poliittisiin päättäjiin omaa kuntaani kehitettäessä.</c:v>
                </c:pt>
                <c:pt idx="4">
                  <c:v>Kunnassani kuunnellaan kuntalaisten mielipiteitä.</c:v>
                </c:pt>
                <c:pt idx="5">
                  <c:v>Uskon kuntani luottamushenkilöiden ajavan vilpittömästi kunnan parasta.</c:v>
                </c:pt>
                <c:pt idx="6">
                  <c:v>Todellista päätösvaltaa kunnassani käyttävät viranhaltijat, eivät luottamushenkilöt.</c:v>
                </c:pt>
                <c:pt idx="7">
                  <c:v>Kuntani asioiden hoidossa on huomattavaa parantamisen varaa.</c:v>
                </c:pt>
                <c:pt idx="8">
                  <c:v>Vaaleilla valitsemamme kunnanvaltuutetut menettävät yleensä pian kosketuksen äänestäjiin.</c:v>
                </c:pt>
                <c:pt idx="9">
                  <c:v>Kuntani päättäjät keskittyvät liikaa uusien veronmaksajien houkutteluun.</c:v>
                </c:pt>
                <c:pt idx="10">
                  <c:v>Kuntani päättäjt pitävät hyvin huolta elämisen edellytyksistä kunnassani.</c:v>
                </c:pt>
                <c:pt idx="11">
                  <c:v>Valtakunnan tason päättäjät pitävät hyvin huolta elämisen edellytyksistä asuinseudullani.</c:v>
                </c:pt>
                <c:pt idx="12">
                  <c:v>Minua kiinnostaa ainoastaan omaa lähiympäristöäni koskeviin asioihin vaikuttaminen.</c:v>
                </c:pt>
              </c:strCache>
            </c:strRef>
          </c:cat>
          <c:val>
            <c:numRef>
              <c:f>work!$B$243:$B$255</c:f>
              <c:numCache>
                <c:formatCode>0.0</c:formatCode>
                <c:ptCount val="13"/>
                <c:pt idx="0">
                  <c:v>35.64019872744705</c:v>
                </c:pt>
                <c:pt idx="1">
                  <c:v>29.18387068435386</c:v>
                </c:pt>
                <c:pt idx="2">
                  <c:v>18.972366910920808</c:v>
                </c:pt>
                <c:pt idx="3">
                  <c:v>25.737991266375545</c:v>
                </c:pt>
                <c:pt idx="4">
                  <c:v>15.329815303430079</c:v>
                </c:pt>
                <c:pt idx="5">
                  <c:v>27.525186158563294</c:v>
                </c:pt>
                <c:pt idx="6">
                  <c:v>32.901393449897931</c:v>
                </c:pt>
                <c:pt idx="7">
                  <c:v>51.38620810668538</c:v>
                </c:pt>
                <c:pt idx="8">
                  <c:v>42.772939209993844</c:v>
                </c:pt>
                <c:pt idx="9">
                  <c:v>23.805732484076433</c:v>
                </c:pt>
                <c:pt idx="10">
                  <c:v>22.954144620811288</c:v>
                </c:pt>
                <c:pt idx="11">
                  <c:v>11.748103721996825</c:v>
                </c:pt>
                <c:pt idx="12">
                  <c:v>17.908875427969448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8-440F-8395-C260A3CA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1434607"/>
        <c:axId val="1571436271"/>
      </c:barChart>
      <c:catAx>
        <c:axId val="15714346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1436271"/>
        <c:crosses val="autoZero"/>
        <c:auto val="1"/>
        <c:lblAlgn val="ctr"/>
        <c:lblOffset val="100"/>
        <c:noMultiLvlLbl val="0"/>
      </c:catAx>
      <c:valAx>
        <c:axId val="157143627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14346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work!$F$257</c:f>
          <c:strCache>
            <c:ptCount val="1"/>
            <c:pt idx="0">
              <c:v>K34: Seuraavassa esitetään joukko kuntasi talouteen ja hallintoon liittyviä väittämiä. Mitä mieltä olet niistä? Arvioi väittämiä asteikolla 1 (täysin eri mieltä) - 5 (täysin samaa mieltä).</c:v>
            </c:pt>
          </c:strCache>
        </c:strRef>
      </c:tx>
      <c:layout>
        <c:manualLayout>
          <c:xMode val="edge"/>
          <c:yMode val="edge"/>
          <c:x val="0.11327969276325722"/>
          <c:y val="3.0886172408834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5722430820320864"/>
          <c:y val="0.29394966254218224"/>
          <c:w val="0.49854813794859038"/>
          <c:h val="0.6197479109754137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work!$D$257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work!$A$258:$A$262</c:f>
              <c:strCache>
                <c:ptCount val="5"/>
                <c:pt idx="0">
                  <c:v>Kuntani talous on hyvin hoidettu.</c:v>
                </c:pt>
                <c:pt idx="1">
                  <c:v>On parempi korottaa kunnallisveroa kuin karsia kunnallisia palveluja.</c:v>
                </c:pt>
                <c:pt idx="2">
                  <c:v>Kuntani itsenäisyys on niin tärkeä, että olen valmis sen takia tinkimään palveluista ja/tai hyväksymään verojen korottamisen.</c:v>
                </c:pt>
                <c:pt idx="3">
                  <c:v>Kuntia tulisi yhdistää kuntaliitoksilla suuremmiksi yksiköiksi.</c:v>
                </c:pt>
                <c:pt idx="4">
                  <c:v>Oma kuntani tulisi yhdistää kuntaliitoksella toiseen kuntaan/toisiin kuntiin. </c:v>
                </c:pt>
              </c:strCache>
            </c:strRef>
          </c:cat>
          <c:val>
            <c:numRef>
              <c:f>work!$D$258:$D$262</c:f>
              <c:numCache>
                <c:formatCode>0.0</c:formatCode>
                <c:ptCount val="5"/>
                <c:pt idx="0">
                  <c:v>4.4247787610619467</c:v>
                </c:pt>
                <c:pt idx="1">
                  <c:v>52.212389380530972</c:v>
                </c:pt>
                <c:pt idx="2">
                  <c:v>36.283185840707965</c:v>
                </c:pt>
                <c:pt idx="3">
                  <c:v>13.274336283185841</c:v>
                </c:pt>
                <c:pt idx="4">
                  <c:v>11.504424778761061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5-4B1A-A466-C2F703EF4C8E}"/>
            </c:ext>
          </c:extLst>
        </c:ser>
        <c:ser>
          <c:idx val="1"/>
          <c:order val="1"/>
          <c:tx>
            <c:strRef>
              <c:f>work!$C$257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work!$A$258:$A$262</c:f>
              <c:strCache>
                <c:ptCount val="5"/>
                <c:pt idx="0">
                  <c:v>Kuntani talous on hyvin hoidettu.</c:v>
                </c:pt>
                <c:pt idx="1">
                  <c:v>On parempi korottaa kunnallisveroa kuin karsia kunnallisia palveluja.</c:v>
                </c:pt>
                <c:pt idx="2">
                  <c:v>Kuntani itsenäisyys on niin tärkeä, että olen valmis sen takia tinkimään palveluista ja/tai hyväksymään verojen korottamisen.</c:v>
                </c:pt>
                <c:pt idx="3">
                  <c:v>Kuntia tulisi yhdistää kuntaliitoksilla suuremmiksi yksiköiksi.</c:v>
                </c:pt>
                <c:pt idx="4">
                  <c:v>Oma kuntani tulisi yhdistää kuntaliitoksella toiseen kuntaan/toisiin kuntiin. </c:v>
                </c:pt>
              </c:strCache>
            </c:strRef>
          </c:cat>
          <c:val>
            <c:numRef>
              <c:f>work!$C$258:$C$262</c:f>
              <c:numCache>
                <c:formatCode>0.0</c:formatCode>
                <c:ptCount val="5"/>
                <c:pt idx="0">
                  <c:v>24.294086307938198</c:v>
                </c:pt>
                <c:pt idx="1">
                  <c:v>41.3148049171566</c:v>
                </c:pt>
                <c:pt idx="2">
                  <c:v>30.075187969924812</c:v>
                </c:pt>
                <c:pt idx="3">
                  <c:v>16.443492233529728</c:v>
                </c:pt>
                <c:pt idx="4">
                  <c:v>12.176724137931034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5-4B1A-A466-C2F703EF4C8E}"/>
            </c:ext>
          </c:extLst>
        </c:ser>
        <c:ser>
          <c:idx val="0"/>
          <c:order val="2"/>
          <c:tx>
            <c:strRef>
              <c:f>work!$B$257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work!$A$258:$A$262</c:f>
              <c:strCache>
                <c:ptCount val="5"/>
                <c:pt idx="0">
                  <c:v>Kuntani talous on hyvin hoidettu.</c:v>
                </c:pt>
                <c:pt idx="1">
                  <c:v>On parempi korottaa kunnallisveroa kuin karsia kunnallisia palveluja.</c:v>
                </c:pt>
                <c:pt idx="2">
                  <c:v>Kuntani itsenäisyys on niin tärkeä, että olen valmis sen takia tinkimään palveluista ja/tai hyväksymään verojen korottamisen.</c:v>
                </c:pt>
                <c:pt idx="3">
                  <c:v>Kuntia tulisi yhdistää kuntaliitoksilla suuremmiksi yksiköiksi.</c:v>
                </c:pt>
                <c:pt idx="4">
                  <c:v>Oma kuntani tulisi yhdistää kuntaliitoksella toiseen kuntaan/toisiin kuntiin. </c:v>
                </c:pt>
              </c:strCache>
            </c:strRef>
          </c:cat>
          <c:val>
            <c:numRef>
              <c:f>work!$B$258:$B$262</c:f>
              <c:numCache>
                <c:formatCode>0.0</c:formatCode>
                <c:ptCount val="5"/>
                <c:pt idx="0">
                  <c:v>24.231543918031353</c:v>
                </c:pt>
                <c:pt idx="1">
                  <c:v>43.741765480895914</c:v>
                </c:pt>
                <c:pt idx="2">
                  <c:v>25.348263092928935</c:v>
                </c:pt>
                <c:pt idx="3">
                  <c:v>24.20107403820759</c:v>
                </c:pt>
                <c:pt idx="4">
                  <c:v>16.174005117797581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5-4B1A-A466-C2F703EF4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6249823"/>
        <c:axId val="1456248159"/>
      </c:barChart>
      <c:catAx>
        <c:axId val="145624982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6248159"/>
        <c:crosses val="autoZero"/>
        <c:auto val="1"/>
        <c:lblAlgn val="ctr"/>
        <c:lblOffset val="100"/>
        <c:noMultiLvlLbl val="0"/>
      </c:catAx>
      <c:valAx>
        <c:axId val="145624815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624982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work!$F$264</c:f>
          <c:strCache>
            <c:ptCount val="1"/>
            <c:pt idx="0">
              <c:v>K35A: Kunnan päätöksentekoon voidaan vaikuttaa monella tavalla. Oletko käyttänyt seuraavia vaikuttamistapoja/-kanavia?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8671315416908112"/>
          <c:y val="0.14760640601672331"/>
          <c:w val="0.46720677823377876"/>
          <c:h val="0.8037434671911597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work!$D$264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work!$A$265:$A$281</c:f>
              <c:strCache>
                <c:ptCount val="17"/>
                <c:pt idx="0">
                  <c:v>Ottanut yhteyttä kunnan luottamushenkilöön.</c:v>
                </c:pt>
                <c:pt idx="1">
                  <c:v>Ottanut yhteyttä kunnn viranhaltijaan.</c:v>
                </c:pt>
                <c:pt idx="2">
                  <c:v>Tehnyt kuntalaisaloitteen.</c:v>
                </c:pt>
                <c:pt idx="3">
                  <c:v>Tehnyt valituksen tai oikaisuvaatimuksen.</c:v>
                </c:pt>
                <c:pt idx="4">
                  <c:v>Allekirjoittanut vetoomuksen tai adressin.</c:v>
                </c:pt>
                <c:pt idx="5">
                  <c:v>Kirjoittanut yleisönosastokirjoituksen.</c:v>
                </c:pt>
                <c:pt idx="6">
                  <c:v>Osallistunut kunnanosa- tai kylätoimintaan.</c:v>
                </c:pt>
                <c:pt idx="7">
                  <c:v>Osallistunut kunnan järjestämään keskustelu-/kuulemistilaisuuteen.</c:v>
                </c:pt>
                <c:pt idx="8">
                  <c:v>Osallistunut päiväkodin, koulun tms. vanhempainiltaan </c:v>
                </c:pt>
                <c:pt idx="9">
                  <c:v>Vastannut kunnan asiakas- tai käyttäjäkyselyyn.</c:v>
                </c:pt>
                <c:pt idx="10">
                  <c:v>Antanut palautetta kunnan järjestämist palveluista.</c:v>
                </c:pt>
                <c:pt idx="11">
                  <c:v>Osallistunut talkootyöhön lähiympäristön hyväksi.</c:v>
                </c:pt>
                <c:pt idx="12">
                  <c:v>Antanut rahaa kampanjaan, joka liittynyt johonkin paikalliseen kysymykseen.</c:v>
                </c:pt>
                <c:pt idx="13">
                  <c:v>Osallistunut sosiaalisen median kautta.</c:v>
                </c:pt>
                <c:pt idx="14">
                  <c:v>Osallistunut vanhus- tai vammaisneuvoston, nuorisovaltuuston tms. toimintaan.</c:v>
                </c:pt>
                <c:pt idx="15">
                  <c:v>Osallistunut jonkin yhdistyksen tai järjestön toimintaan.</c:v>
                </c:pt>
                <c:pt idx="16">
                  <c:v>Jokin muu tapa</c:v>
                </c:pt>
              </c:strCache>
            </c:strRef>
          </c:cat>
          <c:val>
            <c:numRef>
              <c:f>work!$D$265:$D$281</c:f>
              <c:numCache>
                <c:formatCode>0.0</c:formatCode>
                <c:ptCount val="17"/>
                <c:pt idx="0">
                  <c:v>22.807017543859651</c:v>
                </c:pt>
                <c:pt idx="1">
                  <c:v>35.714285714285715</c:v>
                </c:pt>
                <c:pt idx="2">
                  <c:v>4.5045045045045047</c:v>
                </c:pt>
                <c:pt idx="3">
                  <c:v>6.25</c:v>
                </c:pt>
                <c:pt idx="4">
                  <c:v>23.893805309734514</c:v>
                </c:pt>
                <c:pt idx="5">
                  <c:v>7.9646017699115044</c:v>
                </c:pt>
                <c:pt idx="6">
                  <c:v>23.423423423423422</c:v>
                </c:pt>
                <c:pt idx="7">
                  <c:v>26.785714285714285</c:v>
                </c:pt>
                <c:pt idx="8">
                  <c:v>31.25</c:v>
                </c:pt>
                <c:pt idx="9">
                  <c:v>42.857142857142854</c:v>
                </c:pt>
                <c:pt idx="10">
                  <c:v>29.20353982300885</c:v>
                </c:pt>
                <c:pt idx="11">
                  <c:v>37.5</c:v>
                </c:pt>
                <c:pt idx="12">
                  <c:v>29.20353982300885</c:v>
                </c:pt>
                <c:pt idx="13">
                  <c:v>15.178571428571429</c:v>
                </c:pt>
                <c:pt idx="14">
                  <c:v>9.0090090090090094</c:v>
                </c:pt>
                <c:pt idx="15">
                  <c:v>41.071428571428569</c:v>
                </c:pt>
                <c:pt idx="16">
                  <c:v>2.6315789473684212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E-470B-BB8A-2B028138B0B7}"/>
            </c:ext>
          </c:extLst>
        </c:ser>
        <c:ser>
          <c:idx val="1"/>
          <c:order val="1"/>
          <c:tx>
            <c:strRef>
              <c:f>work!$C$264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work!$A$265:$A$281</c:f>
              <c:strCache>
                <c:ptCount val="17"/>
                <c:pt idx="0">
                  <c:v>Ottanut yhteyttä kunnan luottamushenkilöön.</c:v>
                </c:pt>
                <c:pt idx="1">
                  <c:v>Ottanut yhteyttä kunnn viranhaltijaan.</c:v>
                </c:pt>
                <c:pt idx="2">
                  <c:v>Tehnyt kuntalaisaloitteen.</c:v>
                </c:pt>
                <c:pt idx="3">
                  <c:v>Tehnyt valituksen tai oikaisuvaatimuksen.</c:v>
                </c:pt>
                <c:pt idx="4">
                  <c:v>Allekirjoittanut vetoomuksen tai adressin.</c:v>
                </c:pt>
                <c:pt idx="5">
                  <c:v>Kirjoittanut yleisönosastokirjoituksen.</c:v>
                </c:pt>
                <c:pt idx="6">
                  <c:v>Osallistunut kunnanosa- tai kylätoimintaan.</c:v>
                </c:pt>
                <c:pt idx="7">
                  <c:v>Osallistunut kunnan järjestämään keskustelu-/kuulemistilaisuuteen.</c:v>
                </c:pt>
                <c:pt idx="8">
                  <c:v>Osallistunut päiväkodin, koulun tms. vanhempainiltaan </c:v>
                </c:pt>
                <c:pt idx="9">
                  <c:v>Vastannut kunnan asiakas- tai käyttäjäkyselyyn.</c:v>
                </c:pt>
                <c:pt idx="10">
                  <c:v>Antanut palautetta kunnan järjestämist palveluista.</c:v>
                </c:pt>
                <c:pt idx="11">
                  <c:v>Osallistunut talkootyöhön lähiympäristön hyväksi.</c:v>
                </c:pt>
                <c:pt idx="12">
                  <c:v>Antanut rahaa kampanjaan, joka liittynyt johonkin paikalliseen kysymykseen.</c:v>
                </c:pt>
                <c:pt idx="13">
                  <c:v>Osallistunut sosiaalisen median kautta.</c:v>
                </c:pt>
                <c:pt idx="14">
                  <c:v>Osallistunut vanhus- tai vammaisneuvoston, nuorisovaltuuston tms. toimintaan.</c:v>
                </c:pt>
                <c:pt idx="15">
                  <c:v>Osallistunut jonkin yhdistyksen tai järjestön toimintaan.</c:v>
                </c:pt>
                <c:pt idx="16">
                  <c:v>Jokin muu tapa</c:v>
                </c:pt>
              </c:strCache>
            </c:strRef>
          </c:cat>
          <c:val>
            <c:numRef>
              <c:f>work!$C$265:$C$281</c:f>
              <c:numCache>
                <c:formatCode>0.0</c:formatCode>
                <c:ptCount val="17"/>
                <c:pt idx="0">
                  <c:v>21.984649122807017</c:v>
                </c:pt>
                <c:pt idx="1">
                  <c:v>31.920748486516235</c:v>
                </c:pt>
                <c:pt idx="2">
                  <c:v>3.0150753768844223</c:v>
                </c:pt>
                <c:pt idx="3">
                  <c:v>7.8037904124860651</c:v>
                </c:pt>
                <c:pt idx="4">
                  <c:v>29.297954671088998</c:v>
                </c:pt>
                <c:pt idx="5">
                  <c:v>8.3240843507214208</c:v>
                </c:pt>
                <c:pt idx="6">
                  <c:v>19.554317548746518</c:v>
                </c:pt>
                <c:pt idx="7">
                  <c:v>25.693673695893452</c:v>
                </c:pt>
                <c:pt idx="8">
                  <c:v>36.666666666666664</c:v>
                </c:pt>
                <c:pt idx="9">
                  <c:v>40.803964757709252</c:v>
                </c:pt>
                <c:pt idx="10">
                  <c:v>26.353992183137912</c:v>
                </c:pt>
                <c:pt idx="11">
                  <c:v>33.277870216306155</c:v>
                </c:pt>
                <c:pt idx="12">
                  <c:v>19.988864142538976</c:v>
                </c:pt>
                <c:pt idx="13">
                  <c:v>13.5678391959799</c:v>
                </c:pt>
                <c:pt idx="14">
                  <c:v>6.0504201680672267</c:v>
                </c:pt>
                <c:pt idx="15">
                  <c:v>42.676211453744493</c:v>
                </c:pt>
                <c:pt idx="16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E-470B-BB8A-2B028138B0B7}"/>
            </c:ext>
          </c:extLst>
        </c:ser>
        <c:ser>
          <c:idx val="0"/>
          <c:order val="2"/>
          <c:tx>
            <c:strRef>
              <c:f>work!$B$264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work!$A$265:$A$281</c:f>
              <c:strCache>
                <c:ptCount val="17"/>
                <c:pt idx="0">
                  <c:v>Ottanut yhteyttä kunnan luottamushenkilöön.</c:v>
                </c:pt>
                <c:pt idx="1">
                  <c:v>Ottanut yhteyttä kunnn viranhaltijaan.</c:v>
                </c:pt>
                <c:pt idx="2">
                  <c:v>Tehnyt kuntalaisaloitteen.</c:v>
                </c:pt>
                <c:pt idx="3">
                  <c:v>Tehnyt valituksen tai oikaisuvaatimuksen.</c:v>
                </c:pt>
                <c:pt idx="4">
                  <c:v>Allekirjoittanut vetoomuksen tai adressin.</c:v>
                </c:pt>
                <c:pt idx="5">
                  <c:v>Kirjoittanut yleisönosastokirjoituksen.</c:v>
                </c:pt>
                <c:pt idx="6">
                  <c:v>Osallistunut kunnanosa- tai kylätoimintaan.</c:v>
                </c:pt>
                <c:pt idx="7">
                  <c:v>Osallistunut kunnan järjestämään keskustelu-/kuulemistilaisuuteen.</c:v>
                </c:pt>
                <c:pt idx="8">
                  <c:v>Osallistunut päiväkodin, koulun tms. vanhempainiltaan </c:v>
                </c:pt>
                <c:pt idx="9">
                  <c:v>Vastannut kunnan asiakas- tai käyttäjäkyselyyn.</c:v>
                </c:pt>
                <c:pt idx="10">
                  <c:v>Antanut palautetta kunnan järjestämist palveluista.</c:v>
                </c:pt>
                <c:pt idx="11">
                  <c:v>Osallistunut talkootyöhön lähiympäristön hyväksi.</c:v>
                </c:pt>
                <c:pt idx="12">
                  <c:v>Antanut rahaa kampanjaan, joka liittynyt johonkin paikalliseen kysymykseen.</c:v>
                </c:pt>
                <c:pt idx="13">
                  <c:v>Osallistunut sosiaalisen median kautta.</c:v>
                </c:pt>
                <c:pt idx="14">
                  <c:v>Osallistunut vanhus- tai vammaisneuvoston, nuorisovaltuuston tms. toimintaan.</c:v>
                </c:pt>
                <c:pt idx="15">
                  <c:v>Osallistunut jonkin yhdistyksen tai järjestön toimintaan.</c:v>
                </c:pt>
                <c:pt idx="16">
                  <c:v>Jokin muu tapa</c:v>
                </c:pt>
              </c:strCache>
            </c:strRef>
          </c:cat>
          <c:val>
            <c:numRef>
              <c:f>work!$B$265:$B$281</c:f>
              <c:numCache>
                <c:formatCode>0.0</c:formatCode>
                <c:ptCount val="17"/>
                <c:pt idx="0">
                  <c:v>18.844107835181678</c:v>
                </c:pt>
                <c:pt idx="1">
                  <c:v>29.188600471954985</c:v>
                </c:pt>
                <c:pt idx="2">
                  <c:v>2.513300311869382</c:v>
                </c:pt>
                <c:pt idx="3">
                  <c:v>7.1846970529013365</c:v>
                </c:pt>
                <c:pt idx="4">
                  <c:v>31.715298609217342</c:v>
                </c:pt>
                <c:pt idx="5">
                  <c:v>9.2053644740443392</c:v>
                </c:pt>
                <c:pt idx="6">
                  <c:v>19.580483356133151</c:v>
                </c:pt>
                <c:pt idx="7">
                  <c:v>23.834244080145719</c:v>
                </c:pt>
                <c:pt idx="8">
                  <c:v>34.314711529669928</c:v>
                </c:pt>
                <c:pt idx="9">
                  <c:v>44.275086191253855</c:v>
                </c:pt>
                <c:pt idx="10">
                  <c:v>28.45283707352673</c:v>
                </c:pt>
                <c:pt idx="11">
                  <c:v>35.293050263110146</c:v>
                </c:pt>
                <c:pt idx="12">
                  <c:v>16.90127970749543</c:v>
                </c:pt>
                <c:pt idx="13">
                  <c:v>13.8231517152816</c:v>
                </c:pt>
                <c:pt idx="14">
                  <c:v>5.370114942528736</c:v>
                </c:pt>
                <c:pt idx="15">
                  <c:v>40.216501409988176</c:v>
                </c:pt>
                <c:pt idx="16">
                  <c:v>4.9099836333878883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E-470B-BB8A-2B028138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278767"/>
        <c:axId val="303275855"/>
      </c:barChart>
      <c:catAx>
        <c:axId val="3032787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75855"/>
        <c:crosses val="autoZero"/>
        <c:auto val="1"/>
        <c:lblAlgn val="ctr"/>
        <c:lblOffset val="100"/>
        <c:noMultiLvlLbl val="0"/>
      </c:catAx>
      <c:valAx>
        <c:axId val="30327585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7876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work!$F$283</c:f>
          <c:strCache>
            <c:ptCount val="1"/>
            <c:pt idx="0">
              <c:v>K35B: Miten arvioit seuraavien vaikuttamistapojen/-kanavien vaikuttaneen tai vaikuttavan kunnan päätöksentekoon? Esitä  arviosi  kaikkien vaikuttamistapojen osalta, vaikka et itse olisikaan käyttänyt kyseistä tapaa.
</c:v>
            </c:pt>
          </c:strCache>
        </c:strRef>
      </c:tx>
      <c:layout>
        <c:manualLayout>
          <c:xMode val="edge"/>
          <c:yMode val="edge"/>
          <c:x val="0.11468221168486536"/>
          <c:y val="4.4434310985362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8855461766764829"/>
          <c:y val="0.13549332107212766"/>
          <c:w val="0.46721782848415072"/>
          <c:h val="0.8161879407682989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work!$D$283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work!$A$284:$A$299</c:f>
              <c:strCache>
                <c:ptCount val="16"/>
                <c:pt idx="0">
                  <c:v>Ottanut yhteyttä kunnan luottamushenkilöön.</c:v>
                </c:pt>
                <c:pt idx="1">
                  <c:v>Ottanut yhteyttä kunnan viranhaltijaan.</c:v>
                </c:pt>
                <c:pt idx="2">
                  <c:v>Tehnyt kuntalaisaloitteen.</c:v>
                </c:pt>
                <c:pt idx="3">
                  <c:v>Tehnyt valituksen tai oikaisuvaatimuksen.</c:v>
                </c:pt>
                <c:pt idx="4">
                  <c:v>Allekirjoittanut vetoomuksen tai adressin.</c:v>
                </c:pt>
                <c:pt idx="5">
                  <c:v>Kirjoittanut yleisönosastokirjoituksen.</c:v>
                </c:pt>
                <c:pt idx="6">
                  <c:v>Osallistunut kunnanosa- tai kylätoimintaan.</c:v>
                </c:pt>
                <c:pt idx="7">
                  <c:v>Osallistunut kunnan järjestämään keskustelu-/kuulemistilaisuuteen.</c:v>
                </c:pt>
                <c:pt idx="8">
                  <c:v>Osallistunut päiväkodin, koulun tms. vanhempainiltaan </c:v>
                </c:pt>
                <c:pt idx="9">
                  <c:v>Vastannut kunnan asiakas- tai käyttäjäkyselyyn.</c:v>
                </c:pt>
                <c:pt idx="10">
                  <c:v>Antanut palautetta kunnan järjestämistä palveluista.</c:v>
                </c:pt>
                <c:pt idx="11">
                  <c:v>Osallistunut talkootyöhön lähiympäristön hyväksi.</c:v>
                </c:pt>
                <c:pt idx="12">
                  <c:v>Antanut rahaa kampanjaan, joka liittynyt johonkin paikalliseen kysymykseen.</c:v>
                </c:pt>
                <c:pt idx="13">
                  <c:v>Osallistunut sosiaalisen median kautta.</c:v>
                </c:pt>
                <c:pt idx="14">
                  <c:v>Osallistunut vanhus- tai vammaisneuvoston, nuorisovaltuuston tms. toimintaan.</c:v>
                </c:pt>
                <c:pt idx="15">
                  <c:v>Osallistunut jonkin yhdistyksen tai järjestön toimintaan.</c:v>
                </c:pt>
              </c:strCache>
            </c:strRef>
          </c:cat>
          <c:val>
            <c:numRef>
              <c:f>work!$D$284:$D$299</c:f>
              <c:numCache>
                <c:formatCode>0.0</c:formatCode>
                <c:ptCount val="16"/>
                <c:pt idx="0">
                  <c:v>42.857142857142854</c:v>
                </c:pt>
                <c:pt idx="1">
                  <c:v>44.871794871794869</c:v>
                </c:pt>
                <c:pt idx="2">
                  <c:v>21.666666666666668</c:v>
                </c:pt>
                <c:pt idx="3">
                  <c:v>28.787878787878789</c:v>
                </c:pt>
                <c:pt idx="4">
                  <c:v>26.027397260273972</c:v>
                </c:pt>
                <c:pt idx="5">
                  <c:v>13.636363636363637</c:v>
                </c:pt>
                <c:pt idx="6">
                  <c:v>48.648648648648646</c:v>
                </c:pt>
                <c:pt idx="7">
                  <c:v>31.884057971014492</c:v>
                </c:pt>
                <c:pt idx="8">
                  <c:v>37.662337662337663</c:v>
                </c:pt>
                <c:pt idx="9">
                  <c:v>26.582278481012658</c:v>
                </c:pt>
                <c:pt idx="10">
                  <c:v>31.506849315068493</c:v>
                </c:pt>
                <c:pt idx="11">
                  <c:v>57.89473684210526</c:v>
                </c:pt>
                <c:pt idx="12">
                  <c:v>30.555555555555557</c:v>
                </c:pt>
                <c:pt idx="13">
                  <c:v>14.285714285714286</c:v>
                </c:pt>
                <c:pt idx="14">
                  <c:v>45.3125</c:v>
                </c:pt>
                <c:pt idx="15">
                  <c:v>42.68292682926829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E-4732-BC93-2A888FC7B25F}"/>
            </c:ext>
          </c:extLst>
        </c:ser>
        <c:ser>
          <c:idx val="1"/>
          <c:order val="1"/>
          <c:tx>
            <c:strRef>
              <c:f>work!$C$283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work!$A$284:$A$299</c:f>
              <c:strCache>
                <c:ptCount val="16"/>
                <c:pt idx="0">
                  <c:v>Ottanut yhteyttä kunnan luottamushenkilöön.</c:v>
                </c:pt>
                <c:pt idx="1">
                  <c:v>Ottanut yhteyttä kunnan viranhaltijaan.</c:v>
                </c:pt>
                <c:pt idx="2">
                  <c:v>Tehnyt kuntalaisaloitteen.</c:v>
                </c:pt>
                <c:pt idx="3">
                  <c:v>Tehnyt valituksen tai oikaisuvaatimuksen.</c:v>
                </c:pt>
                <c:pt idx="4">
                  <c:v>Allekirjoittanut vetoomuksen tai adressin.</c:v>
                </c:pt>
                <c:pt idx="5">
                  <c:v>Kirjoittanut yleisönosastokirjoituksen.</c:v>
                </c:pt>
                <c:pt idx="6">
                  <c:v>Osallistunut kunnanosa- tai kylätoimintaan.</c:v>
                </c:pt>
                <c:pt idx="7">
                  <c:v>Osallistunut kunnan järjestämään keskustelu-/kuulemistilaisuuteen.</c:v>
                </c:pt>
                <c:pt idx="8">
                  <c:v>Osallistunut päiväkodin, koulun tms. vanhempainiltaan </c:v>
                </c:pt>
                <c:pt idx="9">
                  <c:v>Vastannut kunnan asiakas- tai käyttäjäkyselyyn.</c:v>
                </c:pt>
                <c:pt idx="10">
                  <c:v>Antanut palautetta kunnan järjestämistä palveluista.</c:v>
                </c:pt>
                <c:pt idx="11">
                  <c:v>Osallistunut talkootyöhön lähiympäristön hyväksi.</c:v>
                </c:pt>
                <c:pt idx="12">
                  <c:v>Antanut rahaa kampanjaan, joka liittynyt johonkin paikalliseen kysymykseen.</c:v>
                </c:pt>
                <c:pt idx="13">
                  <c:v>Osallistunut sosiaalisen median kautta.</c:v>
                </c:pt>
                <c:pt idx="14">
                  <c:v>Osallistunut vanhus- tai vammaisneuvoston, nuorisovaltuuston tms. toimintaan.</c:v>
                </c:pt>
                <c:pt idx="15">
                  <c:v>Osallistunut jonkin yhdistyksen tai järjestön toimintaan.</c:v>
                </c:pt>
              </c:strCache>
            </c:strRef>
          </c:cat>
          <c:val>
            <c:numRef>
              <c:f>work!$C$284:$C$299</c:f>
              <c:numCache>
                <c:formatCode>0.0</c:formatCode>
                <c:ptCount val="16"/>
                <c:pt idx="0">
                  <c:v>37.170474516695961</c:v>
                </c:pt>
                <c:pt idx="1">
                  <c:v>39.816360601001669</c:v>
                </c:pt>
                <c:pt idx="2">
                  <c:v>25.690890481064482</c:v>
                </c:pt>
                <c:pt idx="3">
                  <c:v>27.482447342026077</c:v>
                </c:pt>
                <c:pt idx="4">
                  <c:v>27.120141342756185</c:v>
                </c:pt>
                <c:pt idx="5">
                  <c:v>18.88111888111888</c:v>
                </c:pt>
                <c:pt idx="6">
                  <c:v>37.278657968313141</c:v>
                </c:pt>
                <c:pt idx="7">
                  <c:v>27.837837837837839</c:v>
                </c:pt>
                <c:pt idx="8">
                  <c:v>41.530524505588993</c:v>
                </c:pt>
                <c:pt idx="9">
                  <c:v>26.123128119800334</c:v>
                </c:pt>
                <c:pt idx="10">
                  <c:v>33.333333333333336</c:v>
                </c:pt>
                <c:pt idx="11">
                  <c:v>48.627787307032591</c:v>
                </c:pt>
                <c:pt idx="12">
                  <c:v>20.664206642066421</c:v>
                </c:pt>
                <c:pt idx="13">
                  <c:v>18.067632850241544</c:v>
                </c:pt>
                <c:pt idx="14">
                  <c:v>28.426395939086294</c:v>
                </c:pt>
                <c:pt idx="15">
                  <c:v>42.26973684210526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E-4732-BC93-2A888FC7B25F}"/>
            </c:ext>
          </c:extLst>
        </c:ser>
        <c:ser>
          <c:idx val="0"/>
          <c:order val="2"/>
          <c:tx>
            <c:strRef>
              <c:f>work!$B$283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work!$A$284:$A$299</c:f>
              <c:strCache>
                <c:ptCount val="16"/>
                <c:pt idx="0">
                  <c:v>Ottanut yhteyttä kunnan luottamushenkilöön.</c:v>
                </c:pt>
                <c:pt idx="1">
                  <c:v>Ottanut yhteyttä kunnan viranhaltijaan.</c:v>
                </c:pt>
                <c:pt idx="2">
                  <c:v>Tehnyt kuntalaisaloitteen.</c:v>
                </c:pt>
                <c:pt idx="3">
                  <c:v>Tehnyt valituksen tai oikaisuvaatimuksen.</c:v>
                </c:pt>
                <c:pt idx="4">
                  <c:v>Allekirjoittanut vetoomuksen tai adressin.</c:v>
                </c:pt>
                <c:pt idx="5">
                  <c:v>Kirjoittanut yleisönosastokirjoituksen.</c:v>
                </c:pt>
                <c:pt idx="6">
                  <c:v>Osallistunut kunnanosa- tai kylätoimintaan.</c:v>
                </c:pt>
                <c:pt idx="7">
                  <c:v>Osallistunut kunnan järjestämään keskustelu-/kuulemistilaisuuteen.</c:v>
                </c:pt>
                <c:pt idx="8">
                  <c:v>Osallistunut päiväkodin, koulun tms. vanhempainiltaan </c:v>
                </c:pt>
                <c:pt idx="9">
                  <c:v>Vastannut kunnan asiakas- tai käyttäjäkyselyyn.</c:v>
                </c:pt>
                <c:pt idx="10">
                  <c:v>Antanut palautetta kunnan järjestämistä palveluista.</c:v>
                </c:pt>
                <c:pt idx="11">
                  <c:v>Osallistunut talkootyöhön lähiympäristön hyväksi.</c:v>
                </c:pt>
                <c:pt idx="12">
                  <c:v>Antanut rahaa kampanjaan, joka liittynyt johonkin paikalliseen kysymykseen.</c:v>
                </c:pt>
                <c:pt idx="13">
                  <c:v>Osallistunut sosiaalisen median kautta.</c:v>
                </c:pt>
                <c:pt idx="14">
                  <c:v>Osallistunut vanhus- tai vammaisneuvoston, nuorisovaltuuston tms. toimintaan.</c:v>
                </c:pt>
                <c:pt idx="15">
                  <c:v>Osallistunut jonkin yhdistyksen tai järjestön toimintaan.</c:v>
                </c:pt>
              </c:strCache>
            </c:strRef>
          </c:cat>
          <c:val>
            <c:numRef>
              <c:f>work!$B$284:$B$299</c:f>
              <c:numCache>
                <c:formatCode>0.0</c:formatCode>
                <c:ptCount val="16"/>
                <c:pt idx="0">
                  <c:v>37.941259531205873</c:v>
                </c:pt>
                <c:pt idx="1">
                  <c:v>40.551930396954866</c:v>
                </c:pt>
                <c:pt idx="2">
                  <c:v>26.458832933653078</c:v>
                </c:pt>
                <c:pt idx="3">
                  <c:v>28.972399812880088</c:v>
                </c:pt>
                <c:pt idx="4">
                  <c:v>37.576731949722301</c:v>
                </c:pt>
                <c:pt idx="5">
                  <c:v>27.707223815376214</c:v>
                </c:pt>
                <c:pt idx="6">
                  <c:v>18.993556305615218</c:v>
                </c:pt>
                <c:pt idx="7">
                  <c:v>37.576731949722301</c:v>
                </c:pt>
                <c:pt idx="8">
                  <c:v>27.523986825146785</c:v>
                </c:pt>
                <c:pt idx="9">
                  <c:v>40.873015873015873</c:v>
                </c:pt>
                <c:pt idx="10">
                  <c:v>26.50712697789983</c:v>
                </c:pt>
                <c:pt idx="11">
                  <c:v>31.797752808988765</c:v>
                </c:pt>
                <c:pt idx="12">
                  <c:v>48.966914247130319</c:v>
                </c:pt>
                <c:pt idx="13">
                  <c:v>21.085317166937749</c:v>
                </c:pt>
                <c:pt idx="14">
                  <c:v>18.775448650278992</c:v>
                </c:pt>
                <c:pt idx="15">
                  <c:v>28.519224658404831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E-4732-BC93-2A888FC7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279183"/>
        <c:axId val="303285423"/>
      </c:barChart>
      <c:catAx>
        <c:axId val="30327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85423"/>
        <c:crosses val="autoZero"/>
        <c:auto val="1"/>
        <c:lblAlgn val="ctr"/>
        <c:lblOffset val="100"/>
        <c:noMultiLvlLbl val="0"/>
      </c:catAx>
      <c:valAx>
        <c:axId val="303285423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7918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work!$F$302</c:f>
          <c:strCache>
            <c:ptCount val="1"/>
            <c:pt idx="0">
              <c:v>K36A: Kunnan päätöksentekoon voidaan vaikuttaa myös erilaisten yhdistysten ja järjestöjen kautta. Osallistutko tai oletko osallistunut yhdistysten tai järjestöjen toimintaan viimeisen vuoden aikana? </c:v>
            </c:pt>
          </c:strCache>
        </c:strRef>
      </c:tx>
      <c:layout>
        <c:manualLayout>
          <c:xMode val="edge"/>
          <c:yMode val="edge"/>
          <c:x val="0.1291743159176926"/>
          <c:y val="9.2625269466097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20910400527634"/>
          <c:y val="0.17927921226331378"/>
          <c:w val="0.69368140609903561"/>
          <c:h val="0.7703892352180760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work!$D$302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work!$A$303:$A$314</c:f>
              <c:strCache>
                <c:ptCount val="12"/>
                <c:pt idx="0">
                  <c:v>Kylä-/kaupunginosayhdistys</c:v>
                </c:pt>
                <c:pt idx="1">
                  <c:v>Asukasyhdistys</c:v>
                </c:pt>
                <c:pt idx="2">
                  <c:v>Vanhempainyhdistys</c:v>
                </c:pt>
                <c:pt idx="3">
                  <c:v>Liikunta-/urheiluseura</c:v>
                </c:pt>
                <c:pt idx="4">
                  <c:v>Kulttuurijärjestö</c:v>
                </c:pt>
                <c:pt idx="5">
                  <c:v>Nuoriso-/opiskelijajärjestö</c:v>
                </c:pt>
                <c:pt idx="6">
                  <c:v>Poliittinen järjestö/puolue</c:v>
                </c:pt>
                <c:pt idx="7">
                  <c:v>Tuottaja-/yrittäjäjärjestö</c:v>
                </c:pt>
                <c:pt idx="8">
                  <c:v>Ammattiyhdistys/-järjestö</c:v>
                </c:pt>
                <c:pt idx="9">
                  <c:v>Eläkeläisjärjestö</c:v>
                </c:pt>
                <c:pt idx="10">
                  <c:v>Ympäristöjärjestö</c:v>
                </c:pt>
                <c:pt idx="11">
                  <c:v>Vapaaehtoisjärjestö</c:v>
                </c:pt>
              </c:strCache>
            </c:strRef>
          </c:cat>
          <c:val>
            <c:numRef>
              <c:f>work!$D$303:$D$314</c:f>
              <c:numCache>
                <c:formatCode>0.0</c:formatCode>
                <c:ptCount val="12"/>
                <c:pt idx="0">
                  <c:v>6.25</c:v>
                </c:pt>
                <c:pt idx="1">
                  <c:v>3.5714285714285716</c:v>
                </c:pt>
                <c:pt idx="2">
                  <c:v>9.0090090090090094</c:v>
                </c:pt>
                <c:pt idx="3">
                  <c:v>16.216216216216218</c:v>
                </c:pt>
                <c:pt idx="4">
                  <c:v>3.6036036036036037</c:v>
                </c:pt>
                <c:pt idx="5">
                  <c:v>1.8018018018018018</c:v>
                </c:pt>
                <c:pt idx="6">
                  <c:v>4.4642857142857144</c:v>
                </c:pt>
                <c:pt idx="7">
                  <c:v>9.9099099099099099</c:v>
                </c:pt>
                <c:pt idx="8">
                  <c:v>9.9099099099099099</c:v>
                </c:pt>
                <c:pt idx="9">
                  <c:v>15.178571428571429</c:v>
                </c:pt>
                <c:pt idx="10">
                  <c:v>0</c:v>
                </c:pt>
                <c:pt idx="11">
                  <c:v>10.909090909090908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5-45DA-B80C-4838CC4C8E49}"/>
            </c:ext>
          </c:extLst>
        </c:ser>
        <c:ser>
          <c:idx val="1"/>
          <c:order val="1"/>
          <c:tx>
            <c:strRef>
              <c:f>work!$C$302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work!$A$303:$A$314</c:f>
              <c:strCache>
                <c:ptCount val="12"/>
                <c:pt idx="0">
                  <c:v>Kylä-/kaupunginosayhdistys</c:v>
                </c:pt>
                <c:pt idx="1">
                  <c:v>Asukasyhdistys</c:v>
                </c:pt>
                <c:pt idx="2">
                  <c:v>Vanhempainyhdistys</c:v>
                </c:pt>
                <c:pt idx="3">
                  <c:v>Liikunta-/urheiluseura</c:v>
                </c:pt>
                <c:pt idx="4">
                  <c:v>Kulttuurijärjestö</c:v>
                </c:pt>
                <c:pt idx="5">
                  <c:v>Nuoriso-/opiskelijajärjestö</c:v>
                </c:pt>
                <c:pt idx="6">
                  <c:v>Poliittinen järjestö/puolue</c:v>
                </c:pt>
                <c:pt idx="7">
                  <c:v>Tuottaja-/yrittäjäjärjestö</c:v>
                </c:pt>
                <c:pt idx="8">
                  <c:v>Ammattiyhdistys/-järjestö</c:v>
                </c:pt>
                <c:pt idx="9">
                  <c:v>Eläkeläisjärjestö</c:v>
                </c:pt>
                <c:pt idx="10">
                  <c:v>Ympäristöjärjestö</c:v>
                </c:pt>
                <c:pt idx="11">
                  <c:v>Vapaaehtoisjärjestö</c:v>
                </c:pt>
              </c:strCache>
            </c:strRef>
          </c:cat>
          <c:val>
            <c:numRef>
              <c:f>work!$C$303:$C$314</c:f>
              <c:numCache>
                <c:formatCode>0.0</c:formatCode>
                <c:ptCount val="12"/>
                <c:pt idx="0">
                  <c:v>11.178414096916299</c:v>
                </c:pt>
                <c:pt idx="1">
                  <c:v>7.5138121546961329</c:v>
                </c:pt>
                <c:pt idx="2">
                  <c:v>7.9488604780433576</c:v>
                </c:pt>
                <c:pt idx="3">
                  <c:v>23.106688778330568</c:v>
                </c:pt>
                <c:pt idx="4">
                  <c:v>8.263539921831379</c:v>
                </c:pt>
                <c:pt idx="5">
                  <c:v>2.0100502512562812</c:v>
                </c:pt>
                <c:pt idx="6">
                  <c:v>6.541019955654102</c:v>
                </c:pt>
                <c:pt idx="7">
                  <c:v>5.7190449750138814</c:v>
                </c:pt>
                <c:pt idx="8">
                  <c:v>13.344500279173646</c:v>
                </c:pt>
                <c:pt idx="9">
                  <c:v>11.050328227571116</c:v>
                </c:pt>
                <c:pt idx="10">
                  <c:v>2.0134228187919465</c:v>
                </c:pt>
                <c:pt idx="11">
                  <c:v>12.353269983230856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5-45DA-B80C-4838CC4C8E49}"/>
            </c:ext>
          </c:extLst>
        </c:ser>
        <c:ser>
          <c:idx val="0"/>
          <c:order val="2"/>
          <c:tx>
            <c:strRef>
              <c:f>work!$B$302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work!$A$303:$A$314</c:f>
              <c:strCache>
                <c:ptCount val="12"/>
                <c:pt idx="0">
                  <c:v>Kylä-/kaupunginosayhdistys</c:v>
                </c:pt>
                <c:pt idx="1">
                  <c:v>Asukasyhdistys</c:v>
                </c:pt>
                <c:pt idx="2">
                  <c:v>Vanhempainyhdistys</c:v>
                </c:pt>
                <c:pt idx="3">
                  <c:v>Liikunta-/urheiluseura</c:v>
                </c:pt>
                <c:pt idx="4">
                  <c:v>Kulttuurijärjestö</c:v>
                </c:pt>
                <c:pt idx="5">
                  <c:v>Nuoriso-/opiskelijajärjestö</c:v>
                </c:pt>
                <c:pt idx="6">
                  <c:v>Poliittinen järjestö/puolue</c:v>
                </c:pt>
                <c:pt idx="7">
                  <c:v>Tuottaja-/yrittäjäjärjestö</c:v>
                </c:pt>
                <c:pt idx="8">
                  <c:v>Ammattiyhdistys/-järjestö</c:v>
                </c:pt>
                <c:pt idx="9">
                  <c:v>Eläkeläisjärjestö</c:v>
                </c:pt>
                <c:pt idx="10">
                  <c:v>Ympäristöjärjestö</c:v>
                </c:pt>
                <c:pt idx="11">
                  <c:v>Vapaaehtoisjärjestö</c:v>
                </c:pt>
              </c:strCache>
            </c:strRef>
          </c:cat>
          <c:val>
            <c:numRef>
              <c:f>work!$B$303:$B$314</c:f>
              <c:numCache>
                <c:formatCode>0.0</c:formatCode>
                <c:ptCount val="12"/>
                <c:pt idx="0">
                  <c:v>10.721036997029435</c:v>
                </c:pt>
                <c:pt idx="1">
                  <c:v>8.6562839550887354</c:v>
                </c:pt>
                <c:pt idx="2">
                  <c:v>8.1584230699032663</c:v>
                </c:pt>
                <c:pt idx="3">
                  <c:v>22.410205374106578</c:v>
                </c:pt>
                <c:pt idx="4">
                  <c:v>7.7918527294267745</c:v>
                </c:pt>
                <c:pt idx="5">
                  <c:v>3.3896756509821837</c:v>
                </c:pt>
                <c:pt idx="6">
                  <c:v>5.766092475067996</c:v>
                </c:pt>
                <c:pt idx="7">
                  <c:v>5.1587662633063411</c:v>
                </c:pt>
                <c:pt idx="8">
                  <c:v>15.418984225403483</c:v>
                </c:pt>
                <c:pt idx="9">
                  <c:v>10.780167371546836</c:v>
                </c:pt>
                <c:pt idx="10">
                  <c:v>2.8001464128843336</c:v>
                </c:pt>
                <c:pt idx="11">
                  <c:v>11.955531255695281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5-45DA-B80C-4838CC4C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279599"/>
        <c:axId val="303267119"/>
      </c:barChart>
      <c:catAx>
        <c:axId val="3032795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67119"/>
        <c:crosses val="autoZero"/>
        <c:auto val="1"/>
        <c:lblAlgn val="ctr"/>
        <c:lblOffset val="100"/>
        <c:noMultiLvlLbl val="0"/>
      </c:catAx>
      <c:valAx>
        <c:axId val="30326711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7959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work!$F$316</c:f>
          <c:strCache>
            <c:ptCount val="1"/>
            <c:pt idx="0">
              <c:v>K36B: Miten vaikuttavina pidät ko. toimintaan osallistumista pyrittäessä vaikuttamaan kunnan päätöksentekoon? Arvioi vaikuttamistapojen vaikuttavuutta asteikolla 1 (erittäin huono vaikuttamistapa) - 5 (erittäin hyvä) vaikuttamistapa.</c:v>
            </c:pt>
          </c:strCache>
        </c:strRef>
      </c:tx>
      <c:layout>
        <c:manualLayout>
          <c:xMode val="edge"/>
          <c:yMode val="edge"/>
          <c:x val="0.11379202337612541"/>
          <c:y val="1.4642113878521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044243418570506"/>
          <c:y val="0.16950159606137777"/>
          <c:w val="0.6956082122614764"/>
          <c:h val="0.780335696926054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work!$D$316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work!$A$317:$A$328</c:f>
              <c:strCache>
                <c:ptCount val="12"/>
                <c:pt idx="0">
                  <c:v>Kylä-/kaupunginosayhdistys</c:v>
                </c:pt>
                <c:pt idx="1">
                  <c:v>Asukasyhdistys</c:v>
                </c:pt>
                <c:pt idx="2">
                  <c:v>Vanhempainyhdistys</c:v>
                </c:pt>
                <c:pt idx="3">
                  <c:v>Liikunta-/urheiluseura</c:v>
                </c:pt>
                <c:pt idx="4">
                  <c:v>Kulttuurijärjestö</c:v>
                </c:pt>
                <c:pt idx="5">
                  <c:v>Nuoriso-/opiskelijajärjestö</c:v>
                </c:pt>
                <c:pt idx="6">
                  <c:v>Poliittinen järjestö/puolue</c:v>
                </c:pt>
                <c:pt idx="7">
                  <c:v>Tuottaja-/yrittäjäjärjestö</c:v>
                </c:pt>
                <c:pt idx="8">
                  <c:v>Ammattiyhdistys/-järjestö</c:v>
                </c:pt>
                <c:pt idx="9">
                  <c:v>Eläkeläisjärjestö</c:v>
                </c:pt>
                <c:pt idx="10">
                  <c:v>Ympäristöjärjestö</c:v>
                </c:pt>
                <c:pt idx="11">
                  <c:v>Vapaaehtoisjärjestö</c:v>
                </c:pt>
              </c:strCache>
            </c:strRef>
          </c:cat>
          <c:val>
            <c:numRef>
              <c:f>work!$D$317:$D$328</c:f>
              <c:numCache>
                <c:formatCode>0.0</c:formatCode>
                <c:ptCount val="12"/>
                <c:pt idx="0">
                  <c:v>35.384615384615387</c:v>
                </c:pt>
                <c:pt idx="1">
                  <c:v>26.229508196721312</c:v>
                </c:pt>
                <c:pt idx="2">
                  <c:v>41.791044776119406</c:v>
                </c:pt>
                <c:pt idx="3">
                  <c:v>34.782608695652172</c:v>
                </c:pt>
                <c:pt idx="4">
                  <c:v>18.181818181818183</c:v>
                </c:pt>
                <c:pt idx="5">
                  <c:v>26.666666666666668</c:v>
                </c:pt>
                <c:pt idx="6">
                  <c:v>43.07692307692308</c:v>
                </c:pt>
                <c:pt idx="7">
                  <c:v>40.298507462686565</c:v>
                </c:pt>
                <c:pt idx="8">
                  <c:v>25.396825396825395</c:v>
                </c:pt>
                <c:pt idx="9">
                  <c:v>31.818181818181817</c:v>
                </c:pt>
                <c:pt idx="10">
                  <c:v>24.193548387096776</c:v>
                </c:pt>
                <c:pt idx="11">
                  <c:v>26.865671641791046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23-4A6E-BC15-BBB1464DBD64}"/>
            </c:ext>
          </c:extLst>
        </c:ser>
        <c:ser>
          <c:idx val="1"/>
          <c:order val="1"/>
          <c:tx>
            <c:strRef>
              <c:f>work!$C$316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work!$A$317:$A$328</c:f>
              <c:strCache>
                <c:ptCount val="12"/>
                <c:pt idx="0">
                  <c:v>Kylä-/kaupunginosayhdistys</c:v>
                </c:pt>
                <c:pt idx="1">
                  <c:v>Asukasyhdistys</c:v>
                </c:pt>
                <c:pt idx="2">
                  <c:v>Vanhempainyhdistys</c:v>
                </c:pt>
                <c:pt idx="3">
                  <c:v>Liikunta-/urheiluseura</c:v>
                </c:pt>
                <c:pt idx="4">
                  <c:v>Kulttuurijärjestö</c:v>
                </c:pt>
                <c:pt idx="5">
                  <c:v>Nuoriso-/opiskelijajärjestö</c:v>
                </c:pt>
                <c:pt idx="6">
                  <c:v>Poliittinen järjestö/puolue</c:v>
                </c:pt>
                <c:pt idx="7">
                  <c:v>Tuottaja-/yrittäjäjärjestö</c:v>
                </c:pt>
                <c:pt idx="8">
                  <c:v>Ammattiyhdistys/-järjestö</c:v>
                </c:pt>
                <c:pt idx="9">
                  <c:v>Eläkeläisjärjestö</c:v>
                </c:pt>
                <c:pt idx="10">
                  <c:v>Ympäristöjärjestö</c:v>
                </c:pt>
                <c:pt idx="11">
                  <c:v>Vapaaehtoisjärjestö</c:v>
                </c:pt>
              </c:strCache>
            </c:strRef>
          </c:cat>
          <c:val>
            <c:numRef>
              <c:f>work!$C$317:$C$328</c:f>
              <c:numCache>
                <c:formatCode>0.0</c:formatCode>
                <c:ptCount val="12"/>
                <c:pt idx="0">
                  <c:v>35.433070866141733</c:v>
                </c:pt>
                <c:pt idx="1">
                  <c:v>29.006085192697768</c:v>
                </c:pt>
                <c:pt idx="2">
                  <c:v>34.611398963730572</c:v>
                </c:pt>
                <c:pt idx="3">
                  <c:v>36.669784845650142</c:v>
                </c:pt>
                <c:pt idx="4">
                  <c:v>23.583934088568487</c:v>
                </c:pt>
                <c:pt idx="5">
                  <c:v>21.137339055793991</c:v>
                </c:pt>
                <c:pt idx="6">
                  <c:v>39.792746113989637</c:v>
                </c:pt>
                <c:pt idx="7">
                  <c:v>31.709844559585491</c:v>
                </c:pt>
                <c:pt idx="8">
                  <c:v>29.949748743718594</c:v>
                </c:pt>
                <c:pt idx="9">
                  <c:v>24.206349206349206</c:v>
                </c:pt>
                <c:pt idx="10">
                  <c:v>22.245989304812834</c:v>
                </c:pt>
                <c:pt idx="11">
                  <c:v>24.849699398797597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3-4A6E-BC15-BBB1464DBD64}"/>
            </c:ext>
          </c:extLst>
        </c:ser>
        <c:ser>
          <c:idx val="0"/>
          <c:order val="2"/>
          <c:tx>
            <c:strRef>
              <c:f>work!$B$316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work!$A$317:$A$328</c:f>
              <c:strCache>
                <c:ptCount val="12"/>
                <c:pt idx="0">
                  <c:v>Kylä-/kaupunginosayhdistys</c:v>
                </c:pt>
                <c:pt idx="1">
                  <c:v>Asukasyhdistys</c:v>
                </c:pt>
                <c:pt idx="2">
                  <c:v>Vanhempainyhdistys</c:v>
                </c:pt>
                <c:pt idx="3">
                  <c:v>Liikunta-/urheiluseura</c:v>
                </c:pt>
                <c:pt idx="4">
                  <c:v>Kulttuurijärjestö</c:v>
                </c:pt>
                <c:pt idx="5">
                  <c:v>Nuoriso-/opiskelijajärjestö</c:v>
                </c:pt>
                <c:pt idx="6">
                  <c:v>Poliittinen järjestö/puolue</c:v>
                </c:pt>
                <c:pt idx="7">
                  <c:v>Tuottaja-/yrittäjäjärjestö</c:v>
                </c:pt>
                <c:pt idx="8">
                  <c:v>Ammattiyhdistys/-järjestö</c:v>
                </c:pt>
                <c:pt idx="9">
                  <c:v>Eläkeläisjärjestö</c:v>
                </c:pt>
                <c:pt idx="10">
                  <c:v>Ympäristöjärjestö</c:v>
                </c:pt>
                <c:pt idx="11">
                  <c:v>Vapaaehtoisjärjestö</c:v>
                </c:pt>
              </c:strCache>
            </c:strRef>
          </c:cat>
          <c:val>
            <c:numRef>
              <c:f>work!$B$317:$B$328</c:f>
              <c:numCache>
                <c:formatCode>0.0</c:formatCode>
                <c:ptCount val="12"/>
                <c:pt idx="0">
                  <c:v>36.065825899723166</c:v>
                </c:pt>
                <c:pt idx="1">
                  <c:v>30.968148848943549</c:v>
                </c:pt>
                <c:pt idx="2">
                  <c:v>34.465709728867623</c:v>
                </c:pt>
                <c:pt idx="3">
                  <c:v>33.895839394821067</c:v>
                </c:pt>
                <c:pt idx="4">
                  <c:v>23.640737770649558</c:v>
                </c:pt>
                <c:pt idx="5">
                  <c:v>22.825548770424163</c:v>
                </c:pt>
                <c:pt idx="6">
                  <c:v>41.567428387512066</c:v>
                </c:pt>
                <c:pt idx="7">
                  <c:v>30.926165803108809</c:v>
                </c:pt>
                <c:pt idx="8">
                  <c:v>30.759766225776684</c:v>
                </c:pt>
                <c:pt idx="9">
                  <c:v>22.904423136405814</c:v>
                </c:pt>
                <c:pt idx="10">
                  <c:v>22.607260726072607</c:v>
                </c:pt>
                <c:pt idx="11">
                  <c:v>25.315469699330112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3-4A6E-BC15-BBB1464D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282511"/>
        <c:axId val="303288335"/>
      </c:barChart>
      <c:catAx>
        <c:axId val="30328251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88335"/>
        <c:crosses val="autoZero"/>
        <c:auto val="1"/>
        <c:lblAlgn val="ctr"/>
        <c:lblOffset val="100"/>
        <c:noMultiLvlLbl val="0"/>
      </c:catAx>
      <c:valAx>
        <c:axId val="30328833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8251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>
      <c:oddHeader>&amp;C&amp;12Kuntalaiskysely 2017
</c:oddHeader>
    </c:headerFooter>
    <c:pageMargins b="0.75" l="0.7" r="0.7" t="0.75" header="0.3" footer="0.3"/>
    <c:pageSetup orientation="portrait"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work!$F$330</c:f>
          <c:strCache>
            <c:ptCount val="1"/>
            <c:pt idx="0">
              <c:v>K37: Mitä mieltä olet seuraavista sote- ja maakuntauudistusta koskevista väittämistä? Arvioi asteikolla 1 (täysin eri mieltä) - 5 (täysin samaa mieltä).</c:v>
            </c:pt>
          </c:strCache>
        </c:strRef>
      </c:tx>
      <c:layout>
        <c:manualLayout>
          <c:xMode val="edge"/>
          <c:yMode val="edge"/>
          <c:x val="0.14180750118063781"/>
          <c:y val="1.5630365245944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4546795721071236"/>
          <c:y val="0.23514548661691786"/>
          <c:w val="0.5103044889410866"/>
          <c:h val="0.678585964253552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work!$D$330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work!$A$331:$A$334</c:f>
              <c:strCache>
                <c:ptCount val="4"/>
                <c:pt idx="0">
                  <c:v>Olen seurannut  uudistusta koskevaa keskustelua aktiivisesti tiedotusvälineistä.</c:v>
                </c:pt>
                <c:pt idx="1">
                  <c:v>Ymmärrän pääpiirteissään mistä uudistuksessa on kyse.</c:v>
                </c:pt>
                <c:pt idx="2">
                  <c:v>Uudistus tulee parantamaan sosiaali- ja terveyspalveluita kunnassani.</c:v>
                </c:pt>
                <c:pt idx="3">
                  <c:v>Uudistus tulee heikentämään kuntalaisten vaikutusmahdollisuuksia.</c:v>
                </c:pt>
              </c:strCache>
            </c:strRef>
          </c:cat>
          <c:val>
            <c:numRef>
              <c:f>work!$D$331:$D$334</c:f>
              <c:numCache>
                <c:formatCode>0.0</c:formatCode>
                <c:ptCount val="4"/>
                <c:pt idx="0">
                  <c:v>34.234234234234236</c:v>
                </c:pt>
                <c:pt idx="1">
                  <c:v>28.181818181818183</c:v>
                </c:pt>
                <c:pt idx="2">
                  <c:v>11.926605504587156</c:v>
                </c:pt>
                <c:pt idx="3">
                  <c:v>48.18181818181818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B-4B0C-B2A3-FB12ECA03E99}"/>
            </c:ext>
          </c:extLst>
        </c:ser>
        <c:ser>
          <c:idx val="1"/>
          <c:order val="1"/>
          <c:tx>
            <c:strRef>
              <c:f>work!$C$330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work!$A$331:$A$334</c:f>
              <c:strCache>
                <c:ptCount val="4"/>
                <c:pt idx="0">
                  <c:v>Olen seurannut  uudistusta koskevaa keskustelua aktiivisesti tiedotusvälineistä.</c:v>
                </c:pt>
                <c:pt idx="1">
                  <c:v>Ymmärrän pääpiirteissään mistä uudistuksessa on kyse.</c:v>
                </c:pt>
                <c:pt idx="2">
                  <c:v>Uudistus tulee parantamaan sosiaali- ja terveyspalveluita kunnassani.</c:v>
                </c:pt>
                <c:pt idx="3">
                  <c:v>Uudistus tulee heikentämään kuntalaisten vaikutusmahdollisuuksia.</c:v>
                </c:pt>
              </c:strCache>
            </c:strRef>
          </c:cat>
          <c:val>
            <c:numRef>
              <c:f>work!$C$331:$C$334</c:f>
              <c:numCache>
                <c:formatCode>0.0</c:formatCode>
                <c:ptCount val="4"/>
                <c:pt idx="0">
                  <c:v>38.921832884097036</c:v>
                </c:pt>
                <c:pt idx="1">
                  <c:v>32.795698924731184</c:v>
                </c:pt>
                <c:pt idx="2">
                  <c:v>9.9079588521927455</c:v>
                </c:pt>
                <c:pt idx="3">
                  <c:v>45.070422535211264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B-4B0C-B2A3-FB12ECA03E99}"/>
            </c:ext>
          </c:extLst>
        </c:ser>
        <c:ser>
          <c:idx val="0"/>
          <c:order val="2"/>
          <c:tx>
            <c:strRef>
              <c:f>work!$B$330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work!$A$331:$A$334</c:f>
              <c:strCache>
                <c:ptCount val="4"/>
                <c:pt idx="0">
                  <c:v>Olen seurannut  uudistusta koskevaa keskustelua aktiivisesti tiedotusvälineistä.</c:v>
                </c:pt>
                <c:pt idx="1">
                  <c:v>Ymmärrän pääpiirteissään mistä uudistuksessa on kyse.</c:v>
                </c:pt>
                <c:pt idx="2">
                  <c:v>Uudistus tulee parantamaan sosiaali- ja terveyspalveluita kunnassani.</c:v>
                </c:pt>
                <c:pt idx="3">
                  <c:v>Uudistus tulee heikentämään kuntalaisten vaikutusmahdollisuuksia.</c:v>
                </c:pt>
              </c:strCache>
            </c:strRef>
          </c:cat>
          <c:val>
            <c:numRef>
              <c:f>work!$B$331:$B$334</c:f>
              <c:numCache>
                <c:formatCode>0.0</c:formatCode>
                <c:ptCount val="4"/>
                <c:pt idx="0">
                  <c:v>40.2541251213271</c:v>
                </c:pt>
                <c:pt idx="1">
                  <c:v>33.56297473944533</c:v>
                </c:pt>
                <c:pt idx="2">
                  <c:v>10.495471497069792</c:v>
                </c:pt>
                <c:pt idx="3">
                  <c:v>41.852410975934639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B-4B0C-B2A3-FB12ECA0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3263791"/>
        <c:axId val="303287503"/>
      </c:barChart>
      <c:catAx>
        <c:axId val="3032637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87503"/>
        <c:crosses val="autoZero"/>
        <c:auto val="1"/>
        <c:lblAlgn val="ctr"/>
        <c:lblOffset val="100"/>
        <c:noMultiLvlLbl val="0"/>
      </c:catAx>
      <c:valAx>
        <c:axId val="303287503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26379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work!$F$341</c:f>
          <c:strCache>
            <c:ptCount val="1"/>
            <c:pt idx="0">
              <c:v>K39: Monissa kunnissa on käynnissä palveluihin liittyviä uudistuksia. Miten tärkeänä pidät seuraavia asioita oman kuntasi näkökulmasta? Arvioi asteikolla 1 (ei lainkaan tärkeätä) - 5 (erittäin tärkeätä).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8220579472018604"/>
          <c:y val="0.15335386678030444"/>
          <c:w val="0.47356665143161292"/>
          <c:h val="0.799274622081853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work!$D$341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work!$A$342:$A$352</c:f>
              <c:strCache>
                <c:ptCount val="11"/>
                <c:pt idx="0">
                  <c:v>Palveluiden säilyminen kunnan järjestämänä.</c:v>
                </c:pt>
                <c:pt idx="1">
                  <c:v>Palveluiden tarjoaminen mahdollisimman lähellä kotia.</c:v>
                </c:pt>
                <c:pt idx="2">
                  <c:v>Mahdollisuus käyttää joustavasti myös naapurikuntien palveluja.</c:v>
                </c:pt>
                <c:pt idx="3">
                  <c:v>Mahdollisuus käyttää joustavasti myös järjestöjen ja yritysten tarjoamia palveluja.</c:v>
                </c:pt>
                <c:pt idx="4">
                  <c:v>Palvelujen monipuolisuuden ja korkean laadun varmistaminen, vaikka se vaatisi palvelupisteiden vähentämistä.</c:v>
                </c:pt>
                <c:pt idx="5">
                  <c:v>Mahdollisuus käyttää joustavasti yhä kattavampia sähköisiä palveluja.</c:v>
                </c:pt>
                <c:pt idx="6">
                  <c:v>Liikkuvien palvelujen lisääminen, vaikka se merkitsisi pysyvien palvelupisteiden vähentämistä.</c:v>
                </c:pt>
                <c:pt idx="7">
                  <c:v>Mahdollisuus valita kunnan järjestämä verorahoitteinen palvelu julkisen ja yksityisen palveluntuottajan välillä.</c:v>
                </c:pt>
                <c:pt idx="8">
                  <c:v>Kuntalaisten vastuun lisääminen omasta terveydestään ja hyvinvoinnistaan.</c:v>
                </c:pt>
                <c:pt idx="9">
                  <c:v>Käyttäjä-/palvelumaksujen käyttöönotto tai korottaminen kunnallisissa palveluissa.</c:v>
                </c:pt>
                <c:pt idx="10">
                  <c:v>Palvelujen käyttäjien ottaminen mukaan kunnan palvelujen suunnitteluun ja kehittämiseen.</c:v>
                </c:pt>
              </c:strCache>
            </c:strRef>
          </c:cat>
          <c:val>
            <c:numRef>
              <c:f>work!$D$342:$D$352</c:f>
              <c:numCache>
                <c:formatCode>0.0</c:formatCode>
                <c:ptCount val="11"/>
                <c:pt idx="0">
                  <c:v>75.438596491228068</c:v>
                </c:pt>
                <c:pt idx="1">
                  <c:v>88.695652173913047</c:v>
                </c:pt>
                <c:pt idx="2">
                  <c:v>79.824561403508767</c:v>
                </c:pt>
                <c:pt idx="3">
                  <c:v>56.637168141592923</c:v>
                </c:pt>
                <c:pt idx="4">
                  <c:v>46.902654867256636</c:v>
                </c:pt>
                <c:pt idx="5">
                  <c:v>50.442477876106196</c:v>
                </c:pt>
                <c:pt idx="6">
                  <c:v>16.814159292035399</c:v>
                </c:pt>
                <c:pt idx="7">
                  <c:v>54.86725663716814</c:v>
                </c:pt>
                <c:pt idx="8">
                  <c:v>50.434782608695649</c:v>
                </c:pt>
                <c:pt idx="9">
                  <c:v>15.929203539823009</c:v>
                </c:pt>
                <c:pt idx="10">
                  <c:v>60.176991150442475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A-4BEE-9A2D-34E449F2688E}"/>
            </c:ext>
          </c:extLst>
        </c:ser>
        <c:ser>
          <c:idx val="1"/>
          <c:order val="1"/>
          <c:tx>
            <c:strRef>
              <c:f>work!$C$341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work!$A$342:$A$352</c:f>
              <c:strCache>
                <c:ptCount val="11"/>
                <c:pt idx="0">
                  <c:v>Palveluiden säilyminen kunnan järjestämänä.</c:v>
                </c:pt>
                <c:pt idx="1">
                  <c:v>Palveluiden tarjoaminen mahdollisimman lähellä kotia.</c:v>
                </c:pt>
                <c:pt idx="2">
                  <c:v>Mahdollisuus käyttää joustavasti myös naapurikuntien palveluja.</c:v>
                </c:pt>
                <c:pt idx="3">
                  <c:v>Mahdollisuus käyttää joustavasti myös järjestöjen ja yritysten tarjoamia palveluja.</c:v>
                </c:pt>
                <c:pt idx="4">
                  <c:v>Palvelujen monipuolisuuden ja korkean laadun varmistaminen, vaikka se vaatisi palvelupisteiden vähentämistä.</c:v>
                </c:pt>
                <c:pt idx="5">
                  <c:v>Mahdollisuus käyttää joustavasti yhä kattavampia sähköisiä palveluja.</c:v>
                </c:pt>
                <c:pt idx="6">
                  <c:v>Liikkuvien palvelujen lisääminen, vaikka se merkitsisi pysyvien palvelupisteiden vähentämistä.</c:v>
                </c:pt>
                <c:pt idx="7">
                  <c:v>Mahdollisuus valita kunnan järjestämä verorahoitteinen palvelu julkisen ja yksityisen palveluntuottajan välillä.</c:v>
                </c:pt>
                <c:pt idx="8">
                  <c:v>Kuntalaisten vastuun lisääminen omasta terveydestään ja hyvinvoinnistaan.</c:v>
                </c:pt>
                <c:pt idx="9">
                  <c:v>Käyttäjä-/palvelumaksujen käyttöönotto tai korottaminen kunnallisissa palveluissa.</c:v>
                </c:pt>
                <c:pt idx="10">
                  <c:v>Palvelujen käyttäjien ottaminen mukaan kunnan palvelujen suunnitteluun ja kehittämiseen.</c:v>
                </c:pt>
              </c:strCache>
            </c:strRef>
          </c:cat>
          <c:val>
            <c:numRef>
              <c:f>work!$C$342:$C$352</c:f>
              <c:numCache>
                <c:formatCode>0.0</c:formatCode>
                <c:ptCount val="11"/>
                <c:pt idx="0">
                  <c:v>77.65567765567765</c:v>
                </c:pt>
                <c:pt idx="1">
                  <c:v>88.94105372978612</c:v>
                </c:pt>
                <c:pt idx="2">
                  <c:v>66.613924050632917</c:v>
                </c:pt>
                <c:pt idx="3">
                  <c:v>59.225874867444325</c:v>
                </c:pt>
                <c:pt idx="4">
                  <c:v>48.171701112877585</c:v>
                </c:pt>
                <c:pt idx="5">
                  <c:v>51.138168343038643</c:v>
                </c:pt>
                <c:pt idx="6">
                  <c:v>23.751328374070138</c:v>
                </c:pt>
                <c:pt idx="7">
                  <c:v>54.425013248542662</c:v>
                </c:pt>
                <c:pt idx="8">
                  <c:v>53.410893707033317</c:v>
                </c:pt>
                <c:pt idx="9">
                  <c:v>14.285714285714286</c:v>
                </c:pt>
                <c:pt idx="10">
                  <c:v>65.449735449735456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A-4BEE-9A2D-34E449F2688E}"/>
            </c:ext>
          </c:extLst>
        </c:ser>
        <c:ser>
          <c:idx val="0"/>
          <c:order val="2"/>
          <c:tx>
            <c:strRef>
              <c:f>work!$B$341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work!$A$342:$A$352</c:f>
              <c:strCache>
                <c:ptCount val="11"/>
                <c:pt idx="0">
                  <c:v>Palveluiden säilyminen kunnan järjestämänä.</c:v>
                </c:pt>
                <c:pt idx="1">
                  <c:v>Palveluiden tarjoaminen mahdollisimman lähellä kotia.</c:v>
                </c:pt>
                <c:pt idx="2">
                  <c:v>Mahdollisuus käyttää joustavasti myös naapurikuntien palveluja.</c:v>
                </c:pt>
                <c:pt idx="3">
                  <c:v>Mahdollisuus käyttää joustavasti myös järjestöjen ja yritysten tarjoamia palveluja.</c:v>
                </c:pt>
                <c:pt idx="4">
                  <c:v>Palvelujen monipuolisuuden ja korkean laadun varmistaminen, vaikka se vaatisi palvelupisteiden vähentämistä.</c:v>
                </c:pt>
                <c:pt idx="5">
                  <c:v>Mahdollisuus käyttää joustavasti yhä kattavampia sähköisiä palveluja.</c:v>
                </c:pt>
                <c:pt idx="6">
                  <c:v>Liikkuvien palvelujen lisääminen, vaikka se merkitsisi pysyvien palvelupisteiden vähentämistä.</c:v>
                </c:pt>
                <c:pt idx="7">
                  <c:v>Mahdollisuus valita kunnan järjestämä verorahoitteinen palvelu julkisen ja yksityisen palveluntuottajan välillä.</c:v>
                </c:pt>
                <c:pt idx="8">
                  <c:v>Kuntalaisten vastuun lisääminen omasta terveydestään ja hyvinvoinnistaan.</c:v>
                </c:pt>
                <c:pt idx="9">
                  <c:v>Käyttäjä-/palvelumaksujen käyttöönotto tai korottaminen kunnallisissa palveluissa.</c:v>
                </c:pt>
                <c:pt idx="10">
                  <c:v>Palvelujen käyttäjien ottaminen mukaan kunnan palvelujen suunnitteluun ja kehittämiseen.</c:v>
                </c:pt>
              </c:strCache>
            </c:strRef>
          </c:cat>
          <c:val>
            <c:numRef>
              <c:f>work!$B$342:$B$352</c:f>
              <c:numCache>
                <c:formatCode>0.0</c:formatCode>
                <c:ptCount val="11"/>
                <c:pt idx="0">
                  <c:v>74.551724137931032</c:v>
                </c:pt>
                <c:pt idx="1">
                  <c:v>88.407917383821001</c:v>
                </c:pt>
                <c:pt idx="2">
                  <c:v>65.200764818355637</c:v>
                </c:pt>
                <c:pt idx="3">
                  <c:v>58.77369202550441</c:v>
                </c:pt>
                <c:pt idx="4">
                  <c:v>49.422370033257486</c:v>
                </c:pt>
                <c:pt idx="5">
                  <c:v>53.984238178633973</c:v>
                </c:pt>
                <c:pt idx="6">
                  <c:v>24.945352802308296</c:v>
                </c:pt>
                <c:pt idx="7">
                  <c:v>54.376912986445127</c:v>
                </c:pt>
                <c:pt idx="8">
                  <c:v>54.902984425302357</c:v>
                </c:pt>
                <c:pt idx="9">
                  <c:v>15.345670391061452</c:v>
                </c:pt>
                <c:pt idx="10">
                  <c:v>66.206293706293707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A-4BEE-9A2D-34E449F2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7923615"/>
        <c:axId val="307930687"/>
      </c:barChart>
      <c:catAx>
        <c:axId val="3079236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7930687"/>
        <c:crosses val="autoZero"/>
        <c:auto val="1"/>
        <c:lblAlgn val="ctr"/>
        <c:lblOffset val="100"/>
        <c:noMultiLvlLbl val="0"/>
      </c:catAx>
      <c:valAx>
        <c:axId val="30793068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792361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work!$F$23</c:f>
          <c:strCache>
            <c:ptCount val="1"/>
            <c:pt idx="0">
              <c:v>K15: Miten todennäköistä on, että asut nykyisessä kotikunnassasi edelleen 3 vuoden kuluttua?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work!$A$24</c:f>
              <c:strCache>
                <c:ptCount val="1"/>
                <c:pt idx="0">
                  <c:v>% vastanneista pitää melko tai erittäin todennäköisenä (4+5)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work!$B$23:$D$23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work!$B$24:$D$24</c:f>
              <c:numCache>
                <c:formatCode>0.0</c:formatCode>
                <c:ptCount val="3"/>
                <c:pt idx="0">
                  <c:v>82.203894226681399</c:v>
                </c:pt>
                <c:pt idx="1">
                  <c:v>84.229576008273014</c:v>
                </c:pt>
                <c:pt idx="2">
                  <c:v>82.20338983050847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F-4B16-9A62-90A71A64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4825647"/>
        <c:axId val="1044826895"/>
      </c:barChart>
      <c:catAx>
        <c:axId val="1044825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26895"/>
        <c:crosses val="autoZero"/>
        <c:auto val="1"/>
        <c:lblAlgn val="ctr"/>
        <c:lblOffset val="100"/>
        <c:noMultiLvlLbl val="0"/>
      </c:catAx>
      <c:valAx>
        <c:axId val="104482689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25647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work!$F$195</c:f>
          <c:strCache>
            <c:ptCount val="1"/>
            <c:pt idx="0">
              <c:v>K25: Kuinka kiinnostunut olet oman kuntasi kunnallispolitiikasta? Arvioi asteikolla 1 (en lainkaan kiinnostunut) - 5 (erittäin kiinnostunut).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339990304123485"/>
          <c:y val="0.1820391061452514"/>
          <c:w val="0.74254595276393709"/>
          <c:h val="0.688620727576650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work!$A$196</c:f>
              <c:strCache>
                <c:ptCount val="1"/>
                <c:pt idx="0">
                  <c:v>ei kiinnostunut (1+2)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work!$B$195:$D$195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work!$B$196:$D$196</c:f>
              <c:numCache>
                <c:formatCode>0.0</c:formatCode>
                <c:ptCount val="3"/>
                <c:pt idx="0">
                  <c:v>31.379783765230822</c:v>
                </c:pt>
                <c:pt idx="1">
                  <c:v>31.94588969823101</c:v>
                </c:pt>
                <c:pt idx="2">
                  <c:v>48.305084745762713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6-4A46-B4F0-C9347DADFBED}"/>
            </c:ext>
          </c:extLst>
        </c:ser>
        <c:ser>
          <c:idx val="1"/>
          <c:order val="1"/>
          <c:tx>
            <c:strRef>
              <c:f>work!$A$197</c:f>
              <c:strCache>
                <c:ptCount val="1"/>
                <c:pt idx="0">
                  <c:v>neutraali (3)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work!$B$195:$D$195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work!$B$197:$D$197</c:f>
              <c:numCache>
                <c:formatCode>0.0</c:formatCode>
                <c:ptCount val="3"/>
                <c:pt idx="0">
                  <c:v>35.798867341685259</c:v>
                </c:pt>
                <c:pt idx="1">
                  <c:v>34.495317377731531</c:v>
                </c:pt>
                <c:pt idx="2">
                  <c:v>23.728813559322035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6-4A46-B4F0-C9347DADFBED}"/>
            </c:ext>
          </c:extLst>
        </c:ser>
        <c:ser>
          <c:idx val="2"/>
          <c:order val="2"/>
          <c:tx>
            <c:strRef>
              <c:f>work!$A$198</c:f>
              <c:strCache>
                <c:ptCount val="1"/>
                <c:pt idx="0">
                  <c:v>kiinnostunut (4+5)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work!$B$195:$D$195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work!$B$198:$D$198</c:f>
              <c:numCache>
                <c:formatCode>0.0</c:formatCode>
                <c:ptCount val="3"/>
                <c:pt idx="0">
                  <c:v>32.821348893083922</c:v>
                </c:pt>
                <c:pt idx="1">
                  <c:v>33.558792924037462</c:v>
                </c:pt>
                <c:pt idx="2">
                  <c:v>27.966101694915253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6-4A46-B4F0-C9347DAD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0310447"/>
        <c:axId val="1830311695"/>
      </c:barChart>
      <c:catAx>
        <c:axId val="1830310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0311695"/>
        <c:crosses val="autoZero"/>
        <c:auto val="1"/>
        <c:lblAlgn val="ctr"/>
        <c:lblOffset val="100"/>
        <c:noMultiLvlLbl val="0"/>
      </c:catAx>
      <c:valAx>
        <c:axId val="183031169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03104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work!$F$210</c:f>
          <c:strCache>
            <c:ptCount val="1"/>
            <c:pt idx="0">
              <c:v>K27: Oletko toiminut tai toimitko jossain kunnallisessa luottamustehtävässä?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522521485774665"/>
          <c:y val="0.26935958307868502"/>
          <c:w val="0.7403438247032792"/>
          <c:h val="0.548562820664259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work!$A$211</c:f>
              <c:strCache>
                <c:ptCount val="1"/>
                <c:pt idx="0">
                  <c:v>En ole koskaan toiminut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work!$B$210:$D$210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work!$B$211:$D$211</c:f>
              <c:numCache>
                <c:formatCode>0.0</c:formatCode>
                <c:ptCount val="3"/>
                <c:pt idx="0">
                  <c:v>88.464509484164452</c:v>
                </c:pt>
                <c:pt idx="1">
                  <c:v>86.325678496868477</c:v>
                </c:pt>
                <c:pt idx="2">
                  <c:v>82.051282051282058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5-49F8-95C3-5B8251DA459D}"/>
            </c:ext>
          </c:extLst>
        </c:ser>
        <c:ser>
          <c:idx val="1"/>
          <c:order val="1"/>
          <c:tx>
            <c:strRef>
              <c:f>work!$A$212</c:f>
              <c:strCache>
                <c:ptCount val="1"/>
                <c:pt idx="0">
                  <c:v>Kyllä, olen toiminut aikaisemmin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work!$B$210:$D$210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work!$B$212:$D$212</c:f>
              <c:numCache>
                <c:formatCode>0.0</c:formatCode>
                <c:ptCount val="3"/>
                <c:pt idx="0">
                  <c:v>10.03347352158613</c:v>
                </c:pt>
                <c:pt idx="1">
                  <c:v>12.004175365344468</c:v>
                </c:pt>
                <c:pt idx="2">
                  <c:v>15.384615384615385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5-49F8-95C3-5B8251DA459D}"/>
            </c:ext>
          </c:extLst>
        </c:ser>
        <c:ser>
          <c:idx val="2"/>
          <c:order val="2"/>
          <c:tx>
            <c:strRef>
              <c:f>work!$A$213</c:f>
              <c:strCache>
                <c:ptCount val="1"/>
                <c:pt idx="0">
                  <c:v>Kyllä, toimin parastaikaa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1596370684276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5-49F8-95C3-5B8251DA459D}"/>
                </c:ext>
              </c:extLst>
            </c:dLbl>
            <c:dLbl>
              <c:idx val="1"/>
              <c:layout>
                <c:manualLayout>
                  <c:x val="2.3159637068427611E-2"/>
                  <c:y val="-8.032128514056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5-49F8-95C3-5B8251DA459D}"/>
                </c:ext>
              </c:extLst>
            </c:dLbl>
            <c:dLbl>
              <c:idx val="2"/>
              <c:layout>
                <c:manualLayout>
                  <c:x val="1.9299697557022866E-2"/>
                  <c:y val="0"/>
                </c:manualLayout>
              </c:layout>
              <c:tx>
                <c:rich>
                  <a:bodyPr/>
                  <a:lstStyle/>
                  <a:p>
                    <a:fld id="{53632883-DC11-405F-BA27-B3830E47AD9E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[ARVO]</a:t>
                    </a:fld>
                    <a:endParaRPr lang="fi-FI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55-49F8-95C3-5B8251DA4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work!$B$210:$D$210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work!$B$213:$D$213</c:f>
              <c:numCache>
                <c:formatCode>0.0</c:formatCode>
                <c:ptCount val="3"/>
                <c:pt idx="0">
                  <c:v>1.5020169942494206</c:v>
                </c:pt>
                <c:pt idx="1">
                  <c:v>1.6701461377870563</c:v>
                </c:pt>
                <c:pt idx="2">
                  <c:v>2.5641025641025643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5-49F8-95C3-5B8251DA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3897631"/>
        <c:axId val="1833875583"/>
      </c:barChart>
      <c:catAx>
        <c:axId val="1833897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3875583"/>
        <c:crosses val="autoZero"/>
        <c:auto val="1"/>
        <c:lblAlgn val="ctr"/>
        <c:lblOffset val="100"/>
        <c:noMultiLvlLbl val="0"/>
      </c:catAx>
      <c:valAx>
        <c:axId val="183387558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38976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work!$F$215</c:f>
          <c:strCache>
            <c:ptCount val="1"/>
            <c:pt idx="0">
              <c:v>K28: Olisitko halukas ottamaan vastaan sinulle tarjottavan kunnallisen luottamustehtävän? (%)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315472165448113"/>
          <c:y val="0.25311392096750429"/>
          <c:w val="0.74284174924475599"/>
          <c:h val="0.561352895688577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work!$A$216</c:f>
              <c:strCache>
                <c:ptCount val="1"/>
                <c:pt idx="0">
                  <c:v>En ole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work!$B$215:$D$215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work!$B$216:$D$216</c:f>
              <c:numCache>
                <c:formatCode>0.0</c:formatCode>
                <c:ptCount val="3"/>
                <c:pt idx="0">
                  <c:v>73.791152263374485</c:v>
                </c:pt>
                <c:pt idx="1">
                  <c:v>76.15584415584415</c:v>
                </c:pt>
                <c:pt idx="2">
                  <c:v>79.310344827586206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0-4A64-8804-E396745786B4}"/>
            </c:ext>
          </c:extLst>
        </c:ser>
        <c:ser>
          <c:idx val="1"/>
          <c:order val="1"/>
          <c:tx>
            <c:strRef>
              <c:f>work!$A$217</c:f>
              <c:strCache>
                <c:ptCount val="1"/>
                <c:pt idx="0">
                  <c:v>Ehkä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work!$B$215:$D$215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work!$B$217:$D$217</c:f>
              <c:numCache>
                <c:formatCode>0.0</c:formatCode>
                <c:ptCount val="3"/>
                <c:pt idx="0">
                  <c:v>21.227709190672154</c:v>
                </c:pt>
                <c:pt idx="1">
                  <c:v>19.584415584415584</c:v>
                </c:pt>
                <c:pt idx="2">
                  <c:v>17.241379310344829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0-4A64-8804-E396745786B4}"/>
            </c:ext>
          </c:extLst>
        </c:ser>
        <c:ser>
          <c:idx val="2"/>
          <c:order val="2"/>
          <c:tx>
            <c:strRef>
              <c:f>work!$A$218</c:f>
              <c:strCache>
                <c:ptCount val="1"/>
                <c:pt idx="0">
                  <c:v>Kyllä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work!$B$215:$D$215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work!$B$218:$D$218</c:f>
              <c:numCache>
                <c:formatCode>0.0</c:formatCode>
                <c:ptCount val="3"/>
                <c:pt idx="0">
                  <c:v>4.9811385459533604</c:v>
                </c:pt>
                <c:pt idx="1">
                  <c:v>4.2597402597402594</c:v>
                </c:pt>
                <c:pt idx="2">
                  <c:v>3.4482758620689653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0-4A64-8804-E3967457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0253215"/>
        <c:axId val="1840251551"/>
      </c:barChart>
      <c:catAx>
        <c:axId val="1840253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40251551"/>
        <c:crosses val="autoZero"/>
        <c:auto val="1"/>
        <c:lblAlgn val="ctr"/>
        <c:lblOffset val="100"/>
        <c:noMultiLvlLbl val="0"/>
      </c:catAx>
      <c:valAx>
        <c:axId val="184025155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40253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858798037637188"/>
          <c:y val="0.9049344585866137"/>
          <c:w val="0.28142441596808354"/>
          <c:h val="7.0081771028006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work!$F$336</c:f>
          <c:strCache>
            <c:ptCount val="1"/>
            <c:pt idx="0">
              <c:v>K38: Aiotko äänestää tammikuussa 2018 järjestettävissä maakuntavaaleissa, mikäli sote- ja maakuntauudistus toteutuu hallituksen suunnitelmien mukaan? (%)</c:v>
            </c:pt>
          </c:strCache>
        </c:strRef>
      </c:tx>
      <c:layout>
        <c:manualLayout>
          <c:xMode val="edge"/>
          <c:yMode val="edge"/>
          <c:x val="0.1554936141207966"/>
          <c:y val="1.6228497241155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223593695510384"/>
          <c:y val="0.21692001994649948"/>
          <c:w val="0.74173586057479901"/>
          <c:h val="0.628660567351340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work!$A$337</c:f>
              <c:strCache>
                <c:ptCount val="1"/>
                <c:pt idx="0">
                  <c:v>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3.6803364117270589E-3"/>
                  <c:y val="-6.34677575943078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300209532853741E-2"/>
                      <c:h val="4.405303875957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3F5-4460-AB07-875565CBA1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work!$B$336:$D$336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work!$B$337:$D$337</c:f>
              <c:numCache>
                <c:formatCode>0.0</c:formatCode>
                <c:ptCount val="3"/>
                <c:pt idx="0">
                  <c:v>4.7888774459320285</c:v>
                </c:pt>
                <c:pt idx="1">
                  <c:v>5.5758207399687336</c:v>
                </c:pt>
                <c:pt idx="2">
                  <c:v>7.6271186440677967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5EB-9890-865500328C0C}"/>
            </c:ext>
          </c:extLst>
        </c:ser>
        <c:ser>
          <c:idx val="1"/>
          <c:order val="1"/>
          <c:tx>
            <c:strRef>
              <c:f>work!$A$338</c:f>
              <c:strCache>
                <c:ptCount val="1"/>
                <c:pt idx="0">
                  <c:v>kyllä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work!$B$336:$D$336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work!$B$338:$D$338</c:f>
              <c:numCache>
                <c:formatCode>0.0</c:formatCode>
                <c:ptCount val="3"/>
                <c:pt idx="0">
                  <c:v>69.301407483693779</c:v>
                </c:pt>
                <c:pt idx="1">
                  <c:v>67.691505992704535</c:v>
                </c:pt>
                <c:pt idx="2">
                  <c:v>69.491525423728817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5EB-9890-865500328C0C}"/>
            </c:ext>
          </c:extLst>
        </c:ser>
        <c:ser>
          <c:idx val="2"/>
          <c:order val="2"/>
          <c:tx>
            <c:strRef>
              <c:f>work!$A$339</c:f>
              <c:strCache>
                <c:ptCount val="1"/>
                <c:pt idx="0">
                  <c:v>en osaa sanoa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work!$B$336:$D$336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work!$B$339:$D$339</c:f>
              <c:numCache>
                <c:formatCode>0.0</c:formatCode>
                <c:ptCount val="3"/>
                <c:pt idx="0">
                  <c:v>25.909715070374183</c:v>
                </c:pt>
                <c:pt idx="1">
                  <c:v>26.732673267326732</c:v>
                </c:pt>
                <c:pt idx="2">
                  <c:v>22.881355932203391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5EB-9890-865500328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0092399"/>
        <c:axId val="660093647"/>
      </c:barChart>
      <c:catAx>
        <c:axId val="660092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0093647"/>
        <c:crosses val="autoZero"/>
        <c:auto val="1"/>
        <c:lblAlgn val="ctr"/>
        <c:lblOffset val="100"/>
        <c:noMultiLvlLbl val="0"/>
      </c:catAx>
      <c:valAx>
        <c:axId val="66009364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009239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work!$F$67</c:f>
          <c:strCache>
            <c:ptCount val="1"/>
            <c:pt idx="0">
              <c:v>Koulutus- ja sivistyspalvelut: Mitä kuntasi järjestämiä palveluja tai toimia olet käyttänyt? Oletko Sinä tai perheenjäsenesi käyttänyt alla mainittuja palveluja viimeisen 12 kuukauden aikana?</c:v>
            </c:pt>
          </c:strCache>
        </c:strRef>
      </c:tx>
      <c:layout>
        <c:manualLayout>
          <c:xMode val="edge"/>
          <c:yMode val="edge"/>
          <c:x val="0.10335918043542047"/>
          <c:y val="9.11002144202553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450038018755523"/>
          <c:y val="0.13573353352949677"/>
          <c:w val="0.69533255492148727"/>
          <c:h val="0.8164029771418328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work!$D$67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work!$A$68:$A$82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work!$D$68:$D$82</c:f>
              <c:numCache>
                <c:formatCode>0.0</c:formatCode>
                <c:ptCount val="15"/>
                <c:pt idx="0">
                  <c:v>9.0090090090090094</c:v>
                </c:pt>
                <c:pt idx="1">
                  <c:v>7.2072072072072073</c:v>
                </c:pt>
                <c:pt idx="2">
                  <c:v>8.9285714285714288</c:v>
                </c:pt>
                <c:pt idx="3">
                  <c:v>9.8214285714285712</c:v>
                </c:pt>
                <c:pt idx="4">
                  <c:v>7.1428571428571432</c:v>
                </c:pt>
                <c:pt idx="5">
                  <c:v>3.5714285714285716</c:v>
                </c:pt>
                <c:pt idx="6">
                  <c:v>2.6785714285714284</c:v>
                </c:pt>
                <c:pt idx="7">
                  <c:v>2.6785714285714284</c:v>
                </c:pt>
                <c:pt idx="8">
                  <c:v>2.7027027027027026</c:v>
                </c:pt>
                <c:pt idx="9">
                  <c:v>5.3571428571428568</c:v>
                </c:pt>
                <c:pt idx="10">
                  <c:v>14.912280701754385</c:v>
                </c:pt>
                <c:pt idx="11">
                  <c:v>55.172413793103445</c:v>
                </c:pt>
                <c:pt idx="12">
                  <c:v>14.912280701754385</c:v>
                </c:pt>
                <c:pt idx="13">
                  <c:v>29.464285714285715</c:v>
                </c:pt>
                <c:pt idx="14">
                  <c:v>3.5714285714285716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D-4733-9A49-3814A39DB7AD}"/>
            </c:ext>
          </c:extLst>
        </c:ser>
        <c:ser>
          <c:idx val="1"/>
          <c:order val="1"/>
          <c:tx>
            <c:strRef>
              <c:f>work!$C$67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work!$A$68:$A$82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work!$C$68:$C$82</c:f>
              <c:numCache>
                <c:formatCode>0.0</c:formatCode>
                <c:ptCount val="15"/>
                <c:pt idx="0">
                  <c:v>10.079726651480637</c:v>
                </c:pt>
                <c:pt idx="1">
                  <c:v>7.4116305587229192</c:v>
                </c:pt>
                <c:pt idx="2">
                  <c:v>15.954415954415955</c:v>
                </c:pt>
                <c:pt idx="3">
                  <c:v>11.542857142857143</c:v>
                </c:pt>
                <c:pt idx="4">
                  <c:v>6.7621776504297992</c:v>
                </c:pt>
                <c:pt idx="5">
                  <c:v>6.332002281802624</c:v>
                </c:pt>
                <c:pt idx="6">
                  <c:v>3.9564220183486238</c:v>
                </c:pt>
                <c:pt idx="7">
                  <c:v>4.1284403669724767</c:v>
                </c:pt>
                <c:pt idx="8">
                  <c:v>4.5819014891179837</c:v>
                </c:pt>
                <c:pt idx="9">
                  <c:v>7.8250863060989646</c:v>
                </c:pt>
                <c:pt idx="10">
                  <c:v>27.172108467072494</c:v>
                </c:pt>
                <c:pt idx="11">
                  <c:v>65.835140997830806</c:v>
                </c:pt>
                <c:pt idx="12">
                  <c:v>35.997764114030183</c:v>
                </c:pt>
                <c:pt idx="13">
                  <c:v>48.530227398779815</c:v>
                </c:pt>
                <c:pt idx="14">
                  <c:v>6.1212814645308926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D-4733-9A49-3814A39DB7AD}"/>
            </c:ext>
          </c:extLst>
        </c:ser>
        <c:ser>
          <c:idx val="0"/>
          <c:order val="2"/>
          <c:tx>
            <c:strRef>
              <c:f>work!$B$67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work!$A$68:$A$82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work!$B$68:$B$82</c:f>
              <c:numCache>
                <c:formatCode>0.0</c:formatCode>
                <c:ptCount val="15"/>
                <c:pt idx="0">
                  <c:v>9.5678148044432003</c:v>
                </c:pt>
                <c:pt idx="1">
                  <c:v>6.2687125748502996</c:v>
                </c:pt>
                <c:pt idx="2">
                  <c:v>13.363321150782495</c:v>
                </c:pt>
                <c:pt idx="3">
                  <c:v>9.3996247654784248</c:v>
                </c:pt>
                <c:pt idx="4">
                  <c:v>6.9931384528621114</c:v>
                </c:pt>
                <c:pt idx="5">
                  <c:v>7.2043413173652695</c:v>
                </c:pt>
                <c:pt idx="6">
                  <c:v>3.055372755476168</c:v>
                </c:pt>
                <c:pt idx="7">
                  <c:v>4.4492521870002824</c:v>
                </c:pt>
                <c:pt idx="8">
                  <c:v>4.4005641748942175</c:v>
                </c:pt>
                <c:pt idx="9">
                  <c:v>5.5136663524976441</c:v>
                </c:pt>
                <c:pt idx="10">
                  <c:v>25.708575581395348</c:v>
                </c:pt>
                <c:pt idx="11">
                  <c:v>66.910192444761222</c:v>
                </c:pt>
                <c:pt idx="12">
                  <c:v>45.810157745965171</c:v>
                </c:pt>
                <c:pt idx="13">
                  <c:v>49.859665006790401</c:v>
                </c:pt>
                <c:pt idx="14">
                  <c:v>5.6156716417910451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BD-4733-9A49-3814A39D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0016159"/>
        <c:axId val="220026559"/>
      </c:barChart>
      <c:catAx>
        <c:axId val="2200161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26559"/>
        <c:crosses val="autoZero"/>
        <c:auto val="1"/>
        <c:lblAlgn val="ctr"/>
        <c:lblOffset val="100"/>
        <c:noMultiLvlLbl val="0"/>
      </c:catAx>
      <c:valAx>
        <c:axId val="22002655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2001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work!$F$111</c:f>
          <c:strCache>
            <c:ptCount val="1"/>
            <c:pt idx="0">
              <c:v>Koulutus- ja sivistyspalvelut: Miten kuntasi järjestämiä palveluja on mielestäsi hoidettu? Arvioi palvelujen/toimien hoitamista asteikolla 1 (erittäin huonosti) – 5 (erittäin hyvin).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5768580614992287"/>
          <c:y val="0.14489711446084702"/>
          <c:w val="0.70620205810680892"/>
          <c:h val="0.8039413775578491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work!$D$111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work!$A$112:$A$126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work!$D$112:$D$126</c:f>
              <c:numCache>
                <c:formatCode>0.0</c:formatCode>
                <c:ptCount val="15"/>
                <c:pt idx="0">
                  <c:v>89.473684210526315</c:v>
                </c:pt>
                <c:pt idx="1">
                  <c:v>79.411764705882348</c:v>
                </c:pt>
                <c:pt idx="2">
                  <c:v>81.578947368421055</c:v>
                </c:pt>
                <c:pt idx="3">
                  <c:v>68.421052631578945</c:v>
                </c:pt>
                <c:pt idx="4">
                  <c:v>83.333333333333329</c:v>
                </c:pt>
                <c:pt idx="5">
                  <c:v>64.516129032258064</c:v>
                </c:pt>
                <c:pt idx="6">
                  <c:v>47.826086956521742</c:v>
                </c:pt>
                <c:pt idx="7">
                  <c:v>55.555555555555557</c:v>
                </c:pt>
                <c:pt idx="8">
                  <c:v>39.130434782608695</c:v>
                </c:pt>
                <c:pt idx="9">
                  <c:v>46.875</c:v>
                </c:pt>
                <c:pt idx="10">
                  <c:v>63.157894736842103</c:v>
                </c:pt>
                <c:pt idx="11">
                  <c:v>86.84210526315789</c:v>
                </c:pt>
                <c:pt idx="12">
                  <c:v>40</c:v>
                </c:pt>
                <c:pt idx="13">
                  <c:v>49.090909090909093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57B-AED1-FF20FFB13FE3}"/>
            </c:ext>
          </c:extLst>
        </c:ser>
        <c:ser>
          <c:idx val="1"/>
          <c:order val="1"/>
          <c:tx>
            <c:strRef>
              <c:f>work!$C$111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work!$A$112:$A$126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work!$C$112:$C$126</c:f>
              <c:numCache>
                <c:formatCode>0.0</c:formatCode>
                <c:ptCount val="15"/>
                <c:pt idx="0">
                  <c:v>76.022304832713758</c:v>
                </c:pt>
                <c:pt idx="1">
                  <c:v>81.818181818181813</c:v>
                </c:pt>
                <c:pt idx="2">
                  <c:v>79.690189328743543</c:v>
                </c:pt>
                <c:pt idx="3">
                  <c:v>76.264591439688715</c:v>
                </c:pt>
                <c:pt idx="4">
                  <c:v>72.261072261072258</c:v>
                </c:pt>
                <c:pt idx="5">
                  <c:v>63.131313131313128</c:v>
                </c:pt>
                <c:pt idx="6">
                  <c:v>56.230031948881788</c:v>
                </c:pt>
                <c:pt idx="7">
                  <c:v>55.390334572490708</c:v>
                </c:pt>
                <c:pt idx="8">
                  <c:v>61.671469740634002</c:v>
                </c:pt>
                <c:pt idx="9">
                  <c:v>59.697732997481111</c:v>
                </c:pt>
                <c:pt idx="10">
                  <c:v>75.100942126514127</c:v>
                </c:pt>
                <c:pt idx="11">
                  <c:v>89.602446483180429</c:v>
                </c:pt>
                <c:pt idx="12">
                  <c:v>70.210135970333752</c:v>
                </c:pt>
                <c:pt idx="13">
                  <c:v>77.702702702702709</c:v>
                </c:pt>
                <c:pt idx="14">
                  <c:v>53.698630136986303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57B-AED1-FF20FFB13FE3}"/>
            </c:ext>
          </c:extLst>
        </c:ser>
        <c:ser>
          <c:idx val="0"/>
          <c:order val="2"/>
          <c:tx>
            <c:strRef>
              <c:f>work!$B$111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work!$A$112:$A$126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work!$B$112:$B$126</c:f>
              <c:numCache>
                <c:formatCode>0.0</c:formatCode>
                <c:ptCount val="15"/>
                <c:pt idx="0">
                  <c:v>74.099999999999994</c:v>
                </c:pt>
                <c:pt idx="1">
                  <c:v>78</c:v>
                </c:pt>
                <c:pt idx="2">
                  <c:v>77.7</c:v>
                </c:pt>
                <c:pt idx="3">
                  <c:v>72.8</c:v>
                </c:pt>
                <c:pt idx="4">
                  <c:v>71.900000000000006</c:v>
                </c:pt>
                <c:pt idx="5">
                  <c:v>58.2</c:v>
                </c:pt>
                <c:pt idx="6">
                  <c:v>52.9</c:v>
                </c:pt>
                <c:pt idx="7">
                  <c:v>50.9</c:v>
                </c:pt>
                <c:pt idx="8">
                  <c:v>58.7</c:v>
                </c:pt>
                <c:pt idx="9">
                  <c:v>59.9</c:v>
                </c:pt>
                <c:pt idx="10">
                  <c:v>78.5</c:v>
                </c:pt>
                <c:pt idx="11">
                  <c:v>91.1</c:v>
                </c:pt>
                <c:pt idx="12">
                  <c:v>76.7</c:v>
                </c:pt>
                <c:pt idx="13">
                  <c:v>79</c:v>
                </c:pt>
                <c:pt idx="14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A-457B-AED1-FF20FFB1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"/>
        <c:axId val="1044833135"/>
        <c:axId val="1044827727"/>
      </c:barChart>
      <c:catAx>
        <c:axId val="10448331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27727"/>
        <c:crosses val="autoZero"/>
        <c:auto val="1"/>
        <c:lblAlgn val="ctr"/>
        <c:lblOffset val="100"/>
        <c:noMultiLvlLbl val="0"/>
      </c:catAx>
      <c:valAx>
        <c:axId val="1044827727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483313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work!$F$159</c:f>
          <c:strCache>
            <c:ptCount val="1"/>
            <c:pt idx="0">
              <c:v>Koulutus- ja sivistyspalvelut: Miten arvioit kuntasi järjestämien palvelujen saatavuutta ja saavutettavuutta? Arvioi palvelujen saatavuutta ja saavutettavuutta asteikolla 1 (erittäin huono) – 5 (erittäin hyvä).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5282474911717784"/>
          <c:y val="0.19540289347889483"/>
          <c:w val="0.69930156257611631"/>
          <c:h val="0.7509708750174344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work!$D$159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work!$A$160:$A$174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work!$D$160:$D$174</c:f>
              <c:numCache>
                <c:formatCode>0.0</c:formatCode>
                <c:ptCount val="15"/>
                <c:pt idx="0">
                  <c:v>72.549019607843135</c:v>
                </c:pt>
                <c:pt idx="1">
                  <c:v>85.714285714285708</c:v>
                </c:pt>
                <c:pt idx="2">
                  <c:v>86.79245283018868</c:v>
                </c:pt>
                <c:pt idx="3">
                  <c:v>82.692307692307693</c:v>
                </c:pt>
                <c:pt idx="4">
                  <c:v>90</c:v>
                </c:pt>
                <c:pt idx="5">
                  <c:v>82</c:v>
                </c:pt>
                <c:pt idx="6">
                  <c:v>53.846153846153847</c:v>
                </c:pt>
                <c:pt idx="7">
                  <c:v>60.869565217391305</c:v>
                </c:pt>
                <c:pt idx="8">
                  <c:v>44.444444444444443</c:v>
                </c:pt>
                <c:pt idx="9">
                  <c:v>51.282051282051285</c:v>
                </c:pt>
                <c:pt idx="10">
                  <c:v>62.5</c:v>
                </c:pt>
                <c:pt idx="11">
                  <c:v>83.15789473684211</c:v>
                </c:pt>
                <c:pt idx="12">
                  <c:v>39.285714285714285</c:v>
                </c:pt>
                <c:pt idx="13">
                  <c:v>55.421686746987952</c:v>
                </c:pt>
                <c:pt idx="14">
                  <c:v>37.837837837837839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7-45D8-A100-45A32B9AA7B3}"/>
            </c:ext>
          </c:extLst>
        </c:ser>
        <c:ser>
          <c:idx val="1"/>
          <c:order val="1"/>
          <c:tx>
            <c:strRef>
              <c:f>work!$C$159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work!$A$160:$A$174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work!$C$160:$C$174</c:f>
              <c:numCache>
                <c:formatCode>0.0</c:formatCode>
                <c:ptCount val="15"/>
                <c:pt idx="0">
                  <c:v>74.303030303030297</c:v>
                </c:pt>
                <c:pt idx="1">
                  <c:v>83.395291201982658</c:v>
                </c:pt>
                <c:pt idx="2">
                  <c:v>85.857461024498889</c:v>
                </c:pt>
                <c:pt idx="3">
                  <c:v>83.27402135231317</c:v>
                </c:pt>
                <c:pt idx="4">
                  <c:v>74.033816425120776</c:v>
                </c:pt>
                <c:pt idx="5">
                  <c:v>62.547288776796975</c:v>
                </c:pt>
                <c:pt idx="6">
                  <c:v>53.980582524271846</c:v>
                </c:pt>
                <c:pt idx="7">
                  <c:v>54.888888888888886</c:v>
                </c:pt>
                <c:pt idx="8">
                  <c:v>61.347517730496456</c:v>
                </c:pt>
                <c:pt idx="9">
                  <c:v>57.836990595611283</c:v>
                </c:pt>
                <c:pt idx="10">
                  <c:v>73.688524590163937</c:v>
                </c:pt>
                <c:pt idx="11">
                  <c:v>89.095415117719952</c:v>
                </c:pt>
                <c:pt idx="12">
                  <c:v>65.876375952582563</c:v>
                </c:pt>
                <c:pt idx="13">
                  <c:v>76.273653566229981</c:v>
                </c:pt>
                <c:pt idx="14">
                  <c:v>53.881278538812786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7-45D8-A100-45A32B9AA7B3}"/>
            </c:ext>
          </c:extLst>
        </c:ser>
        <c:ser>
          <c:idx val="0"/>
          <c:order val="2"/>
          <c:tx>
            <c:strRef>
              <c:f>work!$B$159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work!$A$160:$A$174</c:f>
              <c:strCache>
                <c:ptCount val="15"/>
                <c:pt idx="0">
                  <c:v>Lasten päivähoito</c:v>
                </c:pt>
                <c:pt idx="1">
                  <c:v>Esiopetus</c:v>
                </c:pt>
                <c:pt idx="2">
                  <c:v>Perusopetus, luokat 1-6</c:v>
                </c:pt>
                <c:pt idx="3">
                  <c:v>Perusopetus, luokat 7-9</c:v>
                </c:pt>
                <c:pt idx="4">
                  <c:v>Lukiokoulutus</c:v>
                </c:pt>
                <c:pt idx="5">
                  <c:v>Ammatillinen koulutus</c:v>
                </c:pt>
                <c:pt idx="6">
                  <c:v>Erityisopetus</c:v>
                </c:pt>
                <c:pt idx="7">
                  <c:v>Oppilas-/opiskelijahuolto</c:v>
                </c:pt>
                <c:pt idx="8">
                  <c:v>Aamu- tai iltapäivätoiminta</c:v>
                </c:pt>
                <c:pt idx="9">
                  <c:v>Oppilaiden koulukuljetus</c:v>
                </c:pt>
                <c:pt idx="10">
                  <c:v>Kansalais- ja työväenopisto</c:v>
                </c:pt>
                <c:pt idx="11">
                  <c:v>Kirjastopalvelut</c:v>
                </c:pt>
                <c:pt idx="12">
                  <c:v>Kulttuuripalvelut</c:v>
                </c:pt>
                <c:pt idx="13">
                  <c:v>Liikuntapalvelut</c:v>
                </c:pt>
                <c:pt idx="14">
                  <c:v>Nuorisopalvelut</c:v>
                </c:pt>
              </c:strCache>
            </c:strRef>
          </c:cat>
          <c:val>
            <c:numRef>
              <c:f>work!$B$160:$B$174</c:f>
              <c:numCache>
                <c:formatCode>0.0</c:formatCode>
                <c:ptCount val="15"/>
                <c:pt idx="0">
                  <c:v>72.144039735099341</c:v>
                </c:pt>
                <c:pt idx="1">
                  <c:v>82.081174438687398</c:v>
                </c:pt>
                <c:pt idx="2">
                  <c:v>85.016540182914966</c:v>
                </c:pt>
                <c:pt idx="3">
                  <c:v>82.837055417700583</c:v>
                </c:pt>
                <c:pt idx="4">
                  <c:v>76.70891335965095</c:v>
                </c:pt>
                <c:pt idx="5">
                  <c:v>63.35078534031414</c:v>
                </c:pt>
                <c:pt idx="6">
                  <c:v>54.938271604938272</c:v>
                </c:pt>
                <c:pt idx="7">
                  <c:v>55.371900826446279</c:v>
                </c:pt>
                <c:pt idx="8">
                  <c:v>59.565891472868216</c:v>
                </c:pt>
                <c:pt idx="9">
                  <c:v>61.903367496339676</c:v>
                </c:pt>
                <c:pt idx="10">
                  <c:v>75.329438934927325</c:v>
                </c:pt>
                <c:pt idx="11">
                  <c:v>90.159494432741496</c:v>
                </c:pt>
                <c:pt idx="12">
                  <c:v>72.68195413758724</c:v>
                </c:pt>
                <c:pt idx="13">
                  <c:v>76.313953488372093</c:v>
                </c:pt>
                <c:pt idx="14">
                  <c:v>53.391167192429023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7-45D8-A100-45A32B9AA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1"/>
        <c:axId val="213494095"/>
        <c:axId val="213488687"/>
      </c:barChart>
      <c:catAx>
        <c:axId val="2134940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3488687"/>
        <c:crosses val="autoZero"/>
        <c:auto val="1"/>
        <c:lblAlgn val="ctr"/>
        <c:lblOffset val="100"/>
        <c:noMultiLvlLbl val="0"/>
      </c:catAx>
      <c:valAx>
        <c:axId val="21348868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34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work!$F$83</c:f>
          <c:strCache>
            <c:ptCount val="1"/>
            <c:pt idx="0">
              <c:v>Tekniset palvelut: Mitä kuntasi järjestämiä palveluja tai toimia olet käyttänyt? Oletko Sinä tai perheenjäsenesi käyttänyt alla mainittuja palveluja viimeisen 12 kuukauden aikana?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0" i="0" u="none" strike="noStrike" kern="1200" spc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4807390041921393"/>
          <c:y val="0.14423072904355611"/>
          <c:w val="0.71242385217033477"/>
          <c:h val="0.799263182629379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work!$D$83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work!$A$84:$A$89</c:f>
              <c:strCache>
                <c:ptCount val="6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</c:strCache>
            </c:strRef>
          </c:cat>
          <c:val>
            <c:numRef>
              <c:f>work!$D$84:$D$89</c:f>
              <c:numCache>
                <c:formatCode>0.0</c:formatCode>
                <c:ptCount val="6"/>
                <c:pt idx="0">
                  <c:v>3.6363636363636362</c:v>
                </c:pt>
                <c:pt idx="1">
                  <c:v>1.834862385321101</c:v>
                </c:pt>
                <c:pt idx="2">
                  <c:v>28.181818181818183</c:v>
                </c:pt>
                <c:pt idx="3">
                  <c:v>21.621621621621621</c:v>
                </c:pt>
                <c:pt idx="4">
                  <c:v>93.103448275862064</c:v>
                </c:pt>
                <c:pt idx="5">
                  <c:v>90.517241379310349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E-4A3A-9709-B0BA02F6AFB5}"/>
            </c:ext>
          </c:extLst>
        </c:ser>
        <c:ser>
          <c:idx val="1"/>
          <c:order val="1"/>
          <c:tx>
            <c:strRef>
              <c:f>work!$C$83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work!$A$84:$A$89</c:f>
              <c:strCache>
                <c:ptCount val="6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</c:strCache>
            </c:strRef>
          </c:cat>
          <c:val>
            <c:numRef>
              <c:f>work!$C$84:$C$89</c:f>
              <c:numCache>
                <c:formatCode>0.0</c:formatCode>
                <c:ptCount val="6"/>
                <c:pt idx="0">
                  <c:v>4.9516220830961863</c:v>
                </c:pt>
                <c:pt idx="1">
                  <c:v>4.0455840455840457</c:v>
                </c:pt>
                <c:pt idx="2">
                  <c:v>36.164229471316084</c:v>
                </c:pt>
                <c:pt idx="3">
                  <c:v>15.503432494279176</c:v>
                </c:pt>
                <c:pt idx="4">
                  <c:v>84.784946236559136</c:v>
                </c:pt>
                <c:pt idx="5">
                  <c:v>89.416257501363887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E-4A3A-9709-B0BA02F6AFB5}"/>
            </c:ext>
          </c:extLst>
        </c:ser>
        <c:ser>
          <c:idx val="2"/>
          <c:order val="2"/>
          <c:tx>
            <c:strRef>
              <c:f>work!$B$83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work!$A$84:$A$89</c:f>
              <c:strCache>
                <c:ptCount val="6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</c:strCache>
            </c:strRef>
          </c:cat>
          <c:val>
            <c:numRef>
              <c:f>work!$B$84:$B$89</c:f>
              <c:numCache>
                <c:formatCode>0.0</c:formatCode>
                <c:ptCount val="6"/>
                <c:pt idx="0">
                  <c:v>6.1791488570897606</c:v>
                </c:pt>
                <c:pt idx="1">
                  <c:v>2.9853531112976959</c:v>
                </c:pt>
                <c:pt idx="2">
                  <c:v>49.93607305936073</c:v>
                </c:pt>
                <c:pt idx="3">
                  <c:v>14.252401828187669</c:v>
                </c:pt>
                <c:pt idx="4">
                  <c:v>83.599857853589199</c:v>
                </c:pt>
                <c:pt idx="5">
                  <c:v>88.61315176491668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E-4A3A-9709-B0BA02F6A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8349007"/>
        <c:axId val="1048342767"/>
      </c:barChart>
      <c:catAx>
        <c:axId val="10483490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8342767"/>
        <c:crosses val="autoZero"/>
        <c:auto val="1"/>
        <c:lblAlgn val="ctr"/>
        <c:lblOffset val="100"/>
        <c:noMultiLvlLbl val="0"/>
      </c:catAx>
      <c:valAx>
        <c:axId val="1048342767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83490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>
      <c:oddHeader>&amp;C&amp;12Päättäjäkysely 2017
</c:oddHeader>
    </c:headerFooter>
    <c:pageMargins b="0.75" l="0.7" r="0.7" t="0.75" header="0.3" footer="0.3"/>
    <c:pageSetup orientation="portrait"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work!$F$127</c:f>
          <c:strCache>
            <c:ptCount val="1"/>
            <c:pt idx="0">
              <c:v>Tekniset palvelut: Miten kuntasi järjestämiä palveluja on mielestäsi hoidettu? Arvioi palvelujen/toimien hoitamista asteikolla 1 (erittäin huonosti) – 5 (erittäin hyvin).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5633230841484983"/>
          <c:y val="0.14472087686152674"/>
          <c:w val="0.70717188543417164"/>
          <c:h val="0.8052246763687970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work!$D$127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work!$A$128:$A$137</c:f>
              <c:strCache>
                <c:ptCount val="10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  <c:pt idx="6">
                  <c:v>Teiden ja katujen hoito</c:v>
                </c:pt>
                <c:pt idx="7">
                  <c:v>Kunnallistekniikka</c:v>
                </c:pt>
                <c:pt idx="8">
                  <c:v>Kaavoitus</c:v>
                </c:pt>
                <c:pt idx="9">
                  <c:v>Ympäristön siisteys</c:v>
                </c:pt>
              </c:strCache>
            </c:strRef>
          </c:cat>
          <c:val>
            <c:numRef>
              <c:f>work!$D$128:$D$137</c:f>
              <c:numCache>
                <c:formatCode>0.0</c:formatCode>
                <c:ptCount val="10"/>
                <c:pt idx="0">
                  <c:v>31.03448275862069</c:v>
                </c:pt>
                <c:pt idx="1">
                  <c:v>45.161290322580648</c:v>
                </c:pt>
                <c:pt idx="2">
                  <c:v>29.310344827586206</c:v>
                </c:pt>
                <c:pt idx="3">
                  <c:v>67.5</c:v>
                </c:pt>
                <c:pt idx="4">
                  <c:v>91.34615384615384</c:v>
                </c:pt>
                <c:pt idx="5">
                  <c:v>92.307692307692307</c:v>
                </c:pt>
                <c:pt idx="6">
                  <c:v>36.697247706422019</c:v>
                </c:pt>
                <c:pt idx="7">
                  <c:v>58.888888888888886</c:v>
                </c:pt>
                <c:pt idx="8">
                  <c:v>36.53846153846154</c:v>
                </c:pt>
                <c:pt idx="9">
                  <c:v>51.485148514851488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E-4C97-A551-8D2D275DE508}"/>
            </c:ext>
          </c:extLst>
        </c:ser>
        <c:ser>
          <c:idx val="1"/>
          <c:order val="1"/>
          <c:tx>
            <c:strRef>
              <c:f>work!$C$127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work!$A$128:$A$137</c:f>
              <c:strCache>
                <c:ptCount val="10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  <c:pt idx="6">
                  <c:v>Teiden ja katujen hoito</c:v>
                </c:pt>
                <c:pt idx="7">
                  <c:v>Kunnallistekniikka</c:v>
                </c:pt>
                <c:pt idx="8">
                  <c:v>Kaavoitus</c:v>
                </c:pt>
                <c:pt idx="9">
                  <c:v>Ympäristön siisteys</c:v>
                </c:pt>
              </c:strCache>
            </c:strRef>
          </c:cat>
          <c:val>
            <c:numRef>
              <c:f>work!$C$128:$C$137</c:f>
              <c:numCache>
                <c:formatCode>0.0</c:formatCode>
                <c:ptCount val="10"/>
                <c:pt idx="0">
                  <c:v>35.945945945945944</c:v>
                </c:pt>
                <c:pt idx="1">
                  <c:v>52.44215938303342</c:v>
                </c:pt>
                <c:pt idx="2">
                  <c:v>45.561497326203209</c:v>
                </c:pt>
                <c:pt idx="3">
                  <c:v>49.402390438247011</c:v>
                </c:pt>
                <c:pt idx="4">
                  <c:v>83.575489576753</c:v>
                </c:pt>
                <c:pt idx="5">
                  <c:v>80.012077294685994</c:v>
                </c:pt>
                <c:pt idx="6">
                  <c:v>32.661290322580648</c:v>
                </c:pt>
                <c:pt idx="7">
                  <c:v>68.23379923761118</c:v>
                </c:pt>
                <c:pt idx="8">
                  <c:v>40.692640692640694</c:v>
                </c:pt>
                <c:pt idx="9">
                  <c:v>53.361599030890368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5E-4C97-A551-8D2D275DE508}"/>
            </c:ext>
          </c:extLst>
        </c:ser>
        <c:ser>
          <c:idx val="0"/>
          <c:order val="2"/>
          <c:tx>
            <c:strRef>
              <c:f>work!$B$127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work!$A$128:$A$137</c:f>
              <c:strCache>
                <c:ptCount val="10"/>
                <c:pt idx="0">
                  <c:v>Kunnallinen asuntotarjonta</c:v>
                </c:pt>
                <c:pt idx="1">
                  <c:v>Kunnallinen tonttitarjonta</c:v>
                </c:pt>
                <c:pt idx="2">
                  <c:v>Joukkoliikennepalvelut</c:v>
                </c:pt>
                <c:pt idx="3">
                  <c:v>Rakennusvalvonta</c:v>
                </c:pt>
                <c:pt idx="4">
                  <c:v>Jätehuolto</c:v>
                </c:pt>
                <c:pt idx="5">
                  <c:v>Kierrätystoiminta</c:v>
                </c:pt>
                <c:pt idx="6">
                  <c:v>Teiden ja katujen hoito</c:v>
                </c:pt>
                <c:pt idx="7">
                  <c:v>Kunnallistekniikka</c:v>
                </c:pt>
                <c:pt idx="8">
                  <c:v>Kaavoitus</c:v>
                </c:pt>
                <c:pt idx="9">
                  <c:v>Ympäristön siisteys</c:v>
                </c:pt>
              </c:strCache>
            </c:strRef>
          </c:cat>
          <c:val>
            <c:numRef>
              <c:f>work!$B$128:$B$137</c:f>
              <c:numCache>
                <c:formatCode>0.0</c:formatCode>
                <c:ptCount val="10"/>
                <c:pt idx="0">
                  <c:v>38.5</c:v>
                </c:pt>
                <c:pt idx="1">
                  <c:v>46.2</c:v>
                </c:pt>
                <c:pt idx="2">
                  <c:v>50.9</c:v>
                </c:pt>
                <c:pt idx="3">
                  <c:v>51</c:v>
                </c:pt>
                <c:pt idx="4">
                  <c:v>82.2</c:v>
                </c:pt>
                <c:pt idx="5">
                  <c:v>78</c:v>
                </c:pt>
                <c:pt idx="6">
                  <c:v>35.200000000000003</c:v>
                </c:pt>
                <c:pt idx="7">
                  <c:v>71.400000000000006</c:v>
                </c:pt>
                <c:pt idx="8">
                  <c:v>40.799999999999997</c:v>
                </c:pt>
                <c:pt idx="9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5E-4C97-A551-8D2D275D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"/>
        <c:axId val="1035508319"/>
        <c:axId val="1035502911"/>
      </c:barChart>
      <c:catAx>
        <c:axId val="1035508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35502911"/>
        <c:crosses val="autoZero"/>
        <c:auto val="1"/>
        <c:lblAlgn val="ctr"/>
        <c:lblOffset val="100"/>
        <c:noMultiLvlLbl val="0"/>
      </c:catAx>
      <c:valAx>
        <c:axId val="103550291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3550831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work!$A$8</c:f>
          <c:strCache>
            <c:ptCount val="1"/>
            <c:pt idx="0">
              <c:v>K13: Kuvittele tilanne, jossa kunnat kilpailevat keskenään siitä, missä kunnassa tai kaupungissa on "hyvä asua ja elää".  Miten arvioisit nykyisen kotikuntasi sijoittuvan kilpailussa? </c:v>
            </c:pt>
          </c:strCache>
        </c:strRef>
      </c:tx>
      <c:layout>
        <c:manualLayout>
          <c:xMode val="edge"/>
          <c:yMode val="edge"/>
          <c:x val="0.10652537341080967"/>
          <c:y val="2.9477206083097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3926418492052254"/>
          <c:y val="0.31444809589144035"/>
          <c:w val="0.72394387744760136"/>
          <c:h val="0.51493864766353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work!$A$10</c:f>
              <c:strCache>
                <c:ptCount val="1"/>
                <c:pt idx="0">
                  <c:v>% vastanneista arvioi kotikuntansa sijoittuvan kilpailussa melko tai erittäin hyvin (4+5)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work!$B$9:$D$9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work!$B$10:$D$10</c:f>
              <c:numCache>
                <c:formatCode>0.0</c:formatCode>
                <c:ptCount val="3"/>
                <c:pt idx="0">
                  <c:v>57.953671253953331</c:v>
                </c:pt>
                <c:pt idx="1">
                  <c:v>56.971904266389181</c:v>
                </c:pt>
                <c:pt idx="2">
                  <c:v>47.457627118644069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9-493E-8331-0879FFBAB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54773007"/>
        <c:axId val="899344847"/>
      </c:barChart>
      <c:catAx>
        <c:axId val="1154773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99344847"/>
        <c:crosses val="autoZero"/>
        <c:auto val="1"/>
        <c:lblAlgn val="ctr"/>
        <c:lblOffset val="100"/>
        <c:noMultiLvlLbl val="0"/>
      </c:catAx>
      <c:valAx>
        <c:axId val="89934484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547730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work!$F$26</c:f>
          <c:strCache>
            <c:ptCount val="1"/>
            <c:pt idx="0">
              <c:v>K16: Ihminen voi samaistua ja kokea kuuluvansa erilaisiin alueellisiin kokonaisuuksiin. Missä määrin koet samaistuvasi tai koet yhteenkuuluvaisuutta seuraaviin alueellisiin kokonaisuuksiin?</c:v>
            </c:pt>
          </c:strCache>
        </c:strRef>
      </c:tx>
      <c:layout>
        <c:manualLayout>
          <c:xMode val="edge"/>
          <c:yMode val="edge"/>
          <c:x val="0.10871324414689315"/>
          <c:y val="8.65639955577447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6582183560436964"/>
          <c:y val="0.15393763516532177"/>
          <c:w val="0.79975339224275466"/>
          <c:h val="0.796473598246639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work!$D$26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work!$A$27:$A$36</c:f>
              <c:strCache>
                <c:ptCount val="10"/>
                <c:pt idx="0">
                  <c:v>Asuinalue</c:v>
                </c:pt>
                <c:pt idx="1">
                  <c:v>Kylä/kunnanosa</c:v>
                </c:pt>
                <c:pt idx="2">
                  <c:v>Kotikunta</c:v>
                </c:pt>
                <c:pt idx="3">
                  <c:v>Muu kunta</c:v>
                </c:pt>
                <c:pt idx="4">
                  <c:v>Seutu</c:v>
                </c:pt>
                <c:pt idx="5">
                  <c:v>Maakunta</c:v>
                </c:pt>
                <c:pt idx="6">
                  <c:v>Suomi</c:v>
                </c:pt>
                <c:pt idx="7">
                  <c:v>Pohjoismaat</c:v>
                </c:pt>
                <c:pt idx="8">
                  <c:v>Eurooppa</c:v>
                </c:pt>
                <c:pt idx="9">
                  <c:v>Euroopan unioni</c:v>
                </c:pt>
              </c:strCache>
            </c:strRef>
          </c:cat>
          <c:val>
            <c:numRef>
              <c:f>work!$D$27:$D$36</c:f>
              <c:numCache>
                <c:formatCode>0.0</c:formatCode>
                <c:ptCount val="10"/>
                <c:pt idx="0">
                  <c:v>55.454545454545453</c:v>
                </c:pt>
                <c:pt idx="1">
                  <c:v>54.954954954954957</c:v>
                </c:pt>
                <c:pt idx="2">
                  <c:v>57.407407407407405</c:v>
                </c:pt>
                <c:pt idx="3">
                  <c:v>36.19047619047619</c:v>
                </c:pt>
                <c:pt idx="4">
                  <c:v>41.904761904761905</c:v>
                </c:pt>
                <c:pt idx="5">
                  <c:v>39.047619047619051</c:v>
                </c:pt>
                <c:pt idx="6">
                  <c:v>90.825688073394502</c:v>
                </c:pt>
                <c:pt idx="7">
                  <c:v>57.142857142857146</c:v>
                </c:pt>
                <c:pt idx="8">
                  <c:v>50</c:v>
                </c:pt>
                <c:pt idx="9">
                  <c:v>25.96153846153846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9-4C8D-A9AE-D808A75ACF75}"/>
            </c:ext>
          </c:extLst>
        </c:ser>
        <c:ser>
          <c:idx val="1"/>
          <c:order val="1"/>
          <c:tx>
            <c:strRef>
              <c:f>work!$C$26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work!$A$27:$A$36</c:f>
              <c:strCache>
                <c:ptCount val="10"/>
                <c:pt idx="0">
                  <c:v>Asuinalue</c:v>
                </c:pt>
                <c:pt idx="1">
                  <c:v>Kylä/kunnanosa</c:v>
                </c:pt>
                <c:pt idx="2">
                  <c:v>Kotikunta</c:v>
                </c:pt>
                <c:pt idx="3">
                  <c:v>Muu kunta</c:v>
                </c:pt>
                <c:pt idx="4">
                  <c:v>Seutu</c:v>
                </c:pt>
                <c:pt idx="5">
                  <c:v>Maakunta</c:v>
                </c:pt>
                <c:pt idx="6">
                  <c:v>Suomi</c:v>
                </c:pt>
                <c:pt idx="7">
                  <c:v>Pohjoismaat</c:v>
                </c:pt>
                <c:pt idx="8">
                  <c:v>Eurooppa</c:v>
                </c:pt>
                <c:pt idx="9">
                  <c:v>Euroopan unioni</c:v>
                </c:pt>
              </c:strCache>
            </c:strRef>
          </c:cat>
          <c:val>
            <c:numRef>
              <c:f>work!$C$27:$C$36</c:f>
              <c:numCache>
                <c:formatCode>0.0</c:formatCode>
                <c:ptCount val="10"/>
                <c:pt idx="0">
                  <c:v>58.396533044420366</c:v>
                </c:pt>
                <c:pt idx="1">
                  <c:v>53.884297520661157</c:v>
                </c:pt>
                <c:pt idx="2">
                  <c:v>60.032985156679494</c:v>
                </c:pt>
                <c:pt idx="3">
                  <c:v>33.294596165020337</c:v>
                </c:pt>
                <c:pt idx="4">
                  <c:v>46.898121798520208</c:v>
                </c:pt>
                <c:pt idx="5">
                  <c:v>47.843359818388194</c:v>
                </c:pt>
                <c:pt idx="6">
                  <c:v>85.064935064935071</c:v>
                </c:pt>
                <c:pt idx="7">
                  <c:v>60.270880361173816</c:v>
                </c:pt>
                <c:pt idx="8">
                  <c:v>47.613636363636367</c:v>
                </c:pt>
                <c:pt idx="9">
                  <c:v>28.571428571428573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9-4C8D-A9AE-D808A75ACF75}"/>
            </c:ext>
          </c:extLst>
        </c:ser>
        <c:ser>
          <c:idx val="2"/>
          <c:order val="2"/>
          <c:tx>
            <c:strRef>
              <c:f>work!$B$26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work!$A$27:$A$36</c:f>
              <c:strCache>
                <c:ptCount val="10"/>
                <c:pt idx="0">
                  <c:v>Asuinalue</c:v>
                </c:pt>
                <c:pt idx="1">
                  <c:v>Kylä/kunnanosa</c:v>
                </c:pt>
                <c:pt idx="2">
                  <c:v>Kotikunta</c:v>
                </c:pt>
                <c:pt idx="3">
                  <c:v>Muu kunta</c:v>
                </c:pt>
                <c:pt idx="4">
                  <c:v>Seutu</c:v>
                </c:pt>
                <c:pt idx="5">
                  <c:v>Maakunta</c:v>
                </c:pt>
                <c:pt idx="6">
                  <c:v>Suomi</c:v>
                </c:pt>
                <c:pt idx="7">
                  <c:v>Pohjoismaat</c:v>
                </c:pt>
                <c:pt idx="8">
                  <c:v>Eurooppa</c:v>
                </c:pt>
                <c:pt idx="9">
                  <c:v>Euroopan unioni</c:v>
                </c:pt>
              </c:strCache>
            </c:strRef>
          </c:cat>
          <c:val>
            <c:numRef>
              <c:f>work!$B$27:$B$36</c:f>
              <c:numCache>
                <c:formatCode>0.0</c:formatCode>
                <c:ptCount val="10"/>
                <c:pt idx="0">
                  <c:v>55.849830568931694</c:v>
                </c:pt>
                <c:pt idx="1">
                  <c:v>52.968905810896565</c:v>
                </c:pt>
                <c:pt idx="2">
                  <c:v>59.894984609813505</c:v>
                </c:pt>
                <c:pt idx="3">
                  <c:v>35.968830181507172</c:v>
                </c:pt>
                <c:pt idx="4">
                  <c:v>44.392435873431943</c:v>
                </c:pt>
                <c:pt idx="5">
                  <c:v>43.878312803284807</c:v>
                </c:pt>
                <c:pt idx="6">
                  <c:v>85.386333184457342</c:v>
                </c:pt>
                <c:pt idx="7">
                  <c:v>59.464235885033951</c:v>
                </c:pt>
                <c:pt idx="8">
                  <c:v>50.662189889945907</c:v>
                </c:pt>
                <c:pt idx="9">
                  <c:v>30.480089318943058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9-4C8D-A9AE-D808A75AC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2"/>
        <c:axId val="1048358159"/>
        <c:axId val="1048355247"/>
      </c:barChart>
      <c:catAx>
        <c:axId val="10483581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8355247"/>
        <c:crosses val="autoZero"/>
        <c:auto val="1"/>
        <c:lblAlgn val="ctr"/>
        <c:lblOffset val="100"/>
        <c:noMultiLvlLbl val="0"/>
      </c:catAx>
      <c:valAx>
        <c:axId val="1048355247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835815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work!$F$38</c:f>
          <c:strCache>
            <c:ptCount val="1"/>
            <c:pt idx="0">
              <c:v>K22: Onko sinulla/perheelläsi käytössä internet-yhteys?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1519851136453119"/>
          <c:y val="0.28070164106344253"/>
          <c:w val="0.74037604084914288"/>
          <c:h val="0.49585763518160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work!$A$39</c:f>
              <c:strCache>
                <c:ptCount val="1"/>
                <c:pt idx="0">
                  <c:v>% vastanneista on käytössä</c:v>
                </c:pt>
              </c:strCache>
            </c:strRef>
          </c:tx>
          <c:spPr>
            <a:solidFill>
              <a:srgbClr val="002E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work!$B$38:$D$38</c:f>
              <c:strCache>
                <c:ptCount val="3"/>
                <c:pt idx="0">
                  <c:v>Kaikki ARTTU2-kunnat</c:v>
                </c:pt>
                <c:pt idx="1">
                  <c:v>5000-10000 as. kunnat</c:v>
                </c:pt>
                <c:pt idx="2">
                  <c:v>Askola</c:v>
                </c:pt>
              </c:strCache>
            </c:strRef>
          </c:cat>
          <c:val>
            <c:numRef>
              <c:f>work!$B$39:$D$39</c:f>
              <c:numCache>
                <c:formatCode>0.0</c:formatCode>
                <c:ptCount val="3"/>
                <c:pt idx="0">
                  <c:v>90.835048010973935</c:v>
                </c:pt>
                <c:pt idx="1">
                  <c:v>90.809399477806792</c:v>
                </c:pt>
                <c:pt idx="2">
                  <c:v>92.436974789915965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6-42A7-8017-B225DA3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8341519"/>
        <c:axId val="1048354415"/>
      </c:barChart>
      <c:catAx>
        <c:axId val="1048341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8354415"/>
        <c:crosses val="autoZero"/>
        <c:auto val="1"/>
        <c:lblAlgn val="ctr"/>
        <c:lblOffset val="100"/>
        <c:noMultiLvlLbl val="0"/>
      </c:catAx>
      <c:valAx>
        <c:axId val="104835441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4834151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work!$F$47</c:f>
          <c:strCache>
            <c:ptCount val="1"/>
            <c:pt idx="0">
              <c:v>Terveyspalvelut: Mitä kuntasi järjestämiä palveluja tai toimia olet käyttänyt? Oletko Sinä tai perheenjäsenesi käyttänyt alla mainittuja palveluja viimeisen 12 kuukauden aikana?</c:v>
            </c:pt>
          </c:strCache>
        </c:strRef>
      </c:tx>
      <c:layout>
        <c:manualLayout>
          <c:xMode val="edge"/>
          <c:yMode val="edge"/>
          <c:x val="0.122098941730184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6271089855488986"/>
          <c:y val="0.13473345281987512"/>
          <c:w val="0.59281441741660412"/>
          <c:h val="0.816098778928845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work!$D$47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work!$A$48:$A$56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work!$D$48:$D$56</c:f>
              <c:numCache>
                <c:formatCode>0.0</c:formatCode>
                <c:ptCount val="9"/>
                <c:pt idx="0">
                  <c:v>68.644067796610173</c:v>
                </c:pt>
                <c:pt idx="1">
                  <c:v>63.478260869565219</c:v>
                </c:pt>
                <c:pt idx="2">
                  <c:v>65.517241379310349</c:v>
                </c:pt>
                <c:pt idx="3">
                  <c:v>14.545454545454545</c:v>
                </c:pt>
                <c:pt idx="4">
                  <c:v>15.315315315315315</c:v>
                </c:pt>
                <c:pt idx="5">
                  <c:v>33.333333333333336</c:v>
                </c:pt>
                <c:pt idx="6">
                  <c:v>7.0796460176991154</c:v>
                </c:pt>
                <c:pt idx="7">
                  <c:v>1.7857142857142858</c:v>
                </c:pt>
                <c:pt idx="8">
                  <c:v>3.6036036036036037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5-4718-BFC8-164608C33347}"/>
            </c:ext>
          </c:extLst>
        </c:ser>
        <c:ser>
          <c:idx val="1"/>
          <c:order val="1"/>
          <c:tx>
            <c:strRef>
              <c:f>work!$C$47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work!$A$48:$A$56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work!$C$48:$C$56</c:f>
              <c:numCache>
                <c:formatCode>0.0</c:formatCode>
                <c:ptCount val="9"/>
                <c:pt idx="0">
                  <c:v>73.518615626638706</c:v>
                </c:pt>
                <c:pt idx="1">
                  <c:v>67.686527106816968</c:v>
                </c:pt>
                <c:pt idx="2">
                  <c:v>56.639566395663955</c:v>
                </c:pt>
                <c:pt idx="3">
                  <c:v>11.818703384968446</c:v>
                </c:pt>
                <c:pt idx="4">
                  <c:v>17.613310384394723</c:v>
                </c:pt>
                <c:pt idx="5">
                  <c:v>29.82652490207051</c:v>
                </c:pt>
                <c:pt idx="6">
                  <c:v>4.9403747870528107</c:v>
                </c:pt>
                <c:pt idx="7">
                  <c:v>5.0282485875706211</c:v>
                </c:pt>
                <c:pt idx="8">
                  <c:v>6.1363636363636367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5-4718-BFC8-164608C33347}"/>
            </c:ext>
          </c:extLst>
        </c:ser>
        <c:ser>
          <c:idx val="2"/>
          <c:order val="2"/>
          <c:tx>
            <c:strRef>
              <c:f>work!$B$47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work!$A$48:$A$56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work!$B$48:$B$56</c:f>
              <c:numCache>
                <c:formatCode>0.0</c:formatCode>
                <c:ptCount val="9"/>
                <c:pt idx="0">
                  <c:v>72.221743995868124</c:v>
                </c:pt>
                <c:pt idx="1">
                  <c:v>67.182936543056911</c:v>
                </c:pt>
                <c:pt idx="2">
                  <c:v>54.098507195852328</c:v>
                </c:pt>
                <c:pt idx="3">
                  <c:v>11.772449459332393</c:v>
                </c:pt>
                <c:pt idx="4">
                  <c:v>16.561588406888117</c:v>
                </c:pt>
                <c:pt idx="5">
                  <c:v>31.435121503897296</c:v>
                </c:pt>
                <c:pt idx="6">
                  <c:v>4.7623485554520038</c:v>
                </c:pt>
                <c:pt idx="7">
                  <c:v>5.1608703738143946</c:v>
                </c:pt>
                <c:pt idx="8">
                  <c:v>5.9169938306225465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5-4718-BFC8-164608C3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07856175"/>
        <c:axId val="507854095"/>
      </c:barChart>
      <c:catAx>
        <c:axId val="5078561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7854095"/>
        <c:crosses val="autoZero"/>
        <c:auto val="1"/>
        <c:lblAlgn val="ctr"/>
        <c:lblOffset val="100"/>
        <c:noMultiLvlLbl val="0"/>
      </c:catAx>
      <c:valAx>
        <c:axId val="50785409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785617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work!$F$57</c:f>
          <c:strCache>
            <c:ptCount val="1"/>
            <c:pt idx="0">
              <c:v>Sosiaalipalvelut: Mitä kuntasi järjestämiä palveluja tai toimia olet käyttänyt? Oletko Sinä tai perheenjäsenesi käyttänyt alla mainittuja palveluja viimeisen 12 kuukauden aikana?</c:v>
            </c:pt>
          </c:strCache>
        </c:strRef>
      </c:tx>
      <c:layout>
        <c:manualLayout>
          <c:xMode val="edge"/>
          <c:yMode val="edge"/>
          <c:x val="0.11577197992103044"/>
          <c:y val="8.21964124049013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07615999242115"/>
          <c:y val="0.19664386416448651"/>
          <c:w val="0.70332750477722095"/>
          <c:h val="0.72890002644777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work!$D$57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work!$A$58:$A$66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work!$D$58:$D$66</c:f>
              <c:numCache>
                <c:formatCode>0.0</c:formatCode>
                <c:ptCount val="9"/>
                <c:pt idx="0">
                  <c:v>1.8018018018018018</c:v>
                </c:pt>
                <c:pt idx="1">
                  <c:v>5.3097345132743365</c:v>
                </c:pt>
                <c:pt idx="2">
                  <c:v>6.9565217391304346</c:v>
                </c:pt>
                <c:pt idx="3">
                  <c:v>0.8928571428571429</c:v>
                </c:pt>
                <c:pt idx="4">
                  <c:v>8.0357142857142865</c:v>
                </c:pt>
                <c:pt idx="5">
                  <c:v>2.6785714285714284</c:v>
                </c:pt>
                <c:pt idx="6">
                  <c:v>1.7857142857142858</c:v>
                </c:pt>
                <c:pt idx="7">
                  <c:v>0</c:v>
                </c:pt>
                <c:pt idx="8">
                  <c:v>2.7272727272727271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E-40DB-BCD9-68118BFEFFD5}"/>
            </c:ext>
          </c:extLst>
        </c:ser>
        <c:ser>
          <c:idx val="1"/>
          <c:order val="1"/>
          <c:tx>
            <c:strRef>
              <c:f>work!$C$57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work!$A$58:$A$66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work!$C$58:$C$66</c:f>
              <c:numCache>
                <c:formatCode>0.0</c:formatCode>
                <c:ptCount val="9"/>
                <c:pt idx="0">
                  <c:v>1.79472798653954</c:v>
                </c:pt>
                <c:pt idx="1">
                  <c:v>1.4076576576576576</c:v>
                </c:pt>
                <c:pt idx="2">
                  <c:v>3.3053221288515404</c:v>
                </c:pt>
                <c:pt idx="3">
                  <c:v>1.1312217194570136</c:v>
                </c:pt>
                <c:pt idx="4">
                  <c:v>3.8439796495195027</c:v>
                </c:pt>
                <c:pt idx="5">
                  <c:v>1.8068887634105026</c:v>
                </c:pt>
                <c:pt idx="6">
                  <c:v>3.7288135593220337</c:v>
                </c:pt>
                <c:pt idx="7">
                  <c:v>0.95882684715172029</c:v>
                </c:pt>
                <c:pt idx="8">
                  <c:v>3.6557930258717661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E-40DB-BCD9-68118BFEFFD5}"/>
            </c:ext>
          </c:extLst>
        </c:ser>
        <c:ser>
          <c:idx val="0"/>
          <c:order val="2"/>
          <c:tx>
            <c:strRef>
              <c:f>work!$B$57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work!$A$58:$A$66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work!$B$58:$B$66</c:f>
              <c:numCache>
                <c:formatCode>0.0</c:formatCode>
                <c:ptCount val="9"/>
                <c:pt idx="0">
                  <c:v>2.3583602026715798</c:v>
                </c:pt>
                <c:pt idx="1">
                  <c:v>1.8126329418292795</c:v>
                </c:pt>
                <c:pt idx="2">
                  <c:v>3.3170551921127798</c:v>
                </c:pt>
                <c:pt idx="3">
                  <c:v>0.94786729857819907</c:v>
                </c:pt>
                <c:pt idx="4">
                  <c:v>3.6992285528394833</c:v>
                </c:pt>
                <c:pt idx="5">
                  <c:v>1.7459138187221397</c:v>
                </c:pt>
                <c:pt idx="6">
                  <c:v>3.3910868155285834</c:v>
                </c:pt>
                <c:pt idx="7">
                  <c:v>0.9461088952787311</c:v>
                </c:pt>
                <c:pt idx="8">
                  <c:v>4.6002596920793914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E-40DB-BCD9-68118BFE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2136207"/>
        <c:axId val="382139951"/>
      </c:barChart>
      <c:catAx>
        <c:axId val="3821362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2139951"/>
        <c:crosses val="autoZero"/>
        <c:auto val="1"/>
        <c:lblAlgn val="ctr"/>
        <c:lblOffset val="100"/>
        <c:noMultiLvlLbl val="0"/>
      </c:catAx>
      <c:valAx>
        <c:axId val="382139951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21362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work!$F$101</c:f>
          <c:strCache>
            <c:ptCount val="1"/>
            <c:pt idx="0">
              <c:v>Sosiaalipalvelut: Miten kuntasi järjestämiä palveluja on mielestäsi hoidettu? Arvioi palvelujen/toimien hoitamista asteikolla 1 (erittäin huonosti) – 5 (erittäin hyvin).
</c:v>
            </c:pt>
          </c:strCache>
        </c:strRef>
      </c:tx>
      <c:layout>
        <c:manualLayout>
          <c:xMode val="edge"/>
          <c:yMode val="edge"/>
          <c:x val="0.11984047488920579"/>
          <c:y val="6.154664787636199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61938625590391"/>
          <c:y val="0.15204055584370207"/>
          <c:w val="0.69714713576948284"/>
          <c:h val="0.7959055249377173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work!$D$101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work!$A$102:$A$110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work!$D$102:$D$110</c:f>
              <c:numCache>
                <c:formatCode>0.0</c:formatCode>
                <c:ptCount val="9"/>
                <c:pt idx="0">
                  <c:v>38.70967741935484</c:v>
                </c:pt>
                <c:pt idx="1">
                  <c:v>41.176470588235297</c:v>
                </c:pt>
                <c:pt idx="2">
                  <c:v>43.333333333333336</c:v>
                </c:pt>
                <c:pt idx="3">
                  <c:v>29.411764705882351</c:v>
                </c:pt>
                <c:pt idx="4">
                  <c:v>56.521739130434781</c:v>
                </c:pt>
                <c:pt idx="5">
                  <c:v>23.529411764705884</c:v>
                </c:pt>
                <c:pt idx="6">
                  <c:v>45</c:v>
                </c:pt>
                <c:pt idx="7">
                  <c:v>14.285714285714286</c:v>
                </c:pt>
                <c:pt idx="8">
                  <c:v>17.647058823529413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F-4F52-BD36-C650E66D8870}"/>
            </c:ext>
          </c:extLst>
        </c:ser>
        <c:ser>
          <c:idx val="1"/>
          <c:order val="1"/>
          <c:tx>
            <c:strRef>
              <c:f>work!$C$101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work!$A$102:$A$110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work!$C$102:$C$110</c:f>
              <c:numCache>
                <c:formatCode>0.0</c:formatCode>
                <c:ptCount val="9"/>
                <c:pt idx="0">
                  <c:v>44.152046783625728</c:v>
                </c:pt>
                <c:pt idx="1">
                  <c:v>36.549707602339183</c:v>
                </c:pt>
                <c:pt idx="2">
                  <c:v>39.295392953929536</c:v>
                </c:pt>
                <c:pt idx="3">
                  <c:v>31.696428571428573</c:v>
                </c:pt>
                <c:pt idx="4">
                  <c:v>59.107806691449817</c:v>
                </c:pt>
                <c:pt idx="5">
                  <c:v>38.157894736842103</c:v>
                </c:pt>
                <c:pt idx="6">
                  <c:v>46.520146520146518</c:v>
                </c:pt>
                <c:pt idx="7">
                  <c:v>38.190954773869343</c:v>
                </c:pt>
                <c:pt idx="8">
                  <c:v>34.765625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F-4F52-BD36-C650E66D8870}"/>
            </c:ext>
          </c:extLst>
        </c:ser>
        <c:ser>
          <c:idx val="0"/>
          <c:order val="2"/>
          <c:tx>
            <c:strRef>
              <c:f>work!$B$101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work!$A$102:$A$110</c:f>
              <c:strCache>
                <c:ptCount val="9"/>
                <c:pt idx="0">
                  <c:v>Vanhusten palveluasuminen</c:v>
                </c:pt>
                <c:pt idx="1">
                  <c:v>Vanhusten laitoshoito</c:v>
                </c:pt>
                <c:pt idx="2">
                  <c:v>Vanhusten kotipalvelu</c:v>
                </c:pt>
                <c:pt idx="3">
                  <c:v>Lapsiperheiden kotipalvelu</c:v>
                </c:pt>
                <c:pt idx="4">
                  <c:v>Perheneuvola</c:v>
                </c:pt>
                <c:pt idx="5">
                  <c:v>Lastensuojelun palvelut</c:v>
                </c:pt>
                <c:pt idx="6">
                  <c:v>Vammaisten palvelut</c:v>
                </c:pt>
                <c:pt idx="7">
                  <c:v>Päihdepalvelut</c:v>
                </c:pt>
                <c:pt idx="8">
                  <c:v>Toimeentulotuki</c:v>
                </c:pt>
              </c:strCache>
            </c:strRef>
          </c:cat>
          <c:val>
            <c:numRef>
              <c:f>work!$B$102:$B$110</c:f>
              <c:numCache>
                <c:formatCode>0.0</c:formatCode>
                <c:ptCount val="9"/>
                <c:pt idx="0">
                  <c:v>42.1</c:v>
                </c:pt>
                <c:pt idx="1">
                  <c:v>33.9</c:v>
                </c:pt>
                <c:pt idx="2">
                  <c:v>37</c:v>
                </c:pt>
                <c:pt idx="3">
                  <c:v>30</c:v>
                </c:pt>
                <c:pt idx="4">
                  <c:v>54.4</c:v>
                </c:pt>
                <c:pt idx="5">
                  <c:v>35.200000000000003</c:v>
                </c:pt>
                <c:pt idx="6">
                  <c:v>45.6</c:v>
                </c:pt>
                <c:pt idx="7">
                  <c:v>32.5</c:v>
                </c:pt>
                <c:pt idx="8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F-4F52-BD36-C650E66D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12476015"/>
        <c:axId val="512477679"/>
      </c:barChart>
      <c:catAx>
        <c:axId val="5124760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2477679"/>
        <c:crosses val="autoZero"/>
        <c:auto val="1"/>
        <c:lblAlgn val="ctr"/>
        <c:lblOffset val="100"/>
        <c:noMultiLvlLbl val="0"/>
      </c:catAx>
      <c:valAx>
        <c:axId val="51247767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247601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work!$F$91</c:f>
          <c:strCache>
            <c:ptCount val="1"/>
            <c:pt idx="0">
              <c:v>Terveyspalvelut: Miten kuntasi järjestämiä palveluja on mielestäsi hoidettu? Arvioi palvelujen/toimien hoitamista asteikolla 1 (erittäin huonosti) – 5 (erittäin hyvin).
</c:v>
            </c:pt>
          </c:strCache>
        </c:strRef>
      </c:tx>
      <c:layout>
        <c:manualLayout>
          <c:xMode val="edge"/>
          <c:yMode val="edge"/>
          <c:x val="0.12836827607819248"/>
          <c:y val="5.5775337335393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7009551704190125"/>
          <c:y val="0.13720033704274054"/>
          <c:w val="0.59300096731002627"/>
          <c:h val="0.812865270070023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work!$D$91</c:f>
              <c:strCache>
                <c:ptCount val="1"/>
                <c:pt idx="0">
                  <c:v>Askola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work!$A$92:$A$100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work!$D$92:$D$100</c:f>
              <c:numCache>
                <c:formatCode>0.0</c:formatCode>
                <c:ptCount val="9"/>
                <c:pt idx="0">
                  <c:v>46.739130434782609</c:v>
                </c:pt>
                <c:pt idx="1">
                  <c:v>71.764705882352942</c:v>
                </c:pt>
                <c:pt idx="2">
                  <c:v>83.516483516483518</c:v>
                </c:pt>
                <c:pt idx="3">
                  <c:v>63.636363636363633</c:v>
                </c:pt>
                <c:pt idx="4">
                  <c:v>58.823529411764703</c:v>
                </c:pt>
                <c:pt idx="5">
                  <c:v>64.15094339622641</c:v>
                </c:pt>
                <c:pt idx="6">
                  <c:v>42.307692307692307</c:v>
                </c:pt>
                <c:pt idx="7">
                  <c:v>27.777777777777779</c:v>
                </c:pt>
                <c:pt idx="8">
                  <c:v>31.578947368421051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D-423B-9BB1-715851FE8938}"/>
            </c:ext>
          </c:extLst>
        </c:ser>
        <c:ser>
          <c:idx val="1"/>
          <c:order val="1"/>
          <c:tx>
            <c:strRef>
              <c:f>work!$C$91</c:f>
              <c:strCache>
                <c:ptCount val="1"/>
                <c:pt idx="0">
                  <c:v>5000-10000 as. kunnat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work!$A$92:$A$100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work!$C$92:$C$100</c:f>
              <c:numCache>
                <c:formatCode>0.0</c:formatCode>
                <c:ptCount val="9"/>
                <c:pt idx="0">
                  <c:v>67.565831727681442</c:v>
                </c:pt>
                <c:pt idx="1">
                  <c:v>76.678445229681984</c:v>
                </c:pt>
                <c:pt idx="2">
                  <c:v>70.545746388443021</c:v>
                </c:pt>
                <c:pt idx="3">
                  <c:v>84.34237995824634</c:v>
                </c:pt>
                <c:pt idx="4">
                  <c:v>73.184357541899445</c:v>
                </c:pt>
                <c:pt idx="5">
                  <c:v>69.75</c:v>
                </c:pt>
                <c:pt idx="6">
                  <c:v>52.802359882005902</c:v>
                </c:pt>
                <c:pt idx="7">
                  <c:v>46.961325966850829</c:v>
                </c:pt>
                <c:pt idx="8">
                  <c:v>52.1875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D-423B-9BB1-715851FE8938}"/>
            </c:ext>
          </c:extLst>
        </c:ser>
        <c:ser>
          <c:idx val="2"/>
          <c:order val="2"/>
          <c:tx>
            <c:strRef>
              <c:f>work!$B$91</c:f>
              <c:strCache>
                <c:ptCount val="1"/>
                <c:pt idx="0">
                  <c:v>Kaikki ARTTU2-kunnat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work!$A$92:$A$100</c:f>
              <c:strCache>
                <c:ptCount val="9"/>
                <c:pt idx="0">
                  <c:v>Terveyskeskuksen lääkärivastaanotto</c:v>
                </c:pt>
                <c:pt idx="1">
                  <c:v>Sairaan-/terveydenhoitajan vastaanotto</c:v>
                </c:pt>
                <c:pt idx="2">
                  <c:v>Hammashoito</c:v>
                </c:pt>
                <c:pt idx="3">
                  <c:v>Äitiys- ja lastenneuvola</c:v>
                </c:pt>
                <c:pt idx="4">
                  <c:v>Kouluterveydenhuolto</c:v>
                </c:pt>
                <c:pt idx="5">
                  <c:v>Sairaalahoito</c:v>
                </c:pt>
                <c:pt idx="6">
                  <c:v>Kotisairaanhoito</c:v>
                </c:pt>
                <c:pt idx="7">
                  <c:v>Terveyskeskuksen vuodeosasto</c:v>
                </c:pt>
                <c:pt idx="8">
                  <c:v>Mielenterveyspalvelut</c:v>
                </c:pt>
              </c:strCache>
            </c:strRef>
          </c:cat>
          <c:val>
            <c:numRef>
              <c:f>work!$B$92:$B$100</c:f>
              <c:numCache>
                <c:formatCode>0.0</c:formatCode>
                <c:ptCount val="9"/>
                <c:pt idx="0">
                  <c:v>65.3</c:v>
                </c:pt>
                <c:pt idx="1">
                  <c:v>75</c:v>
                </c:pt>
                <c:pt idx="2">
                  <c:v>67.599999999999994</c:v>
                </c:pt>
                <c:pt idx="3">
                  <c:v>78.900000000000006</c:v>
                </c:pt>
                <c:pt idx="4">
                  <c:v>67.3</c:v>
                </c:pt>
                <c:pt idx="5">
                  <c:v>70.8</c:v>
                </c:pt>
                <c:pt idx="6">
                  <c:v>48.7</c:v>
                </c:pt>
                <c:pt idx="7">
                  <c:v>47</c:v>
                </c:pt>
                <c:pt idx="8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D-423B-9BB1-715851FE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32119263"/>
        <c:axId val="732127583"/>
      </c:barChart>
      <c:catAx>
        <c:axId val="7321192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32127583"/>
        <c:crosses val="autoZero"/>
        <c:auto val="1"/>
        <c:lblAlgn val="ctr"/>
        <c:lblOffset val="100"/>
        <c:noMultiLvlLbl val="0"/>
      </c:catAx>
      <c:valAx>
        <c:axId val="7321275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321192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9" Type="http://schemas.openxmlformats.org/officeDocument/2006/relationships/chart" Target="../charts/chart38.xml"/><Relationship Id="rId21" Type="http://schemas.openxmlformats.org/officeDocument/2006/relationships/chart" Target="../charts/chart20.xml"/><Relationship Id="rId34" Type="http://schemas.openxmlformats.org/officeDocument/2006/relationships/chart" Target="../charts/chart3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38" Type="http://schemas.openxmlformats.org/officeDocument/2006/relationships/chart" Target="../charts/chart37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40" Type="http://schemas.openxmlformats.org/officeDocument/2006/relationships/chart" Target="../charts/chart39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8" Type="http://schemas.openxmlformats.org/officeDocument/2006/relationships/chart" Target="../charts/chart7.xml"/><Relationship Id="rId3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769798</xdr:colOff>
      <xdr:row>4</xdr:row>
      <xdr:rowOff>107950</xdr:rowOff>
    </xdr:from>
    <xdr:ext cx="2156379" cy="158750"/>
    <xdr:sp macro="" textlink="">
      <xdr:nvSpPr>
        <xdr:cNvPr id="2" name="Tekstiruutu 1"/>
        <xdr:cNvSpPr txBox="1"/>
      </xdr:nvSpPr>
      <xdr:spPr>
        <a:xfrm>
          <a:off x="4687748" y="812800"/>
          <a:ext cx="2156379" cy="158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900"/>
        </a:p>
      </xdr:txBody>
    </xdr:sp>
    <xdr:clientData/>
  </xdr:oneCellAnchor>
  <xdr:oneCellAnchor>
    <xdr:from>
      <xdr:col>0</xdr:col>
      <xdr:colOff>19050</xdr:colOff>
      <xdr:row>92</xdr:row>
      <xdr:rowOff>95250</xdr:rowOff>
    </xdr:from>
    <xdr:ext cx="184731" cy="201465"/>
    <xdr:sp macro="" textlink="">
      <xdr:nvSpPr>
        <xdr:cNvPr id="88" name="Tekstiruutu 87"/>
        <xdr:cNvSpPr txBox="1"/>
      </xdr:nvSpPr>
      <xdr:spPr>
        <a:xfrm>
          <a:off x="19050" y="16821150"/>
          <a:ext cx="184731" cy="201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700"/>
        </a:p>
      </xdr:txBody>
    </xdr:sp>
    <xdr:clientData/>
  </xdr:oneCellAnchor>
  <xdr:twoCellAnchor editAs="oneCell">
    <xdr:from>
      <xdr:col>1</xdr:col>
      <xdr:colOff>28575</xdr:colOff>
      <xdr:row>0</xdr:row>
      <xdr:rowOff>28575</xdr:rowOff>
    </xdr:from>
    <xdr:to>
      <xdr:col>3</xdr:col>
      <xdr:colOff>724215</xdr:colOff>
      <xdr:row>4</xdr:row>
      <xdr:rowOff>19150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2257740" cy="714475"/>
        </a:xfrm>
        <a:prstGeom prst="rect">
          <a:avLst/>
        </a:prstGeom>
      </xdr:spPr>
    </xdr:pic>
    <xdr:clientData/>
  </xdr:twoCellAnchor>
  <xdr:twoCellAnchor>
    <xdr:from>
      <xdr:col>2</xdr:col>
      <xdr:colOff>449581</xdr:colOff>
      <xdr:row>367</xdr:row>
      <xdr:rowOff>135256</xdr:rowOff>
    </xdr:from>
    <xdr:to>
      <xdr:col>2</xdr:col>
      <xdr:colOff>495300</xdr:colOff>
      <xdr:row>368</xdr:row>
      <xdr:rowOff>0</xdr:rowOff>
    </xdr:to>
    <xdr:sp macro="" textlink="">
      <xdr:nvSpPr>
        <xdr:cNvPr id="11" name="Tekstiruutu 10"/>
        <xdr:cNvSpPr txBox="1"/>
      </xdr:nvSpPr>
      <xdr:spPr>
        <a:xfrm>
          <a:off x="1278256" y="4781740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1</xdr:col>
      <xdr:colOff>52203</xdr:colOff>
      <xdr:row>64</xdr:row>
      <xdr:rowOff>149057</xdr:rowOff>
    </xdr:from>
    <xdr:to>
      <xdr:col>9</xdr:col>
      <xdr:colOff>4123</xdr:colOff>
      <xdr:row>82</xdr:row>
      <xdr:rowOff>40988</xdr:rowOff>
    </xdr:to>
    <xdr:graphicFrame macro="">
      <xdr:nvGraphicFramePr>
        <xdr:cNvPr id="40" name="Kaavio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63735</xdr:colOff>
      <xdr:row>102</xdr:row>
      <xdr:rowOff>133515</xdr:rowOff>
    </xdr:from>
    <xdr:to>
      <xdr:col>8</xdr:col>
      <xdr:colOff>1446892</xdr:colOff>
      <xdr:row>153</xdr:row>
      <xdr:rowOff>59532</xdr:rowOff>
    </xdr:to>
    <xdr:graphicFrame macro="">
      <xdr:nvGraphicFramePr>
        <xdr:cNvPr id="41" name="Kaavio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31116</xdr:colOff>
      <xdr:row>155</xdr:row>
      <xdr:rowOff>7863</xdr:rowOff>
    </xdr:from>
    <xdr:to>
      <xdr:col>8</xdr:col>
      <xdr:colOff>1447800</xdr:colOff>
      <xdr:row>173</xdr:row>
      <xdr:rowOff>167444</xdr:rowOff>
    </xdr:to>
    <xdr:graphicFrame macro="">
      <xdr:nvGraphicFramePr>
        <xdr:cNvPr id="43" name="Kaavi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24717</xdr:colOff>
      <xdr:row>206</xdr:row>
      <xdr:rowOff>55515</xdr:rowOff>
    </xdr:from>
    <xdr:to>
      <xdr:col>8</xdr:col>
      <xdr:colOff>1441646</xdr:colOff>
      <xdr:row>257</xdr:row>
      <xdr:rowOff>114301</xdr:rowOff>
    </xdr:to>
    <xdr:graphicFrame macro="">
      <xdr:nvGraphicFramePr>
        <xdr:cNvPr id="44" name="Kaavio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9236</xdr:colOff>
      <xdr:row>258</xdr:row>
      <xdr:rowOff>129697</xdr:rowOff>
    </xdr:from>
    <xdr:to>
      <xdr:col>8</xdr:col>
      <xdr:colOff>1455448</xdr:colOff>
      <xdr:row>273</xdr:row>
      <xdr:rowOff>94526</xdr:rowOff>
    </xdr:to>
    <xdr:graphicFrame macro="">
      <xdr:nvGraphicFramePr>
        <xdr:cNvPr id="46" name="Kaavi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43221</xdr:colOff>
      <xdr:row>311</xdr:row>
      <xdr:rowOff>15586</xdr:rowOff>
    </xdr:from>
    <xdr:to>
      <xdr:col>8</xdr:col>
      <xdr:colOff>1470383</xdr:colOff>
      <xdr:row>361</xdr:row>
      <xdr:rowOff>45431</xdr:rowOff>
    </xdr:to>
    <xdr:graphicFrame macro="">
      <xdr:nvGraphicFramePr>
        <xdr:cNvPr id="47" name="Kaavi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57150</xdr:colOff>
      <xdr:row>467</xdr:row>
      <xdr:rowOff>39036</xdr:rowOff>
    </xdr:from>
    <xdr:to>
      <xdr:col>8</xdr:col>
      <xdr:colOff>1426224</xdr:colOff>
      <xdr:row>510</xdr:row>
      <xdr:rowOff>119034</xdr:rowOff>
    </xdr:to>
    <xdr:graphicFrame macro="">
      <xdr:nvGraphicFramePr>
        <xdr:cNvPr id="48" name="Kaavi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55484</xdr:colOff>
      <xdr:row>518</xdr:row>
      <xdr:rowOff>170833</xdr:rowOff>
    </xdr:from>
    <xdr:to>
      <xdr:col>8</xdr:col>
      <xdr:colOff>1415802</xdr:colOff>
      <xdr:row>567</xdr:row>
      <xdr:rowOff>23686</xdr:rowOff>
    </xdr:to>
    <xdr:graphicFrame macro="">
      <xdr:nvGraphicFramePr>
        <xdr:cNvPr id="50" name="Kaavio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94326</xdr:colOff>
      <xdr:row>362</xdr:row>
      <xdr:rowOff>88900</xdr:rowOff>
    </xdr:from>
    <xdr:to>
      <xdr:col>8</xdr:col>
      <xdr:colOff>1409700</xdr:colOff>
      <xdr:row>412</xdr:row>
      <xdr:rowOff>120650</xdr:rowOff>
    </xdr:to>
    <xdr:graphicFrame macro="">
      <xdr:nvGraphicFramePr>
        <xdr:cNvPr id="52" name="Kaavio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26059</xdr:colOff>
      <xdr:row>50</xdr:row>
      <xdr:rowOff>103445</xdr:rowOff>
    </xdr:from>
    <xdr:to>
      <xdr:col>9</xdr:col>
      <xdr:colOff>3590</xdr:colOff>
      <xdr:row>64</xdr:row>
      <xdr:rowOff>4289</xdr:rowOff>
    </xdr:to>
    <xdr:graphicFrame macro="">
      <xdr:nvGraphicFramePr>
        <xdr:cNvPr id="24" name="Kaavi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9406</xdr:colOff>
      <xdr:row>274</xdr:row>
      <xdr:rowOff>13759</xdr:rowOff>
    </xdr:from>
    <xdr:to>
      <xdr:col>8</xdr:col>
      <xdr:colOff>1454847</xdr:colOff>
      <xdr:row>290</xdr:row>
      <xdr:rowOff>72374</xdr:rowOff>
    </xdr:to>
    <xdr:graphicFrame macro="">
      <xdr:nvGraphicFramePr>
        <xdr:cNvPr id="25" name="Kaavi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26992</xdr:colOff>
      <xdr:row>291</xdr:row>
      <xdr:rowOff>36785</xdr:rowOff>
    </xdr:from>
    <xdr:to>
      <xdr:col>8</xdr:col>
      <xdr:colOff>1446642</xdr:colOff>
      <xdr:row>309</xdr:row>
      <xdr:rowOff>69851</xdr:rowOff>
    </xdr:to>
    <xdr:graphicFrame macro="">
      <xdr:nvGraphicFramePr>
        <xdr:cNvPr id="26" name="Kaavi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146215</xdr:colOff>
      <xdr:row>414</xdr:row>
      <xdr:rowOff>97129</xdr:rowOff>
    </xdr:from>
    <xdr:to>
      <xdr:col>8</xdr:col>
      <xdr:colOff>1365250</xdr:colOff>
      <xdr:row>462</xdr:row>
      <xdr:rowOff>89314</xdr:rowOff>
    </xdr:to>
    <xdr:graphicFrame macro="">
      <xdr:nvGraphicFramePr>
        <xdr:cNvPr id="28" name="Kaavi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570</xdr:row>
      <xdr:rowOff>107950</xdr:rowOff>
    </xdr:from>
    <xdr:to>
      <xdr:col>9</xdr:col>
      <xdr:colOff>3810</xdr:colOff>
      <xdr:row>613</xdr:row>
      <xdr:rowOff>164631</xdr:rowOff>
    </xdr:to>
    <xdr:graphicFrame macro="">
      <xdr:nvGraphicFramePr>
        <xdr:cNvPr id="29" name="Kaavi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4411</xdr:colOff>
      <xdr:row>882</xdr:row>
      <xdr:rowOff>133350</xdr:rowOff>
    </xdr:from>
    <xdr:to>
      <xdr:col>9</xdr:col>
      <xdr:colOff>4411</xdr:colOff>
      <xdr:row>909</xdr:row>
      <xdr:rowOff>53066</xdr:rowOff>
    </xdr:to>
    <xdr:graphicFrame macro="">
      <xdr:nvGraphicFramePr>
        <xdr:cNvPr id="31" name="Kaavi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6350</xdr:colOff>
      <xdr:row>910</xdr:row>
      <xdr:rowOff>3851</xdr:rowOff>
    </xdr:from>
    <xdr:to>
      <xdr:col>9</xdr:col>
      <xdr:colOff>6350</xdr:colOff>
      <xdr:row>933</xdr:row>
      <xdr:rowOff>93146</xdr:rowOff>
    </xdr:to>
    <xdr:graphicFrame macro="">
      <xdr:nvGraphicFramePr>
        <xdr:cNvPr id="32" name="Kaavi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38100</xdr:colOff>
      <xdr:row>934</xdr:row>
      <xdr:rowOff>57150</xdr:rowOff>
    </xdr:from>
    <xdr:to>
      <xdr:col>8</xdr:col>
      <xdr:colOff>1414877</xdr:colOff>
      <xdr:row>954</xdr:row>
      <xdr:rowOff>122668</xdr:rowOff>
    </xdr:to>
    <xdr:graphicFrame macro="">
      <xdr:nvGraphicFramePr>
        <xdr:cNvPr id="33" name="Kaavio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135593</xdr:colOff>
      <xdr:row>986</xdr:row>
      <xdr:rowOff>146510</xdr:rowOff>
    </xdr:from>
    <xdr:to>
      <xdr:col>8</xdr:col>
      <xdr:colOff>1428751</xdr:colOff>
      <xdr:row>1018</xdr:row>
      <xdr:rowOff>92290</xdr:rowOff>
    </xdr:to>
    <xdr:graphicFrame macro="">
      <xdr:nvGraphicFramePr>
        <xdr:cNvPr id="34" name="Kaavi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43791</xdr:colOff>
      <xdr:row>1059</xdr:row>
      <xdr:rowOff>140632</xdr:rowOff>
    </xdr:from>
    <xdr:to>
      <xdr:col>8</xdr:col>
      <xdr:colOff>1468829</xdr:colOff>
      <xdr:row>1086</xdr:row>
      <xdr:rowOff>142586</xdr:rowOff>
    </xdr:to>
    <xdr:graphicFrame macro="">
      <xdr:nvGraphicFramePr>
        <xdr:cNvPr id="38" name="Kaavi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11298</xdr:colOff>
      <xdr:row>1091</xdr:row>
      <xdr:rowOff>75012</xdr:rowOff>
    </xdr:from>
    <xdr:to>
      <xdr:col>8</xdr:col>
      <xdr:colOff>1451181</xdr:colOff>
      <xdr:row>1116</xdr:row>
      <xdr:rowOff>19133</xdr:rowOff>
    </xdr:to>
    <xdr:graphicFrame macro="">
      <xdr:nvGraphicFramePr>
        <xdr:cNvPr id="39" name="Kaavi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30348</xdr:colOff>
      <xdr:row>1117</xdr:row>
      <xdr:rowOff>20619</xdr:rowOff>
    </xdr:from>
    <xdr:to>
      <xdr:col>8</xdr:col>
      <xdr:colOff>1440542</xdr:colOff>
      <xdr:row>1141</xdr:row>
      <xdr:rowOff>107951</xdr:rowOff>
    </xdr:to>
    <xdr:graphicFrame macro="">
      <xdr:nvGraphicFramePr>
        <xdr:cNvPr id="42" name="Kaavi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1144</xdr:row>
      <xdr:rowOff>48763</xdr:rowOff>
    </xdr:from>
    <xdr:to>
      <xdr:col>8</xdr:col>
      <xdr:colOff>1425038</xdr:colOff>
      <xdr:row>1188</xdr:row>
      <xdr:rowOff>48765</xdr:rowOff>
    </xdr:to>
    <xdr:graphicFrame macro="">
      <xdr:nvGraphicFramePr>
        <xdr:cNvPr id="45" name="Kaavi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109435</xdr:colOff>
      <xdr:row>1194</xdr:row>
      <xdr:rowOff>132772</xdr:rowOff>
    </xdr:from>
    <xdr:to>
      <xdr:col>8</xdr:col>
      <xdr:colOff>1339850</xdr:colOff>
      <xdr:row>1222</xdr:row>
      <xdr:rowOff>132772</xdr:rowOff>
    </xdr:to>
    <xdr:graphicFrame macro="">
      <xdr:nvGraphicFramePr>
        <xdr:cNvPr id="49" name="Kaavi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1247</xdr:row>
      <xdr:rowOff>67851</xdr:rowOff>
    </xdr:from>
    <xdr:to>
      <xdr:col>8</xdr:col>
      <xdr:colOff>1430215</xdr:colOff>
      <xdr:row>1296</xdr:row>
      <xdr:rowOff>133350</xdr:rowOff>
    </xdr:to>
    <xdr:graphicFrame macro="">
      <xdr:nvGraphicFramePr>
        <xdr:cNvPr id="56" name="Kaavio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33235</xdr:colOff>
      <xdr:row>1298</xdr:row>
      <xdr:rowOff>165100</xdr:rowOff>
    </xdr:from>
    <xdr:to>
      <xdr:col>8</xdr:col>
      <xdr:colOff>1458273</xdr:colOff>
      <xdr:row>1349</xdr:row>
      <xdr:rowOff>31750</xdr:rowOff>
    </xdr:to>
    <xdr:graphicFrame macro="">
      <xdr:nvGraphicFramePr>
        <xdr:cNvPr id="57" name="Kaavio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88901</xdr:colOff>
      <xdr:row>1351</xdr:row>
      <xdr:rowOff>41836</xdr:rowOff>
    </xdr:from>
    <xdr:to>
      <xdr:col>9</xdr:col>
      <xdr:colOff>578</xdr:colOff>
      <xdr:row>1399</xdr:row>
      <xdr:rowOff>43791</xdr:rowOff>
    </xdr:to>
    <xdr:graphicFrame macro="">
      <xdr:nvGraphicFramePr>
        <xdr:cNvPr id="58" name="Kaavio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85372</xdr:colOff>
      <xdr:row>1403</xdr:row>
      <xdr:rowOff>50077</xdr:rowOff>
    </xdr:from>
    <xdr:to>
      <xdr:col>8</xdr:col>
      <xdr:colOff>1427665</xdr:colOff>
      <xdr:row>1452</xdr:row>
      <xdr:rowOff>19051</xdr:rowOff>
    </xdr:to>
    <xdr:graphicFrame macro="">
      <xdr:nvGraphicFramePr>
        <xdr:cNvPr id="59" name="Kaavio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38100</xdr:colOff>
      <xdr:row>1454</xdr:row>
      <xdr:rowOff>144754</xdr:rowOff>
    </xdr:from>
    <xdr:to>
      <xdr:col>8</xdr:col>
      <xdr:colOff>1463138</xdr:colOff>
      <xdr:row>1482</xdr:row>
      <xdr:rowOff>151988</xdr:rowOff>
    </xdr:to>
    <xdr:graphicFrame macro="">
      <xdr:nvGraphicFramePr>
        <xdr:cNvPr id="60" name="Kaavio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15586</xdr:colOff>
      <xdr:row>1506</xdr:row>
      <xdr:rowOff>121020</xdr:rowOff>
    </xdr:from>
    <xdr:to>
      <xdr:col>8</xdr:col>
      <xdr:colOff>1440624</xdr:colOff>
      <xdr:row>1556</xdr:row>
      <xdr:rowOff>120650</xdr:rowOff>
    </xdr:to>
    <xdr:graphicFrame macro="">
      <xdr:nvGraphicFramePr>
        <xdr:cNvPr id="62" name="Kaavio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6351</xdr:colOff>
      <xdr:row>955</xdr:row>
      <xdr:rowOff>78920</xdr:rowOff>
    </xdr:from>
    <xdr:to>
      <xdr:col>8</xdr:col>
      <xdr:colOff>1422401</xdr:colOff>
      <xdr:row>981</xdr:row>
      <xdr:rowOff>2720</xdr:rowOff>
    </xdr:to>
    <xdr:graphicFrame macro="">
      <xdr:nvGraphicFramePr>
        <xdr:cNvPr id="64" name="Kaavio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18517</xdr:colOff>
      <xdr:row>1019</xdr:row>
      <xdr:rowOff>132445</xdr:rowOff>
    </xdr:from>
    <xdr:to>
      <xdr:col>8</xdr:col>
      <xdr:colOff>1457442</xdr:colOff>
      <xdr:row>1037</xdr:row>
      <xdr:rowOff>101601</xdr:rowOff>
    </xdr:to>
    <xdr:graphicFrame macro="">
      <xdr:nvGraphicFramePr>
        <xdr:cNvPr id="65" name="Kaavio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33151</xdr:colOff>
      <xdr:row>1040</xdr:row>
      <xdr:rowOff>84117</xdr:rowOff>
    </xdr:from>
    <xdr:to>
      <xdr:col>9</xdr:col>
      <xdr:colOff>27710</xdr:colOff>
      <xdr:row>1058</xdr:row>
      <xdr:rowOff>47997</xdr:rowOff>
    </xdr:to>
    <xdr:graphicFrame macro="">
      <xdr:nvGraphicFramePr>
        <xdr:cNvPr id="66" name="Kaavio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1483</xdr:row>
      <xdr:rowOff>132360</xdr:rowOff>
    </xdr:from>
    <xdr:to>
      <xdr:col>9</xdr:col>
      <xdr:colOff>5443</xdr:colOff>
      <xdr:row>1505</xdr:row>
      <xdr:rowOff>40575</xdr:rowOff>
    </xdr:to>
    <xdr:graphicFrame macro="">
      <xdr:nvGraphicFramePr>
        <xdr:cNvPr id="67" name="Kaavio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113195</xdr:colOff>
      <xdr:row>623</xdr:row>
      <xdr:rowOff>37441</xdr:rowOff>
    </xdr:from>
    <xdr:to>
      <xdr:col>8</xdr:col>
      <xdr:colOff>1373426</xdr:colOff>
      <xdr:row>673</xdr:row>
      <xdr:rowOff>82550</xdr:rowOff>
    </xdr:to>
    <xdr:graphicFrame macro="">
      <xdr:nvGraphicFramePr>
        <xdr:cNvPr id="55" name="Kaavio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676</xdr:row>
      <xdr:rowOff>81724</xdr:rowOff>
    </xdr:from>
    <xdr:to>
      <xdr:col>8</xdr:col>
      <xdr:colOff>1418590</xdr:colOff>
      <xdr:row>725</xdr:row>
      <xdr:rowOff>78550</xdr:rowOff>
    </xdr:to>
    <xdr:graphicFrame macro="">
      <xdr:nvGraphicFramePr>
        <xdr:cNvPr id="61" name="Kaavio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44450</xdr:colOff>
      <xdr:row>727</xdr:row>
      <xdr:rowOff>6349</xdr:rowOff>
    </xdr:from>
    <xdr:to>
      <xdr:col>8</xdr:col>
      <xdr:colOff>1460500</xdr:colOff>
      <xdr:row>775</xdr:row>
      <xdr:rowOff>19050</xdr:rowOff>
    </xdr:to>
    <xdr:graphicFrame macro="">
      <xdr:nvGraphicFramePr>
        <xdr:cNvPr id="63" name="Kaavio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63499</xdr:colOff>
      <xdr:row>779</xdr:row>
      <xdr:rowOff>25400</xdr:rowOff>
    </xdr:from>
    <xdr:to>
      <xdr:col>8</xdr:col>
      <xdr:colOff>1454150</xdr:colOff>
      <xdr:row>829</xdr:row>
      <xdr:rowOff>66432</xdr:rowOff>
    </xdr:to>
    <xdr:graphicFrame macro="">
      <xdr:nvGraphicFramePr>
        <xdr:cNvPr id="68" name="Kaavio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17648</xdr:colOff>
      <xdr:row>831</xdr:row>
      <xdr:rowOff>117929</xdr:rowOff>
    </xdr:from>
    <xdr:to>
      <xdr:col>8</xdr:col>
      <xdr:colOff>1363848</xdr:colOff>
      <xdr:row>881</xdr:row>
      <xdr:rowOff>129042</xdr:rowOff>
    </xdr:to>
    <xdr:graphicFrame macro="">
      <xdr:nvGraphicFramePr>
        <xdr:cNvPr id="69" name="Kaavio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514350</xdr:colOff>
      <xdr:row>938</xdr:row>
      <xdr:rowOff>19050</xdr:rowOff>
    </xdr:from>
    <xdr:to>
      <xdr:col>8</xdr:col>
      <xdr:colOff>1403350</xdr:colOff>
      <xdr:row>939</xdr:row>
      <xdr:rowOff>82550</xdr:rowOff>
    </xdr:to>
    <xdr:sp macro="" textlink="work!F193">
      <xdr:nvSpPr>
        <xdr:cNvPr id="3" name="Tekstiruutu 2"/>
        <xdr:cNvSpPr txBox="1"/>
      </xdr:nvSpPr>
      <xdr:spPr>
        <a:xfrm>
          <a:off x="1333500" y="161150300"/>
          <a:ext cx="5537200" cy="23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D958E3-6B1C-466F-A432-9B2119A41AEA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yksityisen palvelun laatua parempana (pl eos-vastaukset)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</xdr:col>
      <xdr:colOff>154708</xdr:colOff>
      <xdr:row>82</xdr:row>
      <xdr:rowOff>135989</xdr:rowOff>
    </xdr:from>
    <xdr:to>
      <xdr:col>9</xdr:col>
      <xdr:colOff>2308</xdr:colOff>
      <xdr:row>101</xdr:row>
      <xdr:rowOff>104240</xdr:rowOff>
    </xdr:to>
    <xdr:graphicFrame macro="">
      <xdr:nvGraphicFramePr>
        <xdr:cNvPr id="51" name="Kaavio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585602</xdr:colOff>
      <xdr:row>680</xdr:row>
      <xdr:rowOff>29111</xdr:rowOff>
    </xdr:from>
    <xdr:to>
      <xdr:col>8</xdr:col>
      <xdr:colOff>611002</xdr:colOff>
      <xdr:row>681</xdr:row>
      <xdr:rowOff>98961</xdr:rowOff>
    </xdr:to>
    <xdr:sp macro="" textlink="work!F93">
      <xdr:nvSpPr>
        <xdr:cNvPr id="6" name="Tekstiruutu 5"/>
        <xdr:cNvSpPr txBox="1"/>
      </xdr:nvSpPr>
      <xdr:spPr>
        <a:xfrm>
          <a:off x="630052" y="116926261"/>
          <a:ext cx="5448300" cy="24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FB3DF1-AD0D-4B29-9EF7-D2990DE99F5B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palvelua melko tai erittäin hyvin hoidettuna (4+5) (pl eos-vastaukset)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</xdr:col>
      <xdr:colOff>38100</xdr:colOff>
      <xdr:row>835</xdr:row>
      <xdr:rowOff>63500</xdr:rowOff>
    </xdr:from>
    <xdr:to>
      <xdr:col>8</xdr:col>
      <xdr:colOff>844550</xdr:colOff>
      <xdr:row>836</xdr:row>
      <xdr:rowOff>120650</xdr:rowOff>
    </xdr:to>
    <xdr:sp macro="" textlink="work!F93">
      <xdr:nvSpPr>
        <xdr:cNvPr id="7" name="Tekstiruutu 6"/>
        <xdr:cNvSpPr txBox="1"/>
      </xdr:nvSpPr>
      <xdr:spPr>
        <a:xfrm>
          <a:off x="857250" y="143535400"/>
          <a:ext cx="54546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A17618C-F73F-4989-9F4D-8DB9A633F541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palvelua melko tai erittäin hyvin hoidettuna (4+5) (pl eos-vastaukset)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0.2573</cdr:x>
      <cdr:y>0.07741</cdr:y>
    </cdr:from>
    <cdr:to>
      <cdr:x>0.94753</cdr:x>
      <cdr:y>0.1177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756410" y="683260"/>
          <a:ext cx="4711700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0.69655</cdr:x>
      <cdr:y>0.08708</cdr:y>
    </cdr:from>
    <cdr:to>
      <cdr:x>0.99435</cdr:x>
      <cdr:y>0.10996</cdr:y>
    </cdr:to>
    <cdr:sp macro="" textlink="work!$F$92">
      <cdr:nvSpPr>
        <cdr:cNvPr id="3" name="Tekstiruutu 1"/>
        <cdr:cNvSpPr txBox="1"/>
      </cdr:nvSpPr>
      <cdr:spPr>
        <a:xfrm xmlns:a="http://schemas.openxmlformats.org/drawingml/2006/main">
          <a:off x="4693575" y="749301"/>
          <a:ext cx="2006599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E1F4DBC-819B-4EB1-A216-5769DAB98A08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0.10006</cdr:x>
      <cdr:y>0.06675</cdr:y>
    </cdr:from>
    <cdr:to>
      <cdr:x>0.75749</cdr:x>
      <cdr:y>0.08905</cdr:y>
    </cdr:to>
    <cdr:sp macro="" textlink="">
      <cdr:nvSpPr>
        <cdr:cNvPr id="4" name="Tekstiruutu 3"/>
        <cdr:cNvSpPr txBox="1"/>
      </cdr:nvSpPr>
      <cdr:spPr>
        <a:xfrm xmlns:a="http://schemas.openxmlformats.org/drawingml/2006/main">
          <a:off x="683260" y="589328"/>
          <a:ext cx="448945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0.05919</cdr:x>
      <cdr:y>0.06232</cdr:y>
    </cdr:from>
    <cdr:to>
      <cdr:x>0.91047</cdr:x>
      <cdr:y>0.09225</cdr:y>
    </cdr:to>
    <cdr:sp macro="" textlink="work!$F$93">
      <cdr:nvSpPr>
        <cdr:cNvPr id="5" name="Tekstiruutu 4"/>
        <cdr:cNvSpPr txBox="1"/>
      </cdr:nvSpPr>
      <cdr:spPr>
        <a:xfrm xmlns:a="http://schemas.openxmlformats.org/drawingml/2006/main">
          <a:off x="398862" y="536234"/>
          <a:ext cx="5736162" cy="257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85489D5-8141-4795-B84C-2ED1B4C4D775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palvelua melko tai erittäin hyvin hoidettuna (4+5) (pl eos-vastaukset)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0.68973</cdr:x>
      <cdr:y>0.13115</cdr:y>
    </cdr:from>
    <cdr:to>
      <cdr:x>0.99445</cdr:x>
      <cdr:y>0.20425</cdr:y>
    </cdr:to>
    <cdr:sp macro="" textlink="work!$F$4">
      <cdr:nvSpPr>
        <cdr:cNvPr id="2" name="Tekstiruutu 1"/>
        <cdr:cNvSpPr txBox="1"/>
      </cdr:nvSpPr>
      <cdr:spPr>
        <a:xfrm xmlns:a="http://schemas.openxmlformats.org/drawingml/2006/main">
          <a:off x="4748811" y="321613"/>
          <a:ext cx="2097974" cy="179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C36E3BE-1C63-4AC7-B5C8-57E63F53D3AB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0.70351</cdr:x>
      <cdr:y>0.12518</cdr:y>
    </cdr:from>
    <cdr:to>
      <cdr:x>0.9963</cdr:x>
      <cdr:y>0.20883</cdr:y>
    </cdr:to>
    <cdr:sp macro="" textlink="work!$F$42">
      <cdr:nvSpPr>
        <cdr:cNvPr id="2" name="Tekstiruutu 1"/>
        <cdr:cNvSpPr txBox="1"/>
      </cdr:nvSpPr>
      <cdr:spPr>
        <a:xfrm xmlns:a="http://schemas.openxmlformats.org/drawingml/2006/main">
          <a:off x="4831959" y="350722"/>
          <a:ext cx="2010982" cy="234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367596A-8AB7-4E75-B3A0-17AFAD074910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0.72462</cdr:x>
      <cdr:y>0.15633</cdr:y>
    </cdr:from>
    <cdr:to>
      <cdr:x>1</cdr:x>
      <cdr:y>0.2289</cdr:y>
    </cdr:to>
    <cdr:sp macro="" textlink="work!$F$45">
      <cdr:nvSpPr>
        <cdr:cNvPr id="2" name="Tekstiruutu 1"/>
        <cdr:cNvSpPr txBox="1"/>
      </cdr:nvSpPr>
      <cdr:spPr>
        <a:xfrm xmlns:a="http://schemas.openxmlformats.org/drawingml/2006/main">
          <a:off x="4969138" y="538078"/>
          <a:ext cx="1888421" cy="24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002E1C4-17F5-4CB9-8027-58E6BAA2239D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0.04291</cdr:x>
      <cdr:y>0.08076</cdr:y>
    </cdr:from>
    <cdr:to>
      <cdr:x>0.97419</cdr:x>
      <cdr:y>0.10944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284981" y="663966"/>
          <a:ext cx="6185504" cy="235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</a:rPr>
            <a:t>% vastanneista pitää palvelua hyvin saatavana ja saavutettavana (4+5) (pl eos-vastaukset)</a:t>
          </a:r>
        </a:p>
      </cdr:txBody>
    </cdr:sp>
  </cdr:relSizeAnchor>
  <cdr:relSizeAnchor xmlns:cdr="http://schemas.openxmlformats.org/drawingml/2006/chartDrawing">
    <cdr:from>
      <cdr:x>0.68893</cdr:x>
      <cdr:y>0.11007</cdr:y>
    </cdr:from>
    <cdr:to>
      <cdr:x>0.98494</cdr:x>
      <cdr:y>0.13956</cdr:y>
    </cdr:to>
    <cdr:sp macro="" textlink="work!$F$140">
      <cdr:nvSpPr>
        <cdr:cNvPr id="3" name="Tekstiruutu 1"/>
        <cdr:cNvSpPr txBox="1"/>
      </cdr:nvSpPr>
      <cdr:spPr>
        <a:xfrm xmlns:a="http://schemas.openxmlformats.org/drawingml/2006/main">
          <a:off x="4659097" y="904976"/>
          <a:ext cx="2001888" cy="242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4A29998-8B69-49DE-B76E-50BD895AFC8A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0.064</cdr:x>
      <cdr:y>0.09107</cdr:y>
    </cdr:from>
    <cdr:to>
      <cdr:x>0.96093</cdr:x>
      <cdr:y>0.12018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41598" y="676598"/>
          <a:ext cx="6188737" cy="216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</a:rPr>
            <a:t>% vastanneista pitää palvelua hyvin saatavana ja saavutettavana (4+5) (pl eos-vastaukset)</a:t>
          </a:r>
        </a:p>
      </cdr:txBody>
    </cdr:sp>
  </cdr:relSizeAnchor>
  <cdr:relSizeAnchor xmlns:cdr="http://schemas.openxmlformats.org/drawingml/2006/chartDrawing">
    <cdr:from>
      <cdr:x>0.68102</cdr:x>
      <cdr:y>0.12291</cdr:y>
    </cdr:from>
    <cdr:to>
      <cdr:x>1</cdr:x>
      <cdr:y>0.15545</cdr:y>
    </cdr:to>
    <cdr:sp macro="" textlink="work!$F$140">
      <cdr:nvSpPr>
        <cdr:cNvPr id="3" name="Tekstiruutu 1"/>
        <cdr:cNvSpPr txBox="1"/>
      </cdr:nvSpPr>
      <cdr:spPr>
        <a:xfrm xmlns:a="http://schemas.openxmlformats.org/drawingml/2006/main">
          <a:off x="4699000" y="913082"/>
          <a:ext cx="2200910" cy="241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D4B607F-8706-477C-9EEE-8DDFB2C5ED38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0.0695</cdr:x>
      <cdr:y>0.14248</cdr:y>
    </cdr:from>
    <cdr:to>
      <cdr:x>1</cdr:x>
      <cdr:y>0.18935</cdr:y>
    </cdr:to>
    <cdr:sp macro="" textlink="work!$F$141">
      <cdr:nvSpPr>
        <cdr:cNvPr id="2" name="Tekstiruutu 1"/>
        <cdr:cNvSpPr txBox="1"/>
      </cdr:nvSpPr>
      <cdr:spPr>
        <a:xfrm xmlns:a="http://schemas.openxmlformats.org/drawingml/2006/main">
          <a:off x="479279" y="667904"/>
          <a:ext cx="6416821" cy="219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40D4BD6-00CB-42CE-893C-FB7302622FB4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palvelua hyvin saatavana ja saavutettavana (4+5) (pl eos-vastaukset)</a:t>
          </a:fld>
          <a:endParaRPr lang="fi-FI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0.72128</cdr:x>
      <cdr:y>0.19508</cdr:y>
    </cdr:from>
    <cdr:to>
      <cdr:x>1</cdr:x>
      <cdr:y>0.25856</cdr:y>
    </cdr:to>
    <cdr:sp macro="" textlink="work!$F$140">
      <cdr:nvSpPr>
        <cdr:cNvPr id="3" name="Tekstiruutu 1"/>
        <cdr:cNvSpPr txBox="1"/>
      </cdr:nvSpPr>
      <cdr:spPr>
        <a:xfrm xmlns:a="http://schemas.openxmlformats.org/drawingml/2006/main">
          <a:off x="4973989" y="914494"/>
          <a:ext cx="1922111" cy="297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18B4F9A-B7B0-4B72-8674-442E9FA0885C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0.69805</cdr:x>
      <cdr:y>0.12024</cdr:y>
    </cdr:from>
    <cdr:to>
      <cdr:x>0.99448</cdr:x>
      <cdr:y>0.18643</cdr:y>
    </cdr:to>
    <cdr:sp macro="" textlink="work!$F$184">
      <cdr:nvSpPr>
        <cdr:cNvPr id="2" name="Tekstiruutu 1"/>
        <cdr:cNvSpPr txBox="1"/>
      </cdr:nvSpPr>
      <cdr:spPr>
        <a:xfrm xmlns:a="http://schemas.openxmlformats.org/drawingml/2006/main">
          <a:off x="4813853" y="484873"/>
          <a:ext cx="2044147" cy="266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D72E8DF-8898-4D39-B0F7-A1DA154FC3A0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0.31182</cdr:x>
      <cdr:y>0.09813</cdr:y>
    </cdr:from>
    <cdr:to>
      <cdr:x>0.74679</cdr:x>
      <cdr:y>0.1529</cdr:y>
    </cdr:to>
    <cdr:sp macro="" textlink="work!$F$185">
      <cdr:nvSpPr>
        <cdr:cNvPr id="3" name="Tekstiruutu 2"/>
        <cdr:cNvSpPr txBox="1"/>
      </cdr:nvSpPr>
      <cdr:spPr>
        <a:xfrm xmlns:a="http://schemas.openxmlformats.org/drawingml/2006/main">
          <a:off x="2155874" y="409526"/>
          <a:ext cx="30073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C512DA2-2536-4E35-91CC-933AD88E9B42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on käyttänyt ko. palvelua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0.68493</cdr:x>
      <cdr:y>0.23986</cdr:y>
    </cdr:from>
    <cdr:to>
      <cdr:x>1</cdr:x>
      <cdr:y>0.28529</cdr:y>
    </cdr:to>
    <cdr:sp macro="" textlink="work!$F$192">
      <cdr:nvSpPr>
        <cdr:cNvPr id="2" name="Tekstiruutu 1"/>
        <cdr:cNvSpPr txBox="1"/>
      </cdr:nvSpPr>
      <cdr:spPr>
        <a:xfrm xmlns:a="http://schemas.openxmlformats.org/drawingml/2006/main">
          <a:off x="4687748" y="838200"/>
          <a:ext cx="2156379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0DD33F2-76A2-4502-9F7D-4F116C5A7A88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0.1276</cdr:x>
      <cdr:y>0.11909</cdr:y>
    </cdr:from>
    <cdr:to>
      <cdr:x>0.87747</cdr:x>
      <cdr:y>0.17053</cdr:y>
    </cdr:to>
    <cdr:sp macro="" textlink="work!$F$202">
      <cdr:nvSpPr>
        <cdr:cNvPr id="2" name="Tekstiruutu 1"/>
        <cdr:cNvSpPr txBox="1"/>
      </cdr:nvSpPr>
      <cdr:spPr>
        <a:xfrm xmlns:a="http://schemas.openxmlformats.org/drawingml/2006/main">
          <a:off x="866451" y="646934"/>
          <a:ext cx="5092062" cy="27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4F6E732A-172D-462F-89AC-E8418DE995F4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 algn="ctr"/>
            <a:t>% vastanneista seuraa silloin tällöin tai usein (3+4)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0.70288</cdr:x>
      <cdr:y>0.16473</cdr:y>
    </cdr:from>
    <cdr:to>
      <cdr:x>0.99439</cdr:x>
      <cdr:y>0.21851</cdr:y>
    </cdr:to>
    <cdr:sp macro="" textlink="work!$F$201">
      <cdr:nvSpPr>
        <cdr:cNvPr id="3" name="Tekstiruutu 1"/>
        <cdr:cNvSpPr txBox="1"/>
      </cdr:nvSpPr>
      <cdr:spPr>
        <a:xfrm xmlns:a="http://schemas.openxmlformats.org/drawingml/2006/main">
          <a:off x="4772958" y="894852"/>
          <a:ext cx="1979535" cy="29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1AF8BB7-0C95-430D-B413-0C0E4441DD89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0.68691</cdr:x>
      <cdr:y>0.09472</cdr:y>
    </cdr:from>
    <cdr:to>
      <cdr:x>1</cdr:x>
      <cdr:y>0.16289</cdr:y>
    </cdr:to>
    <cdr:sp macro="" textlink="work!$F$7">
      <cdr:nvSpPr>
        <cdr:cNvPr id="2" name="Tekstiruutu 1"/>
        <cdr:cNvSpPr txBox="1"/>
      </cdr:nvSpPr>
      <cdr:spPr>
        <a:xfrm xmlns:a="http://schemas.openxmlformats.org/drawingml/2006/main">
          <a:off x="4714303" y="300806"/>
          <a:ext cx="2148726" cy="216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7C91E65-70AF-4756-AB33-A33F3EE7C6D5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0.71687</cdr:x>
      <cdr:y>0.09852</cdr:y>
    </cdr:from>
    <cdr:to>
      <cdr:x>0.99816</cdr:x>
      <cdr:y>0.14788</cdr:y>
    </cdr:to>
    <cdr:sp macro="" textlink="work!$F$221">
      <cdr:nvSpPr>
        <cdr:cNvPr id="2" name="Tekstiruutu 1"/>
        <cdr:cNvSpPr txBox="1"/>
      </cdr:nvSpPr>
      <cdr:spPr>
        <a:xfrm xmlns:a="http://schemas.openxmlformats.org/drawingml/2006/main">
          <a:off x="4940959" y="456268"/>
          <a:ext cx="193872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17DECC1-405F-45A7-950F-1DCFC54CC839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0.68954</cdr:x>
      <cdr:y>0.13688</cdr:y>
    </cdr:from>
    <cdr:to>
      <cdr:x>0.98982</cdr:x>
      <cdr:y>0.19542</cdr:y>
    </cdr:to>
    <cdr:sp macro="" textlink="work!$F$228">
      <cdr:nvSpPr>
        <cdr:cNvPr id="2" name="Tekstiruutu 1"/>
        <cdr:cNvSpPr txBox="1"/>
      </cdr:nvSpPr>
      <cdr:spPr>
        <a:xfrm xmlns:a="http://schemas.openxmlformats.org/drawingml/2006/main">
          <a:off x="4732152" y="579038"/>
          <a:ext cx="2060781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6D1E6C9-C7A1-4295-8FC5-1A5CFDEA4F0C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0.19729</cdr:x>
      <cdr:y>0.10999</cdr:y>
    </cdr:from>
    <cdr:to>
      <cdr:x>0.76295</cdr:x>
      <cdr:y>0.16089</cdr:y>
    </cdr:to>
    <cdr:sp macro="" textlink="work!$F$229">
      <cdr:nvSpPr>
        <cdr:cNvPr id="3" name="Tekstiruutu 2"/>
        <cdr:cNvSpPr txBox="1"/>
      </cdr:nvSpPr>
      <cdr:spPr>
        <a:xfrm xmlns:a="http://schemas.openxmlformats.org/drawingml/2006/main">
          <a:off x="1353953" y="465299"/>
          <a:ext cx="3882008" cy="21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754EF7F-BCB1-4A9F-A505-682163C9DB81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tärkeänä tai erittäin tärkeänä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0.71019</cdr:x>
      <cdr:y>0.14087</cdr:y>
    </cdr:from>
    <cdr:to>
      <cdr:x>1</cdr:x>
      <cdr:y>0.20112</cdr:y>
    </cdr:to>
    <cdr:sp macro="" textlink="work!$F$236">
      <cdr:nvSpPr>
        <cdr:cNvPr id="2" name="Tekstiruutu 1"/>
        <cdr:cNvSpPr txBox="1"/>
      </cdr:nvSpPr>
      <cdr:spPr>
        <a:xfrm xmlns:a="http://schemas.openxmlformats.org/drawingml/2006/main">
          <a:off x="4852803" y="603788"/>
          <a:ext cx="1980291" cy="25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D018825-DE65-4C43-8124-E2C554940FE5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0.23806</cdr:x>
      <cdr:y>0.1109</cdr:y>
    </cdr:from>
    <cdr:to>
      <cdr:x>0.75974</cdr:x>
      <cdr:y>0.16462</cdr:y>
    </cdr:to>
    <cdr:sp macro="" textlink="work!$F$237">
      <cdr:nvSpPr>
        <cdr:cNvPr id="3" name="Tekstiruutu 2"/>
        <cdr:cNvSpPr txBox="1"/>
      </cdr:nvSpPr>
      <cdr:spPr>
        <a:xfrm xmlns:a="http://schemas.openxmlformats.org/drawingml/2006/main">
          <a:off x="1626686" y="475324"/>
          <a:ext cx="3564689" cy="230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D367461-DEFA-45B4-9F89-D8782E86B71F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samaa mieltä väittämän kanssa (4+5) 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0.67992</cdr:x>
      <cdr:y>0.07994</cdr:y>
    </cdr:from>
    <cdr:to>
      <cdr:x>0.99447</cdr:x>
      <cdr:y>0.11559</cdr:y>
    </cdr:to>
    <cdr:sp macro="" textlink="work!$F$243">
      <cdr:nvSpPr>
        <cdr:cNvPr id="2" name="Tekstiruutu 1"/>
        <cdr:cNvSpPr txBox="1"/>
      </cdr:nvSpPr>
      <cdr:spPr>
        <a:xfrm xmlns:a="http://schemas.openxmlformats.org/drawingml/2006/main">
          <a:off x="4686300" y="603042"/>
          <a:ext cx="2167964" cy="268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28E8155-8D4A-4D4B-8535-CA5379C09296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0.25938</cdr:x>
      <cdr:y>0.05934</cdr:y>
    </cdr:from>
    <cdr:to>
      <cdr:x>0.78473</cdr:x>
      <cdr:y>0.08726</cdr:y>
    </cdr:to>
    <cdr:sp macro="" textlink="work!$F$244">
      <cdr:nvSpPr>
        <cdr:cNvPr id="3" name="Tekstiruutu 2"/>
        <cdr:cNvSpPr txBox="1"/>
      </cdr:nvSpPr>
      <cdr:spPr>
        <a:xfrm xmlns:a="http://schemas.openxmlformats.org/drawingml/2006/main">
          <a:off x="1787715" y="447670"/>
          <a:ext cx="3620916" cy="210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32FFDCC-2397-4C96-82CB-F8A38E23B633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samaa mieltä väittämän kanssa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0.71272</cdr:x>
      <cdr:y>0.18655</cdr:y>
    </cdr:from>
    <cdr:to>
      <cdr:x>0.99539</cdr:x>
      <cdr:y>0.25012</cdr:y>
    </cdr:to>
    <cdr:sp macro="" textlink="work!$F$258">
      <cdr:nvSpPr>
        <cdr:cNvPr id="2" name="Tekstiruutu 1"/>
        <cdr:cNvSpPr txBox="1"/>
      </cdr:nvSpPr>
      <cdr:spPr>
        <a:xfrm xmlns:a="http://schemas.openxmlformats.org/drawingml/2006/main">
          <a:off x="4741966" y="895552"/>
          <a:ext cx="1880678" cy="305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D87B4DD-83AF-466B-B36B-6301DB360860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0.23349</cdr:x>
      <cdr:y>0.15004</cdr:y>
    </cdr:from>
    <cdr:to>
      <cdr:x>0.78088</cdr:x>
      <cdr:y>0.20106</cdr:y>
    </cdr:to>
    <cdr:sp macro="" textlink="work!$F$259">
      <cdr:nvSpPr>
        <cdr:cNvPr id="3" name="Tekstiruutu 2"/>
        <cdr:cNvSpPr txBox="1"/>
      </cdr:nvSpPr>
      <cdr:spPr>
        <a:xfrm xmlns:a="http://schemas.openxmlformats.org/drawingml/2006/main">
          <a:off x="1609298" y="720294"/>
          <a:ext cx="3772824" cy="244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7912FE2-39AE-4104-9156-0540B5D603E1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on samaa mieltä väittämän kanssa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0.73097</cdr:x>
      <cdr:y>0.08566</cdr:y>
    </cdr:from>
    <cdr:to>
      <cdr:x>0.99816</cdr:x>
      <cdr:y>0.11581</cdr:y>
    </cdr:to>
    <cdr:sp macro="" textlink="work!$F$265">
      <cdr:nvSpPr>
        <cdr:cNvPr id="2" name="Tekstiruutu 1"/>
        <cdr:cNvSpPr txBox="1"/>
      </cdr:nvSpPr>
      <cdr:spPr>
        <a:xfrm xmlns:a="http://schemas.openxmlformats.org/drawingml/2006/main">
          <a:off x="5041900" y="725268"/>
          <a:ext cx="1842965" cy="255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6340526-28DC-4C13-9631-F07A1D34B264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0.28024</cdr:x>
      <cdr:y>0.05874</cdr:y>
    </cdr:from>
    <cdr:to>
      <cdr:x>0.77931</cdr:x>
      <cdr:y>0.0875</cdr:y>
    </cdr:to>
    <cdr:sp macro="" textlink="work!$F$266">
      <cdr:nvSpPr>
        <cdr:cNvPr id="3" name="Tekstiruutu 2"/>
        <cdr:cNvSpPr txBox="1"/>
      </cdr:nvSpPr>
      <cdr:spPr>
        <a:xfrm xmlns:a="http://schemas.openxmlformats.org/drawingml/2006/main">
          <a:off x="1932943" y="500147"/>
          <a:ext cx="3442368" cy="244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2090D94-9B80-48B4-9536-33D1D1F99FB4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on käyttänyt ko. vaikuttamistapaa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0.71011</cdr:x>
      <cdr:y>0.08177</cdr:y>
    </cdr:from>
    <cdr:to>
      <cdr:x>0.98434</cdr:x>
      <cdr:y>0.11183</cdr:y>
    </cdr:to>
    <cdr:sp macro="" textlink="work!$F$284">
      <cdr:nvSpPr>
        <cdr:cNvPr id="2" name="Tekstiruutu 1"/>
        <cdr:cNvSpPr txBox="1"/>
      </cdr:nvSpPr>
      <cdr:spPr>
        <a:xfrm xmlns:a="http://schemas.openxmlformats.org/drawingml/2006/main">
          <a:off x="4894365" y="714543"/>
          <a:ext cx="1890073" cy="262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16F6034-5A89-4365-8C7F-B891240C34F6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0.26841</cdr:x>
      <cdr:y>0.06563</cdr:y>
    </cdr:from>
    <cdr:to>
      <cdr:x>0.79082</cdr:x>
      <cdr:y>0.0942</cdr:y>
    </cdr:to>
    <cdr:sp macro="" textlink="work!$F$285">
      <cdr:nvSpPr>
        <cdr:cNvPr id="3" name="Tekstiruutu 2"/>
        <cdr:cNvSpPr txBox="1"/>
      </cdr:nvSpPr>
      <cdr:spPr>
        <a:xfrm xmlns:a="http://schemas.openxmlformats.org/drawingml/2006/main">
          <a:off x="1849986" y="562648"/>
          <a:ext cx="3600652" cy="244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BF471E0-4FAF-4461-98D2-C79B46F3AB5D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hyvänä vaikuttamistapana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0.71076</cdr:x>
      <cdr:y>0.11261</cdr:y>
    </cdr:from>
    <cdr:to>
      <cdr:x>0.98321</cdr:x>
      <cdr:y>0.14149</cdr:y>
    </cdr:to>
    <cdr:sp macro="" textlink="work!$F$303">
      <cdr:nvSpPr>
        <cdr:cNvPr id="2" name="Tekstiruutu 1"/>
        <cdr:cNvSpPr txBox="1"/>
      </cdr:nvSpPr>
      <cdr:spPr>
        <a:xfrm xmlns:a="http://schemas.openxmlformats.org/drawingml/2006/main">
          <a:off x="4838700" y="926940"/>
          <a:ext cx="1854777" cy="237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D19017C-6C9F-4A83-9EEF-CA8DB1AC827F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0.32228</cdr:x>
      <cdr:y>0.07978</cdr:y>
    </cdr:from>
    <cdr:to>
      <cdr:x>0.83333</cdr:x>
      <cdr:y>0.11132</cdr:y>
    </cdr:to>
    <cdr:sp macro="" textlink="work!$F$304">
      <cdr:nvSpPr>
        <cdr:cNvPr id="3" name="Tekstiruutu 2"/>
        <cdr:cNvSpPr txBox="1"/>
      </cdr:nvSpPr>
      <cdr:spPr>
        <a:xfrm xmlns:a="http://schemas.openxmlformats.org/drawingml/2006/main">
          <a:off x="2194010" y="656679"/>
          <a:ext cx="3479115" cy="259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9458D18-3E5E-44C9-A840-11CC2FCA9A1F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osallistuu tai on osallistunut 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0.20508</cdr:x>
      <cdr:y>0.08744</cdr:y>
    </cdr:from>
    <cdr:to>
      <cdr:x>0.8137</cdr:x>
      <cdr:y>0.1146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387418" y="758407"/>
          <a:ext cx="4117432" cy="235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>
              <a:solidFill>
                <a:schemeClr val="tx1">
                  <a:lumMod val="65000"/>
                  <a:lumOff val="35000"/>
                </a:schemeClr>
              </a:solidFill>
            </a:rPr>
            <a:t>% vastanneista pitää </a:t>
          </a:r>
          <a:r>
            <a:rPr lang="fi-FI" sz="1000" baseline="0">
              <a:solidFill>
                <a:schemeClr val="tx1">
                  <a:lumMod val="65000"/>
                  <a:lumOff val="35000"/>
                </a:schemeClr>
              </a:solidFill>
            </a:rPr>
            <a:t>hyvänä</a:t>
          </a:r>
          <a:r>
            <a:rPr lang="fi-FI" sz="110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fi-FI" sz="1000" baseline="0">
              <a:solidFill>
                <a:schemeClr val="tx1">
                  <a:lumMod val="65000"/>
                  <a:lumOff val="35000"/>
                </a:schemeClr>
              </a:solidFill>
            </a:rPr>
            <a:t>vaikuttamistapana</a:t>
          </a:r>
          <a:r>
            <a:rPr lang="fi-FI" sz="1100">
              <a:solidFill>
                <a:schemeClr val="tx1">
                  <a:lumMod val="65000"/>
                  <a:lumOff val="35000"/>
                </a:schemeClr>
              </a:solidFill>
            </a:rPr>
            <a:t> (4+5)</a:t>
          </a:r>
        </a:p>
      </cdr:txBody>
    </cdr:sp>
  </cdr:relSizeAnchor>
  <cdr:relSizeAnchor xmlns:cdr="http://schemas.openxmlformats.org/drawingml/2006/chartDrawing">
    <cdr:from>
      <cdr:x>0.70825</cdr:x>
      <cdr:y>0.11348</cdr:y>
    </cdr:from>
    <cdr:to>
      <cdr:x>0.98327</cdr:x>
      <cdr:y>0.14577</cdr:y>
    </cdr:to>
    <cdr:sp macro="" textlink="work!$F$317">
      <cdr:nvSpPr>
        <cdr:cNvPr id="3" name="Tekstiruutu 1"/>
        <cdr:cNvSpPr txBox="1"/>
      </cdr:nvSpPr>
      <cdr:spPr>
        <a:xfrm xmlns:a="http://schemas.openxmlformats.org/drawingml/2006/main">
          <a:off x="4791428" y="984259"/>
          <a:ext cx="1860550" cy="280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22A4AF5-7FCC-407A-B81B-89847F02E2D1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0.71493</cdr:x>
      <cdr:y>0.13493</cdr:y>
    </cdr:from>
    <cdr:to>
      <cdr:x>0.99171</cdr:x>
      <cdr:y>0.19178</cdr:y>
    </cdr:to>
    <cdr:sp macro="" textlink="work!$F$331">
      <cdr:nvSpPr>
        <cdr:cNvPr id="2" name="Tekstiruutu 1"/>
        <cdr:cNvSpPr txBox="1"/>
      </cdr:nvSpPr>
      <cdr:spPr>
        <a:xfrm xmlns:a="http://schemas.openxmlformats.org/drawingml/2006/main">
          <a:off x="4927600" y="648709"/>
          <a:ext cx="1907674" cy="273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B98CE41-F3F9-4A9B-B7AA-540A1A84FA35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0.40524</cdr:x>
      <cdr:y>0.09386</cdr:y>
    </cdr:from>
    <cdr:to>
      <cdr:x>0.77629</cdr:x>
      <cdr:y>0.13058</cdr:y>
    </cdr:to>
    <cdr:sp macro="" textlink="work!$F$332">
      <cdr:nvSpPr>
        <cdr:cNvPr id="3" name="Tekstiruutu 2"/>
        <cdr:cNvSpPr txBox="1"/>
      </cdr:nvSpPr>
      <cdr:spPr>
        <a:xfrm xmlns:a="http://schemas.openxmlformats.org/drawingml/2006/main">
          <a:off x="2793056" y="451282"/>
          <a:ext cx="2557421" cy="176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3AD9C13-C85F-41DB-9349-05E879134C7B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on samaa mieltä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0.72289</cdr:x>
      <cdr:y>0.07106</cdr:y>
    </cdr:from>
    <cdr:to>
      <cdr:x>1</cdr:x>
      <cdr:y>0.0994</cdr:y>
    </cdr:to>
    <cdr:sp macro="" textlink="work!$F$13">
      <cdr:nvSpPr>
        <cdr:cNvPr id="2" name="Tekstiruutu 1"/>
        <cdr:cNvSpPr txBox="1"/>
      </cdr:nvSpPr>
      <cdr:spPr>
        <a:xfrm xmlns:a="http://schemas.openxmlformats.org/drawingml/2006/main">
          <a:off x="4920031" y="616046"/>
          <a:ext cx="1886026" cy="245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EC5A2DE-B367-4902-84B8-4AE61ACF4D40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0.18689</cdr:x>
      <cdr:y>0.05368</cdr:y>
    </cdr:from>
    <cdr:to>
      <cdr:x>0.78536</cdr:x>
      <cdr:y>0.08063</cdr:y>
    </cdr:to>
    <cdr:sp macro="" textlink="work!$F$14">
      <cdr:nvSpPr>
        <cdr:cNvPr id="3" name="Tekstiruutu 2"/>
        <cdr:cNvSpPr txBox="1"/>
      </cdr:nvSpPr>
      <cdr:spPr>
        <a:xfrm xmlns:a="http://schemas.openxmlformats.org/drawingml/2006/main">
          <a:off x="1271983" y="465419"/>
          <a:ext cx="4073221" cy="233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AC52C4C-41FD-4753-9C06-EE751F0AE8D7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valinnut kolmen tärkeimmän asian joukkoon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0.70714</cdr:x>
      <cdr:y>0.09857</cdr:y>
    </cdr:from>
    <cdr:to>
      <cdr:x>0.98446</cdr:x>
      <cdr:y>0.12185</cdr:y>
    </cdr:to>
    <cdr:sp macro="" textlink="work!$F$342">
      <cdr:nvSpPr>
        <cdr:cNvPr id="2" name="Tekstiruutu 1"/>
        <cdr:cNvSpPr txBox="1"/>
      </cdr:nvSpPr>
      <cdr:spPr>
        <a:xfrm xmlns:a="http://schemas.openxmlformats.org/drawingml/2006/main">
          <a:off x="4873914" y="844967"/>
          <a:ext cx="1911350" cy="199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52E2A4A-DF1F-4675-85F1-103180D168BE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0.20573</cdr:x>
      <cdr:y>0.07359</cdr:y>
    </cdr:from>
    <cdr:to>
      <cdr:x>0.759</cdr:x>
      <cdr:y>0.10439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1422400" y="667435"/>
          <a:ext cx="382524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0.28582</cdr:x>
      <cdr:y>0.07135</cdr:y>
    </cdr:from>
    <cdr:to>
      <cdr:x>0.76047</cdr:x>
      <cdr:y>0.09935</cdr:y>
    </cdr:to>
    <cdr:sp macro="" textlink="work!$F$343">
      <cdr:nvSpPr>
        <cdr:cNvPr id="4" name="Tekstiruutu 3"/>
        <cdr:cNvSpPr txBox="1"/>
      </cdr:nvSpPr>
      <cdr:spPr>
        <a:xfrm xmlns:a="http://schemas.openxmlformats.org/drawingml/2006/main">
          <a:off x="1976120" y="647115"/>
          <a:ext cx="328168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A46B37B-E6CD-47EC-863E-CC1D08078D1F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tärkeänä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0.7255</cdr:x>
      <cdr:y>0.11919</cdr:y>
    </cdr:from>
    <cdr:to>
      <cdr:x>0.9945</cdr:x>
      <cdr:y>0.17619</cdr:y>
    </cdr:to>
    <cdr:sp macro="" textlink="work!$F$196">
      <cdr:nvSpPr>
        <cdr:cNvPr id="2" name="Tekstiruutu 1"/>
        <cdr:cNvSpPr txBox="1"/>
      </cdr:nvSpPr>
      <cdr:spPr>
        <a:xfrm xmlns:a="http://schemas.openxmlformats.org/drawingml/2006/main">
          <a:off x="5022850" y="522246"/>
          <a:ext cx="1862365" cy="249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05A84EC-5D35-4861-8121-BDCCB0165D00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0.70802</cdr:x>
      <cdr:y>0.14732</cdr:y>
    </cdr:from>
    <cdr:to>
      <cdr:x>0.98274</cdr:x>
      <cdr:y>0.23061</cdr:y>
    </cdr:to>
    <cdr:sp macro="" textlink="work!$F$211">
      <cdr:nvSpPr>
        <cdr:cNvPr id="2" name="Tekstiruutu 1"/>
        <cdr:cNvSpPr txBox="1"/>
      </cdr:nvSpPr>
      <cdr:spPr>
        <a:xfrm xmlns:a="http://schemas.openxmlformats.org/drawingml/2006/main">
          <a:off x="4858283" y="458975"/>
          <a:ext cx="1885122" cy="259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39EFDD8-DF94-447A-AC20-B8155D9BDD3D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0.21797</cdr:x>
      <cdr:y>0.15695</cdr:y>
    </cdr:from>
    <cdr:to>
      <cdr:x>0.77876</cdr:x>
      <cdr:y>0.22217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1495670" y="488950"/>
          <a:ext cx="3848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0.71857</cdr:x>
      <cdr:y>0.13687</cdr:y>
    </cdr:from>
    <cdr:to>
      <cdr:x>0.98901</cdr:x>
      <cdr:y>0.23267</cdr:y>
    </cdr:to>
    <cdr:sp macro="" textlink="work!$F$216">
      <cdr:nvSpPr>
        <cdr:cNvPr id="2" name="Tekstiruutu 1"/>
        <cdr:cNvSpPr txBox="1"/>
      </cdr:nvSpPr>
      <cdr:spPr>
        <a:xfrm xmlns:a="http://schemas.openxmlformats.org/drawingml/2006/main">
          <a:off x="4983349" y="417437"/>
          <a:ext cx="1875560" cy="292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DAC3B10-7ADB-46CB-82CD-98C3580D6526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0.73423</cdr:x>
      <cdr:y>0.14807</cdr:y>
    </cdr:from>
    <cdr:to>
      <cdr:x>0.9978</cdr:x>
      <cdr:y>0.21596</cdr:y>
    </cdr:to>
    <cdr:sp macro="" textlink="work!$F$337">
      <cdr:nvSpPr>
        <cdr:cNvPr id="2" name="Tekstiruutu 1"/>
        <cdr:cNvSpPr txBox="1"/>
      </cdr:nvSpPr>
      <cdr:spPr>
        <a:xfrm xmlns:a="http://schemas.openxmlformats.org/drawingml/2006/main">
          <a:off x="5067301" y="544915"/>
          <a:ext cx="1819060" cy="249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92E5E14-FA19-4A76-B829-22A0B5A77EAF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0.16701</cdr:x>
      <cdr:y>0.06286</cdr:y>
    </cdr:from>
    <cdr:to>
      <cdr:x>0.89884</cdr:x>
      <cdr:y>0.0859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116146" y="555561"/>
          <a:ext cx="4890915" cy="2036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</a:rPr>
            <a:t>(% vastanneista käyttänyt ko. palvelua viimeisen 12 kuukauden aikana)</a:t>
          </a:r>
        </a:p>
      </cdr:txBody>
    </cdr:sp>
  </cdr:relSizeAnchor>
  <cdr:relSizeAnchor xmlns:cdr="http://schemas.openxmlformats.org/drawingml/2006/chartDrawing">
    <cdr:from>
      <cdr:x>0.69853</cdr:x>
      <cdr:y>0.08547</cdr:y>
    </cdr:from>
    <cdr:to>
      <cdr:x>0.99403</cdr:x>
      <cdr:y>0.10785</cdr:y>
    </cdr:to>
    <cdr:sp macro="" textlink="work!$F$48">
      <cdr:nvSpPr>
        <cdr:cNvPr id="3" name="Tekstiruutu 1"/>
        <cdr:cNvSpPr txBox="1"/>
      </cdr:nvSpPr>
      <cdr:spPr>
        <a:xfrm xmlns:a="http://schemas.openxmlformats.org/drawingml/2006/main">
          <a:off x="4668355" y="755348"/>
          <a:ext cx="1974850" cy="197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D0D3D26-0660-4550-B569-8AC78CFC5755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0.70065</cdr:x>
      <cdr:y>0.09717</cdr:y>
    </cdr:from>
    <cdr:to>
      <cdr:x>0.99908</cdr:x>
      <cdr:y>0.11957</cdr:y>
    </cdr:to>
    <cdr:sp macro="" textlink="work!$F$92">
      <cdr:nvSpPr>
        <cdr:cNvPr id="2" name="Tekstiruutu 1"/>
        <cdr:cNvSpPr txBox="1"/>
      </cdr:nvSpPr>
      <cdr:spPr>
        <a:xfrm xmlns:a="http://schemas.openxmlformats.org/drawingml/2006/main">
          <a:off x="4824625" y="816054"/>
          <a:ext cx="2054971" cy="188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8E63432-E41D-46B9-BA57-16C88018D60A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0.09418</cdr:x>
      <cdr:y>0.10149</cdr:y>
    </cdr:from>
    <cdr:to>
      <cdr:x>0.99111</cdr:x>
      <cdr:y>0.12935</cdr:y>
    </cdr:to>
    <cdr:sp macro="" textlink="work!$F$141">
      <cdr:nvSpPr>
        <cdr:cNvPr id="2" name="Tekstiruutu 1"/>
        <cdr:cNvSpPr txBox="1"/>
      </cdr:nvSpPr>
      <cdr:spPr>
        <a:xfrm xmlns:a="http://schemas.openxmlformats.org/drawingml/2006/main">
          <a:off x="649464" y="800433"/>
          <a:ext cx="6185318" cy="219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B6D6CBA-941C-4C44-A21C-102B67028F7A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palvelua hyvin saatavana ja saavutettavana (4+5) (pl eos-vastaukset)</a:t>
          </a:fld>
          <a:endParaRPr lang="fi-FI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0.68508</cdr:x>
      <cdr:y>0.13117</cdr:y>
    </cdr:from>
    <cdr:to>
      <cdr:x>0.95304</cdr:x>
      <cdr:y>0.15922</cdr:y>
    </cdr:to>
    <cdr:sp macro="" textlink="work!$F$140">
      <cdr:nvSpPr>
        <cdr:cNvPr id="3" name="Tekstiruutu 1"/>
        <cdr:cNvSpPr txBox="1"/>
      </cdr:nvSpPr>
      <cdr:spPr>
        <a:xfrm xmlns:a="http://schemas.openxmlformats.org/drawingml/2006/main">
          <a:off x="4724401" y="1034490"/>
          <a:ext cx="1847849" cy="221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F3FC910-138A-441E-BDB5-472333DBEAED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0.16191</cdr:x>
      <cdr:y>0.06942</cdr:y>
    </cdr:from>
    <cdr:to>
      <cdr:x>0.8706</cdr:x>
      <cdr:y>0.09306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103167" y="597961"/>
          <a:ext cx="4828696" cy="203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</a:rPr>
            <a:t>(% vastanneista käyttänyt ko. palvelua viimeisen 12 kuukauden aikana)</a:t>
          </a:r>
        </a:p>
      </cdr:txBody>
    </cdr:sp>
  </cdr:relSizeAnchor>
  <cdr:relSizeAnchor xmlns:cdr="http://schemas.openxmlformats.org/drawingml/2006/chartDrawing">
    <cdr:from>
      <cdr:x>0.70363</cdr:x>
      <cdr:y>0.09062</cdr:y>
    </cdr:from>
    <cdr:to>
      <cdr:x>1</cdr:x>
      <cdr:y>0.12164</cdr:y>
    </cdr:to>
    <cdr:sp macro="" textlink="work!$F$48">
      <cdr:nvSpPr>
        <cdr:cNvPr id="3" name="Tekstiruutu 1"/>
        <cdr:cNvSpPr txBox="1"/>
      </cdr:nvSpPr>
      <cdr:spPr>
        <a:xfrm xmlns:a="http://schemas.openxmlformats.org/drawingml/2006/main">
          <a:off x="4794251" y="780562"/>
          <a:ext cx="2019300" cy="267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DBDE8D1-6324-4762-9AFF-A8B27C77BC33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0.71689</cdr:x>
      <cdr:y>0.09328</cdr:y>
    </cdr:from>
    <cdr:to>
      <cdr:x>0.98788</cdr:x>
      <cdr:y>0.12978</cdr:y>
    </cdr:to>
    <cdr:sp macro="" textlink="work!$F$92">
      <cdr:nvSpPr>
        <cdr:cNvPr id="2" name="Tekstiruutu 1"/>
        <cdr:cNvSpPr txBox="1"/>
      </cdr:nvSpPr>
      <cdr:spPr>
        <a:xfrm xmlns:a="http://schemas.openxmlformats.org/drawingml/2006/main">
          <a:off x="4884553" y="800673"/>
          <a:ext cx="1846448" cy="313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CB7688C-DA2E-49B8-ACC4-56C0CF1E0473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0.19711</cdr:x>
      <cdr:y>0.13096</cdr:y>
    </cdr:from>
    <cdr:to>
      <cdr:x>0.72464</cdr:x>
      <cdr:y>0.18939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350010" y="554990"/>
          <a:ext cx="3613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0.72597</cdr:x>
      <cdr:y>0.09205</cdr:y>
    </cdr:from>
    <cdr:to>
      <cdr:x>1</cdr:x>
      <cdr:y>0.1642</cdr:y>
    </cdr:to>
    <cdr:sp macro="" textlink="work!$F$24">
      <cdr:nvSpPr>
        <cdr:cNvPr id="3" name="Tekstiruutu 1"/>
        <cdr:cNvSpPr txBox="1"/>
      </cdr:nvSpPr>
      <cdr:spPr>
        <a:xfrm xmlns:a="http://schemas.openxmlformats.org/drawingml/2006/main">
          <a:off x="4976313" y="319102"/>
          <a:ext cx="1878363" cy="250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AC491D3-3D1C-4B5B-8AC5-D925828CFB12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0.71558</cdr:x>
      <cdr:y>0.25738</cdr:y>
    </cdr:from>
    <cdr:to>
      <cdr:x>0.99812</cdr:x>
      <cdr:y>0.34716</cdr:y>
    </cdr:to>
    <cdr:sp macro="" textlink="work!$F$10">
      <cdr:nvSpPr>
        <cdr:cNvPr id="2" name="Tekstiruutu 1"/>
        <cdr:cNvSpPr txBox="1"/>
      </cdr:nvSpPr>
      <cdr:spPr>
        <a:xfrm xmlns:a="http://schemas.openxmlformats.org/drawingml/2006/main">
          <a:off x="4825635" y="830245"/>
          <a:ext cx="1905365" cy="289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FD3B57F-FC06-4C84-856B-17A21D7B97D9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0.04049</cdr:x>
      <cdr:y>0.13761</cdr:y>
    </cdr:from>
    <cdr:to>
      <cdr:x>0.77307</cdr:x>
      <cdr:y>0.22248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273050" y="381000"/>
          <a:ext cx="49403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0.32398</cdr:x>
      <cdr:y>0.05233</cdr:y>
    </cdr:from>
    <cdr:to>
      <cdr:x>0.82185</cdr:x>
      <cdr:y>0.06458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2214880" y="461010"/>
          <a:ext cx="3403600" cy="107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0.68718</cdr:x>
      <cdr:y>0.10183</cdr:y>
    </cdr:from>
    <cdr:to>
      <cdr:x>0.98886</cdr:x>
      <cdr:y>0.12829</cdr:y>
    </cdr:to>
    <cdr:sp macro="" textlink="work!$F$27">
      <cdr:nvSpPr>
        <cdr:cNvPr id="3" name="Tekstiruutu 1"/>
        <cdr:cNvSpPr txBox="1"/>
      </cdr:nvSpPr>
      <cdr:spPr>
        <a:xfrm xmlns:a="http://schemas.openxmlformats.org/drawingml/2006/main">
          <a:off x="4700189" y="896408"/>
          <a:ext cx="2063440" cy="232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A77DBAA-C5A0-43C2-9923-833BEC47A941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0.20011</cdr:x>
      <cdr:y>0.07536</cdr:y>
    </cdr:from>
    <cdr:to>
      <cdr:x>0.81382</cdr:x>
      <cdr:y>0.09916</cdr:y>
    </cdr:to>
    <cdr:sp macro="" textlink="work!$F$28">
      <cdr:nvSpPr>
        <cdr:cNvPr id="4" name="Tekstiruutu 3"/>
        <cdr:cNvSpPr txBox="1"/>
      </cdr:nvSpPr>
      <cdr:spPr>
        <a:xfrm xmlns:a="http://schemas.openxmlformats.org/drawingml/2006/main">
          <a:off x="1368744" y="663338"/>
          <a:ext cx="4197672" cy="209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1643C83-427A-4490-858B-7493A50F13DB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samaistuu melko tai erittäin paljon (4+5)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0.72156</cdr:x>
      <cdr:y>0.13641</cdr:y>
    </cdr:from>
    <cdr:to>
      <cdr:x>1</cdr:x>
      <cdr:y>0.21923</cdr:y>
    </cdr:to>
    <cdr:sp macro="" textlink="work!$F$39">
      <cdr:nvSpPr>
        <cdr:cNvPr id="2" name="Tekstiruutu 1"/>
        <cdr:cNvSpPr txBox="1"/>
      </cdr:nvSpPr>
      <cdr:spPr>
        <a:xfrm xmlns:a="http://schemas.openxmlformats.org/drawingml/2006/main">
          <a:off x="4956464" y="346016"/>
          <a:ext cx="1912648" cy="210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7147ABD6-CFAD-42B3-8C1E-E5C124130CCE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0.18268</cdr:x>
      <cdr:y>0.05898</cdr:y>
    </cdr:from>
    <cdr:to>
      <cdr:x>0.92532</cdr:x>
      <cdr:y>0.08677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1251369" y="507366"/>
          <a:ext cx="5087160" cy="239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</a:rPr>
            <a:t>(% vastanneista käyttänyt ko. palvelua viimeisen 12 kuukauden aikana)</a:t>
          </a:r>
        </a:p>
      </cdr:txBody>
    </cdr:sp>
  </cdr:relSizeAnchor>
  <cdr:relSizeAnchor xmlns:cdr="http://schemas.openxmlformats.org/drawingml/2006/chartDrawing">
    <cdr:from>
      <cdr:x>0.71126</cdr:x>
      <cdr:y>0.08427</cdr:y>
    </cdr:from>
    <cdr:to>
      <cdr:x>1</cdr:x>
      <cdr:y>0.1115</cdr:y>
    </cdr:to>
    <cdr:sp macro="" textlink="work!$F$48">
      <cdr:nvSpPr>
        <cdr:cNvPr id="3" name="Tekstiruutu 1"/>
        <cdr:cNvSpPr txBox="1"/>
      </cdr:nvSpPr>
      <cdr:spPr>
        <a:xfrm xmlns:a="http://schemas.openxmlformats.org/drawingml/2006/main">
          <a:off x="4872175" y="724950"/>
          <a:ext cx="1977887" cy="234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2F2332-DC07-48FF-869E-BE3FC45FA3DA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0.12903</cdr:x>
      <cdr:y>0.0971</cdr:y>
    </cdr:from>
    <cdr:to>
      <cdr:x>0.93214</cdr:x>
      <cdr:y>0.13821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891958" y="604326"/>
          <a:ext cx="5551714" cy="255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  <cdr:relSizeAnchor xmlns:cdr="http://schemas.openxmlformats.org/drawingml/2006/chartDrawing">
    <cdr:from>
      <cdr:x>0.15995</cdr:x>
      <cdr:y>0.08229</cdr:y>
    </cdr:from>
    <cdr:to>
      <cdr:x>0.94101</cdr:x>
      <cdr:y>0.12339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1102659" y="613282"/>
          <a:ext cx="5384295" cy="306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(% vastanneista käyttänyt ko. palvelua </a:t>
          </a:r>
          <a:r>
            <a:rPr lang="fi-FI" sz="10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viimeisen</a:t>
          </a:r>
          <a:r>
            <a:rPr lang="fi-FI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 12 kuukauden aikana)</a:t>
          </a:r>
          <a:endParaRPr lang="fi-FI" sz="1000">
            <a:solidFill>
              <a:schemeClr val="tx1">
                <a:lumMod val="65000"/>
                <a:lumOff val="35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0.67815</cdr:x>
      <cdr:y>0.12127</cdr:y>
    </cdr:from>
    <cdr:to>
      <cdr:x>0.98803</cdr:x>
      <cdr:y>0.15949</cdr:y>
    </cdr:to>
    <cdr:sp macro="" textlink="work!$F$48">
      <cdr:nvSpPr>
        <cdr:cNvPr id="4" name="Tekstiruutu 1"/>
        <cdr:cNvSpPr txBox="1"/>
      </cdr:nvSpPr>
      <cdr:spPr>
        <a:xfrm xmlns:a="http://schemas.openxmlformats.org/drawingml/2006/main">
          <a:off x="4674871" y="903720"/>
          <a:ext cx="2136153" cy="28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9FEB855-79D1-4022-8C9E-433A0E6268A8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0.68175</cdr:x>
      <cdr:y>0.10028</cdr:y>
    </cdr:from>
    <cdr:to>
      <cdr:x>0.99251</cdr:x>
      <cdr:y>0.11778</cdr:y>
    </cdr:to>
    <cdr:sp macro="" textlink="work!$F$92">
      <cdr:nvSpPr>
        <cdr:cNvPr id="2" name="Tekstiruutu 1"/>
        <cdr:cNvSpPr txBox="1"/>
      </cdr:nvSpPr>
      <cdr:spPr>
        <a:xfrm xmlns:a="http://schemas.openxmlformats.org/drawingml/2006/main">
          <a:off x="4624466" y="827663"/>
          <a:ext cx="2107952" cy="14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2B60E0F-388D-45E5-AE73-D122EB312AAA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Askola: N = max. 119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0.1001</cdr:x>
      <cdr:y>0.07435</cdr:y>
    </cdr:from>
    <cdr:to>
      <cdr:x>0.95989</cdr:x>
      <cdr:y>0.12358</cdr:y>
    </cdr:to>
    <cdr:sp macro="" textlink="work!$F$93">
      <cdr:nvSpPr>
        <cdr:cNvPr id="3" name="Tekstiruutu 2"/>
        <cdr:cNvSpPr txBox="1"/>
      </cdr:nvSpPr>
      <cdr:spPr>
        <a:xfrm xmlns:a="http://schemas.openxmlformats.org/drawingml/2006/main">
          <a:off x="678974" y="613705"/>
          <a:ext cx="5832143" cy="40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B285CC2-FE59-413D-AD15-3C1E6451EF69}" type="TxLink"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pPr/>
            <a:t>% vastanneista pitää palvelua melko tai erittäin hyvin hoidettuna (4+5) (pl eos-vastaukset)</a:t>
          </a:fld>
          <a:endParaRPr lang="fi-FI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takehitys%20ja%20Tutkimus/ARTTU2-TUTKIMUSOHJELMA/Osaprojekti_Toimintaymp&#228;rist&#246;analyysi%202014-15/Eero-sotetoimintaymp&#228;rist&#246;/Sotehallinto-seuran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nta_2014"/>
      <sheetName val="Kuntayhtymä_2014"/>
      <sheetName val="Kuntayhtymä_2014 (2)"/>
      <sheetName val="Vastuukunta_2014"/>
      <sheetName val="Vastuukunta_2014 (2)"/>
      <sheetName val="Terveyskeskus_2014"/>
      <sheetName val="Kunta_tk_shp_2014"/>
      <sheetName val="Kaikki_2005"/>
      <sheetName val="Kaikki_2006"/>
      <sheetName val="Kaikki_2007"/>
      <sheetName val="Kaikki_2009"/>
      <sheetName val="Kaikki_2010"/>
      <sheetName val="Kaikki_2011"/>
      <sheetName val="Kaikki_2012"/>
      <sheetName val="Kaikki_2013"/>
      <sheetName val="Kaikki_2014"/>
      <sheetName val="Kaikki_2015"/>
      <sheetName val="arttu-kunnat 2006"/>
      <sheetName val="arttu-kunnat 2007"/>
      <sheetName val="arttu-kunnat 2009"/>
      <sheetName val="arttu-kunnat 2010"/>
      <sheetName val="arttu-kunnat 2011"/>
      <sheetName val="arttu-kunnat 2012"/>
      <sheetName val="arttu-kunnat 2013"/>
      <sheetName val="arttu-kunnat 2014"/>
      <sheetName val="arttu-kunnat 2015"/>
      <sheetName val="kunnittain"/>
      <sheetName val="Muutokset"/>
      <sheetName val="hallintorakenteet"/>
      <sheetName val="ARTTU-kunnat"/>
      <sheetName val="vaesto"/>
      <sheetName val="Tau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Akaa</v>
          </cell>
          <cell r="B2">
            <v>17052</v>
          </cell>
        </row>
        <row r="3">
          <cell r="A3" t="str">
            <v>Alajärvi</v>
          </cell>
          <cell r="B3">
            <v>10171</v>
          </cell>
        </row>
        <row r="4">
          <cell r="A4" t="str">
            <v>Alavieska</v>
          </cell>
          <cell r="B4">
            <v>2687</v>
          </cell>
        </row>
        <row r="5">
          <cell r="A5" t="str">
            <v>Alavus</v>
          </cell>
          <cell r="B5">
            <v>12103</v>
          </cell>
        </row>
        <row r="6">
          <cell r="A6" t="str">
            <v>Asikkala</v>
          </cell>
          <cell r="B6">
            <v>8374</v>
          </cell>
        </row>
        <row r="7">
          <cell r="A7" t="str">
            <v>Askola</v>
          </cell>
          <cell r="B7">
            <v>5064</v>
          </cell>
        </row>
        <row r="8">
          <cell r="A8" t="str">
            <v>Aura</v>
          </cell>
          <cell r="B8">
            <v>3982</v>
          </cell>
        </row>
        <row r="9">
          <cell r="A9" t="str">
            <v>Brändö</v>
          </cell>
          <cell r="B9">
            <v>474</v>
          </cell>
        </row>
        <row r="10">
          <cell r="A10" t="str">
            <v>Eckerö</v>
          </cell>
          <cell r="B10">
            <v>932</v>
          </cell>
        </row>
        <row r="11">
          <cell r="A11" t="str">
            <v>Enonkoski</v>
          </cell>
          <cell r="B11">
            <v>1503</v>
          </cell>
        </row>
        <row r="12">
          <cell r="A12" t="str">
            <v>Enontekiö</v>
          </cell>
          <cell r="B12">
            <v>1890</v>
          </cell>
        </row>
        <row r="13">
          <cell r="A13" t="str">
            <v>Espoo</v>
          </cell>
          <cell r="B13">
            <v>265543</v>
          </cell>
        </row>
        <row r="14">
          <cell r="A14" t="str">
            <v>Eura</v>
          </cell>
          <cell r="B14">
            <v>12314</v>
          </cell>
        </row>
        <row r="15">
          <cell r="A15" t="str">
            <v>Eurajoki</v>
          </cell>
          <cell r="B15">
            <v>5954</v>
          </cell>
        </row>
        <row r="16">
          <cell r="A16" t="str">
            <v>Evijärvi</v>
          </cell>
          <cell r="B16">
            <v>2651</v>
          </cell>
        </row>
        <row r="17">
          <cell r="A17" t="str">
            <v>Finström</v>
          </cell>
          <cell r="B17">
            <v>2535</v>
          </cell>
        </row>
        <row r="18">
          <cell r="A18" t="str">
            <v>Forssa</v>
          </cell>
          <cell r="B18">
            <v>17521</v>
          </cell>
        </row>
        <row r="19">
          <cell r="A19" t="str">
            <v>Föglö</v>
          </cell>
          <cell r="B19">
            <v>568</v>
          </cell>
        </row>
        <row r="20">
          <cell r="A20" t="str">
            <v>Geta</v>
          </cell>
          <cell r="B20">
            <v>494</v>
          </cell>
        </row>
        <row r="21">
          <cell r="A21" t="str">
            <v>Haapajärvi</v>
          </cell>
          <cell r="B21">
            <v>7479</v>
          </cell>
        </row>
        <row r="22">
          <cell r="A22" t="str">
            <v>Haapavesi</v>
          </cell>
          <cell r="B22">
            <v>7175</v>
          </cell>
        </row>
        <row r="23">
          <cell r="A23" t="str">
            <v>Hailuoto</v>
          </cell>
          <cell r="B23">
            <v>997</v>
          </cell>
        </row>
        <row r="24">
          <cell r="A24" t="str">
            <v>Halsua</v>
          </cell>
          <cell r="B24">
            <v>1222</v>
          </cell>
        </row>
        <row r="25">
          <cell r="A25" t="str">
            <v>Hamina</v>
          </cell>
          <cell r="B25">
            <v>21061</v>
          </cell>
        </row>
        <row r="26">
          <cell r="A26" t="str">
            <v>Hammarland</v>
          </cell>
          <cell r="B26">
            <v>1531</v>
          </cell>
        </row>
        <row r="27">
          <cell r="A27" t="str">
            <v>Hankasalmi</v>
          </cell>
          <cell r="B27">
            <v>5307</v>
          </cell>
        </row>
        <row r="28">
          <cell r="A28" t="str">
            <v>Hanko</v>
          </cell>
          <cell r="B28">
            <v>9021</v>
          </cell>
        </row>
        <row r="29">
          <cell r="A29" t="str">
            <v>Harjavalta</v>
          </cell>
          <cell r="B29">
            <v>7366</v>
          </cell>
        </row>
        <row r="30">
          <cell r="A30" t="str">
            <v>Hartola</v>
          </cell>
          <cell r="B30">
            <v>3071</v>
          </cell>
        </row>
        <row r="31">
          <cell r="A31" t="str">
            <v>Hattula</v>
          </cell>
          <cell r="B31">
            <v>9738</v>
          </cell>
        </row>
        <row r="32">
          <cell r="A32" t="str">
            <v>Hausjärvi</v>
          </cell>
          <cell r="B32">
            <v>8815</v>
          </cell>
        </row>
        <row r="33">
          <cell r="A33" t="str">
            <v>Heinola</v>
          </cell>
          <cell r="B33">
            <v>19695</v>
          </cell>
        </row>
        <row r="34">
          <cell r="A34" t="str">
            <v>Heinävesi</v>
          </cell>
          <cell r="B34">
            <v>3638</v>
          </cell>
        </row>
        <row r="35">
          <cell r="A35" t="str">
            <v>Helsinki</v>
          </cell>
          <cell r="B35">
            <v>620715</v>
          </cell>
        </row>
        <row r="36">
          <cell r="A36" t="str">
            <v>Hirvensalmi</v>
          </cell>
          <cell r="B36">
            <v>2326</v>
          </cell>
        </row>
        <row r="37">
          <cell r="A37" t="str">
            <v>Hollola</v>
          </cell>
          <cell r="B37">
            <v>21892</v>
          </cell>
        </row>
        <row r="38">
          <cell r="A38" t="str">
            <v>Honkajoki</v>
          </cell>
          <cell r="B38">
            <v>1788</v>
          </cell>
        </row>
        <row r="39">
          <cell r="A39" t="str">
            <v>Huittinen</v>
          </cell>
          <cell r="B39">
            <v>10487</v>
          </cell>
        </row>
        <row r="40">
          <cell r="A40" t="str">
            <v>Humppila</v>
          </cell>
          <cell r="B40">
            <v>2440</v>
          </cell>
        </row>
        <row r="41">
          <cell r="A41" t="str">
            <v>Hyrynsalmi</v>
          </cell>
          <cell r="B41">
            <v>2490</v>
          </cell>
        </row>
        <row r="42">
          <cell r="A42" t="str">
            <v>Hyvinkää</v>
          </cell>
          <cell r="B42">
            <v>46366</v>
          </cell>
        </row>
        <row r="43">
          <cell r="A43" t="str">
            <v>Hämeenkoski</v>
          </cell>
          <cell r="B43">
            <v>2104</v>
          </cell>
        </row>
        <row r="44">
          <cell r="A44" t="str">
            <v>Hämeenkyrö</v>
          </cell>
          <cell r="B44">
            <v>10610</v>
          </cell>
        </row>
        <row r="45">
          <cell r="A45" t="str">
            <v>Hämeenlinna</v>
          </cell>
          <cell r="B45">
            <v>67976</v>
          </cell>
        </row>
        <row r="46">
          <cell r="A46" t="str">
            <v>Ii</v>
          </cell>
          <cell r="B46">
            <v>9666</v>
          </cell>
        </row>
        <row r="47">
          <cell r="A47" t="str">
            <v>Iisalmi</v>
          </cell>
          <cell r="B47">
            <v>22115</v>
          </cell>
        </row>
        <row r="48">
          <cell r="A48" t="str">
            <v>Iitti</v>
          </cell>
          <cell r="B48">
            <v>6950</v>
          </cell>
        </row>
        <row r="49">
          <cell r="A49" t="str">
            <v>Ikaalinen</v>
          </cell>
          <cell r="B49">
            <v>7298</v>
          </cell>
        </row>
        <row r="50">
          <cell r="A50" t="str">
            <v>Ilmajoki</v>
          </cell>
          <cell r="B50">
            <v>12181</v>
          </cell>
        </row>
        <row r="51">
          <cell r="A51" t="str">
            <v>Ilomantsi</v>
          </cell>
          <cell r="B51">
            <v>5504</v>
          </cell>
        </row>
        <row r="52">
          <cell r="A52" t="str">
            <v>Imatra</v>
          </cell>
          <cell r="B52">
            <v>28037</v>
          </cell>
        </row>
        <row r="53">
          <cell r="A53" t="str">
            <v>Inari</v>
          </cell>
          <cell r="B53">
            <v>6814</v>
          </cell>
        </row>
        <row r="54">
          <cell r="A54" t="str">
            <v>Inkoo</v>
          </cell>
          <cell r="B54">
            <v>5560</v>
          </cell>
        </row>
        <row r="55">
          <cell r="A55" t="str">
            <v>Isojoki</v>
          </cell>
          <cell r="B55">
            <v>2198</v>
          </cell>
        </row>
        <row r="56">
          <cell r="A56" t="str">
            <v>Isokyrö</v>
          </cell>
          <cell r="B56">
            <v>4842</v>
          </cell>
        </row>
        <row r="57">
          <cell r="A57" t="str">
            <v>Jalasjärvi</v>
          </cell>
          <cell r="B57">
            <v>7885</v>
          </cell>
        </row>
        <row r="58">
          <cell r="A58" t="str">
            <v>Janakkala</v>
          </cell>
          <cell r="B58">
            <v>16840</v>
          </cell>
        </row>
        <row r="59">
          <cell r="A59" t="str">
            <v>Joensuu</v>
          </cell>
          <cell r="B59">
            <v>75041</v>
          </cell>
        </row>
        <row r="60">
          <cell r="A60" t="str">
            <v>Jokioinen</v>
          </cell>
          <cell r="B60">
            <v>5516</v>
          </cell>
        </row>
        <row r="61">
          <cell r="A61" t="str">
            <v>Jomala</v>
          </cell>
          <cell r="B61">
            <v>4560</v>
          </cell>
        </row>
        <row r="62">
          <cell r="A62" t="str">
            <v>Joroinen</v>
          </cell>
          <cell r="B62">
            <v>5178</v>
          </cell>
        </row>
        <row r="63">
          <cell r="A63" t="str">
            <v>Joutsa</v>
          </cell>
          <cell r="B63">
            <v>4782</v>
          </cell>
        </row>
        <row r="64">
          <cell r="A64" t="str">
            <v>Juankoski</v>
          </cell>
          <cell r="B64">
            <v>4882</v>
          </cell>
        </row>
        <row r="65">
          <cell r="A65" t="str">
            <v>Juuka</v>
          </cell>
          <cell r="B65">
            <v>5140</v>
          </cell>
        </row>
        <row r="66">
          <cell r="A66" t="str">
            <v>Juupajoki</v>
          </cell>
          <cell r="B66">
            <v>2033</v>
          </cell>
        </row>
        <row r="67">
          <cell r="A67" t="str">
            <v>Juva</v>
          </cell>
          <cell r="B67">
            <v>6616</v>
          </cell>
        </row>
        <row r="68">
          <cell r="A68" t="str">
            <v>Jyväskylä</v>
          </cell>
          <cell r="B68">
            <v>135780</v>
          </cell>
        </row>
        <row r="69">
          <cell r="A69" t="str">
            <v>Jämijärvi</v>
          </cell>
          <cell r="B69">
            <v>1997</v>
          </cell>
        </row>
        <row r="70">
          <cell r="A70" t="str">
            <v>Jämsä</v>
          </cell>
          <cell r="B70">
            <v>21808</v>
          </cell>
        </row>
        <row r="71">
          <cell r="A71" t="str">
            <v>Järvenpää</v>
          </cell>
          <cell r="B71">
            <v>40390</v>
          </cell>
        </row>
        <row r="72">
          <cell r="A72" t="str">
            <v>Kaarina</v>
          </cell>
          <cell r="B72">
            <v>32148</v>
          </cell>
        </row>
        <row r="73">
          <cell r="A73" t="str">
            <v>Kaavi</v>
          </cell>
          <cell r="B73">
            <v>3214</v>
          </cell>
        </row>
        <row r="74">
          <cell r="A74" t="str">
            <v>Kajaani</v>
          </cell>
          <cell r="B74">
            <v>37791</v>
          </cell>
        </row>
        <row r="75">
          <cell r="A75" t="str">
            <v>Kalajoki</v>
          </cell>
          <cell r="B75">
            <v>12632</v>
          </cell>
        </row>
        <row r="76">
          <cell r="A76" t="str">
            <v>Kangasala</v>
          </cell>
          <cell r="B76">
            <v>30471</v>
          </cell>
        </row>
        <row r="77">
          <cell r="A77" t="str">
            <v>Kangasniemi</v>
          </cell>
          <cell r="B77">
            <v>5693</v>
          </cell>
        </row>
        <row r="78">
          <cell r="A78" t="str">
            <v>Kankaanpää</v>
          </cell>
          <cell r="B78">
            <v>11883</v>
          </cell>
        </row>
        <row r="79">
          <cell r="A79" t="str">
            <v>Kannonkoski</v>
          </cell>
          <cell r="B79">
            <v>1475</v>
          </cell>
        </row>
        <row r="80">
          <cell r="A80" t="str">
            <v>Kannus</v>
          </cell>
          <cell r="B80">
            <v>5643</v>
          </cell>
        </row>
        <row r="81">
          <cell r="A81" t="str">
            <v>Karijoki</v>
          </cell>
          <cell r="B81">
            <v>1409</v>
          </cell>
        </row>
        <row r="82">
          <cell r="A82" t="str">
            <v>Karkkila</v>
          </cell>
          <cell r="B82">
            <v>8977</v>
          </cell>
        </row>
        <row r="83">
          <cell r="A83" t="str">
            <v>Karstula</v>
          </cell>
          <cell r="B83">
            <v>4286</v>
          </cell>
        </row>
        <row r="84">
          <cell r="A84" t="str">
            <v>Karvia</v>
          </cell>
          <cell r="B84">
            <v>2491</v>
          </cell>
        </row>
        <row r="85">
          <cell r="A85" t="str">
            <v>Kaskinen</v>
          </cell>
          <cell r="B85">
            <v>1324</v>
          </cell>
        </row>
        <row r="86">
          <cell r="A86" t="str">
            <v>Kauhajoki</v>
          </cell>
          <cell r="B86">
            <v>14007</v>
          </cell>
        </row>
        <row r="87">
          <cell r="A87" t="str">
            <v>Kauhava</v>
          </cell>
          <cell r="B87">
            <v>16908</v>
          </cell>
        </row>
        <row r="88">
          <cell r="A88" t="str">
            <v>Kauniainen</v>
          </cell>
          <cell r="B88">
            <v>9357</v>
          </cell>
        </row>
        <row r="89">
          <cell r="A89" t="str">
            <v>Kaustinen</v>
          </cell>
          <cell r="B89">
            <v>4283</v>
          </cell>
        </row>
        <row r="90">
          <cell r="A90" t="str">
            <v>Keitele</v>
          </cell>
          <cell r="B90">
            <v>2398</v>
          </cell>
        </row>
        <row r="91">
          <cell r="A91" t="str">
            <v>Kemi</v>
          </cell>
          <cell r="B91">
            <v>21929</v>
          </cell>
        </row>
        <row r="92">
          <cell r="A92" t="str">
            <v>Kemijärvi</v>
          </cell>
          <cell r="B92">
            <v>7892</v>
          </cell>
        </row>
        <row r="93">
          <cell r="A93" t="str">
            <v>Keminmaa</v>
          </cell>
          <cell r="B93">
            <v>8469</v>
          </cell>
        </row>
        <row r="94">
          <cell r="A94" t="str">
            <v>Kemiönsaari</v>
          </cell>
          <cell r="B94">
            <v>6943</v>
          </cell>
        </row>
        <row r="95">
          <cell r="A95" t="str">
            <v>Kempele</v>
          </cell>
          <cell r="B95">
            <v>16889</v>
          </cell>
        </row>
        <row r="96">
          <cell r="A96" t="str">
            <v>Kerava</v>
          </cell>
          <cell r="B96">
            <v>35317</v>
          </cell>
        </row>
        <row r="97">
          <cell r="A97" t="str">
            <v>Keuruu</v>
          </cell>
          <cell r="B97">
            <v>10177</v>
          </cell>
        </row>
        <row r="98">
          <cell r="A98" t="str">
            <v>Kihniö</v>
          </cell>
          <cell r="B98">
            <v>2080</v>
          </cell>
        </row>
        <row r="99">
          <cell r="A99" t="str">
            <v>Kinnula</v>
          </cell>
          <cell r="B99">
            <v>1766</v>
          </cell>
        </row>
        <row r="100">
          <cell r="A100" t="str">
            <v>Kirkkonummi</v>
          </cell>
          <cell r="B100">
            <v>38220</v>
          </cell>
        </row>
        <row r="101">
          <cell r="A101" t="str">
            <v>Kitee</v>
          </cell>
          <cell r="B101">
            <v>10986</v>
          </cell>
        </row>
        <row r="102">
          <cell r="A102" t="str">
            <v>Kittilä</v>
          </cell>
          <cell r="B102">
            <v>6470</v>
          </cell>
        </row>
        <row r="103">
          <cell r="A103" t="str">
            <v>Kiuruvesi</v>
          </cell>
          <cell r="B103">
            <v>8752</v>
          </cell>
        </row>
        <row r="104">
          <cell r="A104" t="str">
            <v>Kivijärvi</v>
          </cell>
          <cell r="B104">
            <v>1244</v>
          </cell>
        </row>
        <row r="105">
          <cell r="A105" t="str">
            <v>Kokemäki</v>
          </cell>
          <cell r="B105">
            <v>7702</v>
          </cell>
        </row>
        <row r="106">
          <cell r="A106" t="str">
            <v>Kokkola</v>
          </cell>
          <cell r="B106">
            <v>47278</v>
          </cell>
        </row>
        <row r="107">
          <cell r="A107" t="str">
            <v>Kolari</v>
          </cell>
          <cell r="B107">
            <v>3840</v>
          </cell>
        </row>
        <row r="108">
          <cell r="A108" t="str">
            <v>Konnevesi</v>
          </cell>
          <cell r="B108">
            <v>2831</v>
          </cell>
        </row>
        <row r="109">
          <cell r="A109" t="str">
            <v>Kontiolahti</v>
          </cell>
          <cell r="B109">
            <v>14681</v>
          </cell>
        </row>
        <row r="110">
          <cell r="A110" t="str">
            <v>Korsnäs</v>
          </cell>
          <cell r="B110">
            <v>2219</v>
          </cell>
        </row>
        <row r="111">
          <cell r="A111" t="str">
            <v>Koski Tl</v>
          </cell>
          <cell r="B111">
            <v>2438</v>
          </cell>
        </row>
        <row r="112">
          <cell r="A112" t="str">
            <v>Kotka</v>
          </cell>
          <cell r="B112">
            <v>54518</v>
          </cell>
        </row>
        <row r="113">
          <cell r="A113" t="str">
            <v>Kouvola</v>
          </cell>
          <cell r="B113">
            <v>86453</v>
          </cell>
        </row>
        <row r="114">
          <cell r="A114" t="str">
            <v>Kristiinankaupunki</v>
          </cell>
          <cell r="B114">
            <v>6845</v>
          </cell>
        </row>
        <row r="115">
          <cell r="A115" t="str">
            <v>Kruunupyy</v>
          </cell>
          <cell r="B115">
            <v>6662</v>
          </cell>
        </row>
        <row r="116">
          <cell r="A116" t="str">
            <v>Kuhmo</v>
          </cell>
          <cell r="B116">
            <v>8950</v>
          </cell>
        </row>
        <row r="117">
          <cell r="A117" t="str">
            <v>Kuhmoinen</v>
          </cell>
          <cell r="B117">
            <v>2374</v>
          </cell>
        </row>
        <row r="118">
          <cell r="A118" t="str">
            <v>Kumlinge</v>
          </cell>
          <cell r="B118">
            <v>328</v>
          </cell>
        </row>
        <row r="119">
          <cell r="A119" t="str">
            <v>Kuopio</v>
          </cell>
          <cell r="B119">
            <v>111289</v>
          </cell>
        </row>
        <row r="120">
          <cell r="A120" t="str">
            <v>Kuortane</v>
          </cell>
          <cell r="B120">
            <v>3727</v>
          </cell>
        </row>
        <row r="121">
          <cell r="A121" t="str">
            <v>Kurikka</v>
          </cell>
          <cell r="B121">
            <v>14188</v>
          </cell>
        </row>
        <row r="122">
          <cell r="A122" t="str">
            <v>Kustavi</v>
          </cell>
          <cell r="B122">
            <v>892</v>
          </cell>
        </row>
        <row r="123">
          <cell r="A123" t="str">
            <v>Kuusamo</v>
          </cell>
          <cell r="B123">
            <v>15823</v>
          </cell>
        </row>
        <row r="124">
          <cell r="A124" t="str">
            <v>Kyyjärvi</v>
          </cell>
          <cell r="B124">
            <v>1399</v>
          </cell>
        </row>
        <row r="125">
          <cell r="A125" t="str">
            <v>Kärkölä</v>
          </cell>
          <cell r="B125">
            <v>4647</v>
          </cell>
        </row>
        <row r="126">
          <cell r="A126" t="str">
            <v>Kärsämäki</v>
          </cell>
          <cell r="B126">
            <v>2696</v>
          </cell>
        </row>
        <row r="127">
          <cell r="A127" t="str">
            <v>Kökar</v>
          </cell>
          <cell r="B127">
            <v>254</v>
          </cell>
        </row>
        <row r="128">
          <cell r="A128" t="str">
            <v>Köyliö</v>
          </cell>
          <cell r="B128">
            <v>2647</v>
          </cell>
        </row>
        <row r="129">
          <cell r="A129" t="str">
            <v>Lahti</v>
          </cell>
          <cell r="B129">
            <v>103754</v>
          </cell>
        </row>
        <row r="130">
          <cell r="A130" t="str">
            <v>Laihia</v>
          </cell>
          <cell r="B130">
            <v>8068</v>
          </cell>
        </row>
        <row r="131">
          <cell r="A131" t="str">
            <v>Laitila</v>
          </cell>
          <cell r="B131">
            <v>8542</v>
          </cell>
        </row>
        <row r="132">
          <cell r="A132" t="str">
            <v>Lapinjärvi</v>
          </cell>
          <cell r="B132">
            <v>2779</v>
          </cell>
        </row>
        <row r="133">
          <cell r="A133" t="str">
            <v>Lapinlahti</v>
          </cell>
          <cell r="B133">
            <v>10093</v>
          </cell>
        </row>
        <row r="134">
          <cell r="A134" t="str">
            <v>Lappajärvi</v>
          </cell>
          <cell r="B134">
            <v>3259</v>
          </cell>
        </row>
        <row r="135">
          <cell r="A135" t="str">
            <v>Lappeenranta</v>
          </cell>
          <cell r="B135">
            <v>72794</v>
          </cell>
        </row>
        <row r="136">
          <cell r="A136" t="str">
            <v>Lapua</v>
          </cell>
          <cell r="B136">
            <v>14733</v>
          </cell>
        </row>
        <row r="137">
          <cell r="A137" t="str">
            <v>Laukaa</v>
          </cell>
          <cell r="B137">
            <v>18709</v>
          </cell>
        </row>
        <row r="138">
          <cell r="A138" t="str">
            <v>Lemi</v>
          </cell>
          <cell r="B138">
            <v>3116</v>
          </cell>
        </row>
        <row r="139">
          <cell r="A139" t="str">
            <v>Lemland</v>
          </cell>
          <cell r="B139">
            <v>1943</v>
          </cell>
        </row>
        <row r="140">
          <cell r="A140" t="str">
            <v>Lempäälä</v>
          </cell>
          <cell r="B140">
            <v>22233</v>
          </cell>
        </row>
        <row r="141">
          <cell r="A141" t="str">
            <v>Leppävirta</v>
          </cell>
          <cell r="B141">
            <v>10015</v>
          </cell>
        </row>
        <row r="142">
          <cell r="A142" t="str">
            <v>Lestijärvi</v>
          </cell>
          <cell r="B142">
            <v>817</v>
          </cell>
        </row>
        <row r="143">
          <cell r="A143" t="str">
            <v>Lieksa</v>
          </cell>
          <cell r="B143">
            <v>12117</v>
          </cell>
        </row>
        <row r="144">
          <cell r="A144" t="str">
            <v>Lieto</v>
          </cell>
          <cell r="B144">
            <v>19209</v>
          </cell>
        </row>
        <row r="145">
          <cell r="A145" t="str">
            <v>Liminka</v>
          </cell>
          <cell r="B145">
            <v>9740</v>
          </cell>
        </row>
        <row r="146">
          <cell r="A146" t="str">
            <v>Liperi</v>
          </cell>
          <cell r="B146">
            <v>12335</v>
          </cell>
        </row>
        <row r="147">
          <cell r="A147" t="str">
            <v>Lohja</v>
          </cell>
          <cell r="B147">
            <v>47624</v>
          </cell>
        </row>
        <row r="148">
          <cell r="A148" t="str">
            <v>Loimaa</v>
          </cell>
          <cell r="B148">
            <v>16607</v>
          </cell>
        </row>
        <row r="149">
          <cell r="A149" t="str">
            <v>Loppi</v>
          </cell>
          <cell r="B149">
            <v>8291</v>
          </cell>
        </row>
        <row r="150">
          <cell r="A150" t="str">
            <v>Loviisa</v>
          </cell>
          <cell r="B150">
            <v>15480</v>
          </cell>
        </row>
        <row r="151">
          <cell r="A151" t="str">
            <v>Luhanka</v>
          </cell>
          <cell r="B151">
            <v>761</v>
          </cell>
        </row>
        <row r="152">
          <cell r="A152" t="str">
            <v>Lumijoki</v>
          </cell>
          <cell r="B152">
            <v>2074</v>
          </cell>
        </row>
        <row r="153">
          <cell r="A153" t="str">
            <v>Lumparland</v>
          </cell>
          <cell r="B153">
            <v>418</v>
          </cell>
        </row>
        <row r="154">
          <cell r="A154" t="str">
            <v>Luoto</v>
          </cell>
          <cell r="B154">
            <v>5107</v>
          </cell>
        </row>
        <row r="155">
          <cell r="A155" t="str">
            <v>Luumäki</v>
          </cell>
          <cell r="B155">
            <v>4949</v>
          </cell>
        </row>
        <row r="156">
          <cell r="A156" t="str">
            <v>Luvia</v>
          </cell>
          <cell r="B156">
            <v>3340</v>
          </cell>
        </row>
        <row r="157">
          <cell r="A157" t="str">
            <v>Maalahti</v>
          </cell>
          <cell r="B157">
            <v>5573</v>
          </cell>
        </row>
        <row r="158">
          <cell r="A158" t="str">
            <v>Maarianhamina - Mariehamn</v>
          </cell>
          <cell r="B158">
            <v>11479</v>
          </cell>
        </row>
        <row r="159">
          <cell r="A159" t="str">
            <v>Marttila</v>
          </cell>
          <cell r="B159">
            <v>2070</v>
          </cell>
        </row>
        <row r="160">
          <cell r="A160" t="str">
            <v>Masku</v>
          </cell>
          <cell r="B160">
            <v>9767</v>
          </cell>
        </row>
        <row r="161">
          <cell r="A161" t="str">
            <v>Merijärvi</v>
          </cell>
          <cell r="B161">
            <v>1150</v>
          </cell>
        </row>
        <row r="162">
          <cell r="A162" t="str">
            <v>Merikarvia</v>
          </cell>
          <cell r="B162">
            <v>3246</v>
          </cell>
        </row>
        <row r="163">
          <cell r="A163" t="str">
            <v>Miehikkälä</v>
          </cell>
          <cell r="B163">
            <v>2123</v>
          </cell>
        </row>
        <row r="164">
          <cell r="A164" t="str">
            <v>Mikkeli</v>
          </cell>
          <cell r="B164">
            <v>54605</v>
          </cell>
        </row>
        <row r="165">
          <cell r="A165" t="str">
            <v>Muhos</v>
          </cell>
          <cell r="B165">
            <v>8986</v>
          </cell>
        </row>
        <row r="166">
          <cell r="A166" t="str">
            <v>Multia</v>
          </cell>
          <cell r="B166">
            <v>1763</v>
          </cell>
        </row>
        <row r="167">
          <cell r="A167" t="str">
            <v>Muonio</v>
          </cell>
          <cell r="B167">
            <v>2375</v>
          </cell>
        </row>
        <row r="168">
          <cell r="A168" t="str">
            <v>Mustasaari</v>
          </cell>
          <cell r="B168">
            <v>19287</v>
          </cell>
        </row>
        <row r="169">
          <cell r="A169" t="str">
            <v>Muurame</v>
          </cell>
          <cell r="B169">
            <v>9700</v>
          </cell>
        </row>
        <row r="170">
          <cell r="A170" t="str">
            <v>Mynämäki</v>
          </cell>
          <cell r="B170">
            <v>7917</v>
          </cell>
        </row>
        <row r="171">
          <cell r="A171" t="str">
            <v>Myrskylä</v>
          </cell>
          <cell r="B171">
            <v>1985</v>
          </cell>
        </row>
        <row r="172">
          <cell r="A172" t="str">
            <v>Mäntsälä</v>
          </cell>
          <cell r="B172">
            <v>20621</v>
          </cell>
        </row>
        <row r="173">
          <cell r="A173" t="str">
            <v>Mänttä-Vilppula</v>
          </cell>
          <cell r="B173">
            <v>10723</v>
          </cell>
        </row>
        <row r="174">
          <cell r="A174" t="str">
            <v>Mäntyharju</v>
          </cell>
          <cell r="B174">
            <v>6266</v>
          </cell>
        </row>
        <row r="175">
          <cell r="A175" t="str">
            <v>Naantali</v>
          </cell>
          <cell r="B175">
            <v>18871</v>
          </cell>
        </row>
        <row r="176">
          <cell r="A176" t="str">
            <v>Nakkila</v>
          </cell>
          <cell r="B176">
            <v>5651</v>
          </cell>
        </row>
        <row r="177">
          <cell r="A177" t="str">
            <v>Nastola</v>
          </cell>
          <cell r="B177">
            <v>14890</v>
          </cell>
        </row>
        <row r="178">
          <cell r="A178" t="str">
            <v>Nivala</v>
          </cell>
          <cell r="B178">
            <v>10945</v>
          </cell>
        </row>
        <row r="179">
          <cell r="A179" t="str">
            <v>Nokia</v>
          </cell>
          <cell r="B179">
            <v>32847</v>
          </cell>
        </row>
        <row r="180">
          <cell r="A180" t="str">
            <v>Nousiainen</v>
          </cell>
          <cell r="B180">
            <v>4844</v>
          </cell>
        </row>
        <row r="181">
          <cell r="A181" t="str">
            <v>Nurmes</v>
          </cell>
          <cell r="B181">
            <v>8082</v>
          </cell>
        </row>
        <row r="182">
          <cell r="A182" t="str">
            <v>Nurmijärvi</v>
          </cell>
          <cell r="B182">
            <v>41577</v>
          </cell>
        </row>
        <row r="183">
          <cell r="A183" t="str">
            <v>Närpiö</v>
          </cell>
          <cell r="B183">
            <v>9389</v>
          </cell>
        </row>
        <row r="184">
          <cell r="A184" t="str">
            <v>Orimattila</v>
          </cell>
          <cell r="B184">
            <v>16288</v>
          </cell>
        </row>
        <row r="185">
          <cell r="A185" t="str">
            <v>Oripää</v>
          </cell>
          <cell r="B185">
            <v>1417</v>
          </cell>
        </row>
        <row r="186">
          <cell r="A186" t="str">
            <v>Orivesi</v>
          </cell>
          <cell r="B186">
            <v>9579</v>
          </cell>
        </row>
        <row r="187">
          <cell r="A187" t="str">
            <v>Oulainen</v>
          </cell>
          <cell r="B187">
            <v>7725</v>
          </cell>
        </row>
        <row r="188">
          <cell r="A188" t="str">
            <v>Oulu</v>
          </cell>
          <cell r="B188">
            <v>196291</v>
          </cell>
        </row>
        <row r="189">
          <cell r="A189" t="str">
            <v>Outokumpu</v>
          </cell>
          <cell r="B189">
            <v>7172</v>
          </cell>
        </row>
        <row r="190">
          <cell r="A190" t="str">
            <v>Padasjoki</v>
          </cell>
          <cell r="B190">
            <v>3197</v>
          </cell>
        </row>
        <row r="191">
          <cell r="A191" t="str">
            <v>Paimio</v>
          </cell>
          <cell r="B191">
            <v>10628</v>
          </cell>
        </row>
        <row r="192">
          <cell r="A192" t="str">
            <v>Paltamo</v>
          </cell>
          <cell r="B192">
            <v>3564</v>
          </cell>
        </row>
        <row r="193">
          <cell r="A193" t="str">
            <v>Parainen</v>
          </cell>
          <cell r="B193">
            <v>15494</v>
          </cell>
        </row>
        <row r="194">
          <cell r="A194" t="str">
            <v>Parikkala</v>
          </cell>
          <cell r="B194">
            <v>5373</v>
          </cell>
        </row>
        <row r="195">
          <cell r="A195" t="str">
            <v>Parkano</v>
          </cell>
          <cell r="B195">
            <v>6808</v>
          </cell>
        </row>
        <row r="196">
          <cell r="A196" t="str">
            <v>Pedersören kunta</v>
          </cell>
          <cell r="B196">
            <v>11060</v>
          </cell>
        </row>
        <row r="197">
          <cell r="A197" t="str">
            <v>Pelkosenniemi</v>
          </cell>
          <cell r="B197">
            <v>947</v>
          </cell>
        </row>
        <row r="198">
          <cell r="A198" t="str">
            <v>Pello</v>
          </cell>
          <cell r="B198">
            <v>3676</v>
          </cell>
        </row>
        <row r="199">
          <cell r="A199" t="str">
            <v>Perho</v>
          </cell>
          <cell r="B199">
            <v>2893</v>
          </cell>
        </row>
        <row r="200">
          <cell r="A200" t="str">
            <v>Pertunmaa</v>
          </cell>
          <cell r="B200">
            <v>1832</v>
          </cell>
        </row>
        <row r="201">
          <cell r="A201" t="str">
            <v>Petäjävesi</v>
          </cell>
          <cell r="B201">
            <v>4081</v>
          </cell>
        </row>
        <row r="202">
          <cell r="A202" t="str">
            <v>Pieksämäki</v>
          </cell>
          <cell r="B202">
            <v>19051</v>
          </cell>
        </row>
        <row r="203">
          <cell r="A203" t="str">
            <v>Pielavesi</v>
          </cell>
          <cell r="B203">
            <v>4787</v>
          </cell>
        </row>
        <row r="204">
          <cell r="A204" t="str">
            <v>Pietarsaari</v>
          </cell>
          <cell r="B204">
            <v>19577</v>
          </cell>
        </row>
        <row r="205">
          <cell r="A205" t="str">
            <v>Pihtipudas</v>
          </cell>
          <cell r="B205">
            <v>4261</v>
          </cell>
        </row>
        <row r="206">
          <cell r="A206" t="str">
            <v>Pirkkala</v>
          </cell>
          <cell r="B206">
            <v>18689</v>
          </cell>
        </row>
        <row r="207">
          <cell r="A207" t="str">
            <v>Polvijärvi</v>
          </cell>
          <cell r="B207">
            <v>4609</v>
          </cell>
        </row>
        <row r="208">
          <cell r="A208" t="str">
            <v>Pomarkku</v>
          </cell>
          <cell r="B208">
            <v>2275</v>
          </cell>
        </row>
        <row r="209">
          <cell r="A209" t="str">
            <v>Pori</v>
          </cell>
          <cell r="B209">
            <v>85418</v>
          </cell>
        </row>
        <row r="210">
          <cell r="A210" t="str">
            <v>Pornainen</v>
          </cell>
          <cell r="B210">
            <v>5148</v>
          </cell>
        </row>
        <row r="211">
          <cell r="A211" t="str">
            <v>Porvoo</v>
          </cell>
          <cell r="B211">
            <v>49728</v>
          </cell>
        </row>
        <row r="212">
          <cell r="A212" t="str">
            <v>Posio</v>
          </cell>
          <cell r="B212">
            <v>3633</v>
          </cell>
        </row>
        <row r="213">
          <cell r="A213" t="str">
            <v>Pudasjärvi</v>
          </cell>
          <cell r="B213">
            <v>8399</v>
          </cell>
        </row>
        <row r="214">
          <cell r="A214" t="str">
            <v>Pukkila</v>
          </cell>
          <cell r="B214">
            <v>2013</v>
          </cell>
        </row>
        <row r="215">
          <cell r="A215" t="str">
            <v>Punkalaidun</v>
          </cell>
          <cell r="B215">
            <v>3117</v>
          </cell>
        </row>
        <row r="216">
          <cell r="A216" t="str">
            <v>Puolanka</v>
          </cell>
          <cell r="B216">
            <v>2824</v>
          </cell>
        </row>
        <row r="217">
          <cell r="A217" t="str">
            <v>Puumala</v>
          </cell>
          <cell r="B217">
            <v>2306</v>
          </cell>
        </row>
        <row r="218">
          <cell r="A218" t="str">
            <v>Pyhtää</v>
          </cell>
          <cell r="B218">
            <v>5354</v>
          </cell>
        </row>
        <row r="219">
          <cell r="A219" t="str">
            <v>Pyhäjoki</v>
          </cell>
          <cell r="B219">
            <v>3290</v>
          </cell>
        </row>
        <row r="220">
          <cell r="A220" t="str">
            <v>Pyhäjärvi</v>
          </cell>
          <cell r="B220">
            <v>5562</v>
          </cell>
        </row>
        <row r="221">
          <cell r="A221" t="str">
            <v>Pyhäntä</v>
          </cell>
          <cell r="B221">
            <v>1562</v>
          </cell>
        </row>
        <row r="222">
          <cell r="A222" t="str">
            <v>Pyhäranta</v>
          </cell>
          <cell r="B222">
            <v>2136</v>
          </cell>
        </row>
        <row r="223">
          <cell r="A223" t="str">
            <v>Pälkäne</v>
          </cell>
          <cell r="B223">
            <v>6722</v>
          </cell>
        </row>
        <row r="224">
          <cell r="A224" t="str">
            <v>Pöytyä</v>
          </cell>
          <cell r="B224">
            <v>8619</v>
          </cell>
        </row>
        <row r="225">
          <cell r="A225" t="str">
            <v>Raahe</v>
          </cell>
          <cell r="B225">
            <v>25383</v>
          </cell>
        </row>
        <row r="226">
          <cell r="A226" t="str">
            <v>Raasepori</v>
          </cell>
          <cell r="B226">
            <v>28674</v>
          </cell>
        </row>
        <row r="227">
          <cell r="A227" t="str">
            <v>Raisio</v>
          </cell>
          <cell r="B227">
            <v>24371</v>
          </cell>
        </row>
        <row r="228">
          <cell r="A228" t="str">
            <v>Rantasalmi</v>
          </cell>
          <cell r="B228">
            <v>3815</v>
          </cell>
        </row>
        <row r="229">
          <cell r="A229" t="str">
            <v>Ranua</v>
          </cell>
          <cell r="B229">
            <v>4093</v>
          </cell>
        </row>
        <row r="230">
          <cell r="A230" t="str">
            <v>Rauma</v>
          </cell>
          <cell r="B230">
            <v>39970</v>
          </cell>
        </row>
        <row r="231">
          <cell r="A231" t="str">
            <v>Rautalampi</v>
          </cell>
          <cell r="B231">
            <v>3374</v>
          </cell>
        </row>
        <row r="232">
          <cell r="A232" t="str">
            <v>Rautavaara</v>
          </cell>
          <cell r="B232">
            <v>1768</v>
          </cell>
        </row>
        <row r="233">
          <cell r="A233" t="str">
            <v>Rautjärvi</v>
          </cell>
          <cell r="B233">
            <v>3626</v>
          </cell>
        </row>
        <row r="234">
          <cell r="A234" t="str">
            <v>Reisjärvi</v>
          </cell>
          <cell r="B234">
            <v>2901</v>
          </cell>
        </row>
        <row r="235">
          <cell r="A235" t="str">
            <v>Riihimäki</v>
          </cell>
          <cell r="B235">
            <v>29350</v>
          </cell>
        </row>
        <row r="236">
          <cell r="A236" t="str">
            <v>Ristijärvi</v>
          </cell>
          <cell r="B236">
            <v>1416</v>
          </cell>
        </row>
        <row r="237">
          <cell r="A237" t="str">
            <v>Rovaniemi</v>
          </cell>
          <cell r="B237">
            <v>61551</v>
          </cell>
        </row>
        <row r="238">
          <cell r="A238" t="str">
            <v>Ruokolahti</v>
          </cell>
          <cell r="B238">
            <v>5404</v>
          </cell>
        </row>
        <row r="239">
          <cell r="A239" t="str">
            <v>Ruovesi</v>
          </cell>
          <cell r="B239">
            <v>4689</v>
          </cell>
        </row>
        <row r="240">
          <cell r="A240" t="str">
            <v>Rusko</v>
          </cell>
          <cell r="B240">
            <v>6045</v>
          </cell>
        </row>
        <row r="241">
          <cell r="A241" t="str">
            <v>Rääkkylä</v>
          </cell>
          <cell r="B241">
            <v>2435</v>
          </cell>
        </row>
        <row r="242">
          <cell r="A242" t="str">
            <v>Saarijärvi</v>
          </cell>
          <cell r="B242">
            <v>10084</v>
          </cell>
        </row>
        <row r="243">
          <cell r="A243" t="str">
            <v>Salla</v>
          </cell>
          <cell r="B243">
            <v>3781</v>
          </cell>
        </row>
        <row r="244">
          <cell r="A244" t="str">
            <v>Salo</v>
          </cell>
          <cell r="B244">
            <v>54238</v>
          </cell>
        </row>
        <row r="245">
          <cell r="A245" t="str">
            <v>Saltvik</v>
          </cell>
          <cell r="B245">
            <v>1825</v>
          </cell>
        </row>
        <row r="246">
          <cell r="A246" t="str">
            <v>Sastamala</v>
          </cell>
          <cell r="B246">
            <v>25372</v>
          </cell>
        </row>
        <row r="247">
          <cell r="A247" t="str">
            <v>Sauvo</v>
          </cell>
          <cell r="B247">
            <v>2999</v>
          </cell>
        </row>
        <row r="248">
          <cell r="A248" t="str">
            <v>Savitaipale</v>
          </cell>
          <cell r="B248">
            <v>3667</v>
          </cell>
        </row>
        <row r="249">
          <cell r="A249" t="str">
            <v>Savonlinna</v>
          </cell>
          <cell r="B249">
            <v>35944</v>
          </cell>
        </row>
        <row r="250">
          <cell r="A250" t="str">
            <v>Savukoski</v>
          </cell>
          <cell r="B250">
            <v>1103</v>
          </cell>
        </row>
        <row r="251">
          <cell r="A251" t="str">
            <v>Seinäjoki</v>
          </cell>
          <cell r="B251">
            <v>60880</v>
          </cell>
        </row>
        <row r="252">
          <cell r="A252" t="str">
            <v>Sievi</v>
          </cell>
          <cell r="B252">
            <v>5154</v>
          </cell>
        </row>
        <row r="253">
          <cell r="A253" t="str">
            <v>Siikainen</v>
          </cell>
          <cell r="B253">
            <v>1593</v>
          </cell>
        </row>
        <row r="254">
          <cell r="A254" t="str">
            <v>Siikajoki</v>
          </cell>
          <cell r="B254">
            <v>5526</v>
          </cell>
        </row>
        <row r="255">
          <cell r="A255" t="str">
            <v>Siikalatva</v>
          </cell>
          <cell r="B255">
            <v>5816</v>
          </cell>
        </row>
        <row r="256">
          <cell r="A256" t="str">
            <v>Siilinjärvi</v>
          </cell>
          <cell r="B256">
            <v>21668</v>
          </cell>
        </row>
        <row r="257">
          <cell r="A257" t="str">
            <v>Simo</v>
          </cell>
          <cell r="B257">
            <v>3296</v>
          </cell>
        </row>
        <row r="258">
          <cell r="A258" t="str">
            <v>Sipoo</v>
          </cell>
          <cell r="B258">
            <v>19034</v>
          </cell>
        </row>
        <row r="259">
          <cell r="A259" t="str">
            <v>Siuntio</v>
          </cell>
          <cell r="B259">
            <v>6199</v>
          </cell>
        </row>
        <row r="260">
          <cell r="A260" t="str">
            <v>Sodankylä</v>
          </cell>
          <cell r="B260">
            <v>8820</v>
          </cell>
        </row>
        <row r="261">
          <cell r="A261" t="str">
            <v>Soini</v>
          </cell>
          <cell r="B261">
            <v>2273</v>
          </cell>
        </row>
        <row r="262">
          <cell r="A262" t="str">
            <v>Somero</v>
          </cell>
          <cell r="B262">
            <v>9173</v>
          </cell>
        </row>
        <row r="263">
          <cell r="A263" t="str">
            <v>Sonkajärvi</v>
          </cell>
          <cell r="B263">
            <v>4336</v>
          </cell>
        </row>
        <row r="264">
          <cell r="A264" t="str">
            <v>Sotkamo</v>
          </cell>
          <cell r="B264">
            <v>10598</v>
          </cell>
        </row>
        <row r="265">
          <cell r="A265" t="str">
            <v>Sottunga</v>
          </cell>
          <cell r="B265">
            <v>101</v>
          </cell>
        </row>
        <row r="266">
          <cell r="A266" t="str">
            <v>Sulkava</v>
          </cell>
          <cell r="B266">
            <v>2789</v>
          </cell>
        </row>
        <row r="267">
          <cell r="A267" t="str">
            <v>Sund</v>
          </cell>
          <cell r="B267">
            <v>1035</v>
          </cell>
        </row>
        <row r="268">
          <cell r="A268" t="str">
            <v>Suomussalmi</v>
          </cell>
          <cell r="B268">
            <v>8486</v>
          </cell>
        </row>
        <row r="269">
          <cell r="A269" t="str">
            <v>Suonenjoki</v>
          </cell>
          <cell r="B269">
            <v>7419</v>
          </cell>
        </row>
        <row r="270">
          <cell r="A270" t="str">
            <v>Sysmä</v>
          </cell>
          <cell r="B270">
            <v>4097</v>
          </cell>
        </row>
        <row r="271">
          <cell r="A271" t="str">
            <v>Säkylä</v>
          </cell>
          <cell r="B271">
            <v>4539</v>
          </cell>
        </row>
        <row r="272">
          <cell r="A272" t="str">
            <v>Taipalsaari</v>
          </cell>
          <cell r="B272">
            <v>4798</v>
          </cell>
        </row>
        <row r="273">
          <cell r="A273" t="str">
            <v>Taivalkoski</v>
          </cell>
          <cell r="B273">
            <v>4231</v>
          </cell>
        </row>
        <row r="274">
          <cell r="A274" t="str">
            <v>Taivassalo</v>
          </cell>
          <cell r="B274">
            <v>1645</v>
          </cell>
        </row>
        <row r="275">
          <cell r="A275" t="str">
            <v>Tammela</v>
          </cell>
          <cell r="B275">
            <v>6395</v>
          </cell>
        </row>
        <row r="276">
          <cell r="A276" t="str">
            <v>Tampere</v>
          </cell>
          <cell r="B276">
            <v>223004</v>
          </cell>
        </row>
        <row r="277">
          <cell r="A277" t="str">
            <v>Tervo</v>
          </cell>
          <cell r="B277">
            <v>1627</v>
          </cell>
        </row>
        <row r="278">
          <cell r="A278" t="str">
            <v>Tervola</v>
          </cell>
          <cell r="B278">
            <v>3239</v>
          </cell>
        </row>
        <row r="279">
          <cell r="A279" t="str">
            <v>Teuva</v>
          </cell>
          <cell r="B279">
            <v>5543</v>
          </cell>
        </row>
        <row r="280">
          <cell r="A280" t="str">
            <v>Tohmajärvi</v>
          </cell>
          <cell r="B280">
            <v>4794</v>
          </cell>
        </row>
        <row r="281">
          <cell r="A281" t="str">
            <v>Toholampi</v>
          </cell>
          <cell r="B281">
            <v>3354</v>
          </cell>
        </row>
        <row r="282">
          <cell r="A282" t="str">
            <v>Toivakka</v>
          </cell>
          <cell r="B282">
            <v>2472</v>
          </cell>
        </row>
        <row r="283">
          <cell r="A283" t="str">
            <v>Tornio</v>
          </cell>
          <cell r="B283">
            <v>22322</v>
          </cell>
        </row>
        <row r="284">
          <cell r="A284" t="str">
            <v>Turku</v>
          </cell>
          <cell r="B284">
            <v>183824</v>
          </cell>
        </row>
        <row r="285">
          <cell r="A285" t="str">
            <v>Tuusniemi</v>
          </cell>
          <cell r="B285">
            <v>2750</v>
          </cell>
        </row>
        <row r="286">
          <cell r="A286" t="str">
            <v>Tuusula</v>
          </cell>
          <cell r="B286">
            <v>38198</v>
          </cell>
        </row>
        <row r="287">
          <cell r="A287" t="str">
            <v>Tyrnävä</v>
          </cell>
          <cell r="B287">
            <v>6735</v>
          </cell>
        </row>
        <row r="288">
          <cell r="A288" t="str">
            <v>Ulvila</v>
          </cell>
          <cell r="B288">
            <v>13322</v>
          </cell>
        </row>
        <row r="289">
          <cell r="A289" t="str">
            <v>Urjala</v>
          </cell>
          <cell r="B289">
            <v>4984</v>
          </cell>
        </row>
        <row r="290">
          <cell r="A290" t="str">
            <v>Utajärvi</v>
          </cell>
          <cell r="B290">
            <v>2907</v>
          </cell>
        </row>
        <row r="291">
          <cell r="A291" t="str">
            <v>Utsjoki</v>
          </cell>
          <cell r="B291">
            <v>1260</v>
          </cell>
        </row>
        <row r="292">
          <cell r="A292" t="str">
            <v>Uurainen</v>
          </cell>
          <cell r="B292">
            <v>3611</v>
          </cell>
        </row>
        <row r="293">
          <cell r="A293" t="str">
            <v>Uusikaarlepyy</v>
          </cell>
          <cell r="B293">
            <v>7533</v>
          </cell>
        </row>
        <row r="294">
          <cell r="A294" t="str">
            <v>Uusikaupunki</v>
          </cell>
          <cell r="B294">
            <v>15567</v>
          </cell>
        </row>
        <row r="295">
          <cell r="A295" t="str">
            <v>Vaala</v>
          </cell>
          <cell r="B295">
            <v>3139</v>
          </cell>
        </row>
        <row r="296">
          <cell r="A296" t="str">
            <v>Vaasa</v>
          </cell>
          <cell r="B296">
            <v>66965</v>
          </cell>
        </row>
        <row r="297">
          <cell r="A297" t="str">
            <v>Valkeakoski</v>
          </cell>
          <cell r="B297">
            <v>21162</v>
          </cell>
        </row>
        <row r="298">
          <cell r="A298" t="str">
            <v>Valtimo</v>
          </cell>
          <cell r="B298">
            <v>2362</v>
          </cell>
        </row>
        <row r="299">
          <cell r="A299" t="str">
            <v>Vantaa</v>
          </cell>
          <cell r="B299">
            <v>210803</v>
          </cell>
        </row>
        <row r="300">
          <cell r="A300" t="str">
            <v>Varkaus</v>
          </cell>
          <cell r="B300">
            <v>21860</v>
          </cell>
        </row>
        <row r="301">
          <cell r="A301" t="str">
            <v>Vehmaa</v>
          </cell>
          <cell r="B301">
            <v>2339</v>
          </cell>
        </row>
        <row r="302">
          <cell r="A302" t="str">
            <v>Vesanto</v>
          </cell>
          <cell r="B302">
            <v>2244</v>
          </cell>
        </row>
        <row r="303">
          <cell r="A303" t="str">
            <v>Vesilahti</v>
          </cell>
          <cell r="B303">
            <v>4492</v>
          </cell>
        </row>
        <row r="304">
          <cell r="A304" t="str">
            <v>Veteli</v>
          </cell>
          <cell r="B304">
            <v>3342</v>
          </cell>
        </row>
        <row r="305">
          <cell r="A305" t="str">
            <v>Vieremä</v>
          </cell>
          <cell r="B305">
            <v>3816</v>
          </cell>
        </row>
        <row r="306">
          <cell r="A306" t="str">
            <v>Vihti</v>
          </cell>
          <cell r="B306">
            <v>28995</v>
          </cell>
        </row>
        <row r="307">
          <cell r="A307" t="str">
            <v>Viitasaari</v>
          </cell>
          <cell r="B307">
            <v>6780</v>
          </cell>
        </row>
        <row r="308">
          <cell r="A308" t="str">
            <v>Vimpeli</v>
          </cell>
          <cell r="B308">
            <v>3106</v>
          </cell>
        </row>
        <row r="309">
          <cell r="A309" t="str">
            <v>Virolahti</v>
          </cell>
          <cell r="B309">
            <v>3399</v>
          </cell>
        </row>
        <row r="310">
          <cell r="A310" t="str">
            <v>Virrat</v>
          </cell>
          <cell r="B310">
            <v>7157</v>
          </cell>
        </row>
        <row r="311">
          <cell r="A311" t="str">
            <v>Vårdö</v>
          </cell>
          <cell r="B311">
            <v>439</v>
          </cell>
        </row>
        <row r="312">
          <cell r="A312" t="str">
            <v>Vöyri</v>
          </cell>
          <cell r="B312">
            <v>6705</v>
          </cell>
        </row>
        <row r="313">
          <cell r="A313" t="str">
            <v>Ylitornio</v>
          </cell>
          <cell r="B313">
            <v>4348</v>
          </cell>
        </row>
        <row r="314">
          <cell r="A314" t="str">
            <v>Ylivieska</v>
          </cell>
          <cell r="B314">
            <v>14976</v>
          </cell>
        </row>
        <row r="315">
          <cell r="A315" t="str">
            <v>Ylöjärvi</v>
          </cell>
          <cell r="B315">
            <v>32260</v>
          </cell>
        </row>
        <row r="316">
          <cell r="A316" t="str">
            <v>Ypäjä</v>
          </cell>
          <cell r="B316">
            <v>2468</v>
          </cell>
        </row>
        <row r="317">
          <cell r="A317" t="str">
            <v>Ähtäri</v>
          </cell>
          <cell r="B317">
            <v>6178</v>
          </cell>
        </row>
        <row r="318">
          <cell r="A318" t="str">
            <v>Äänekoski</v>
          </cell>
          <cell r="B318">
            <v>19909</v>
          </cell>
        </row>
      </sheetData>
      <sheetData sheetId="31"/>
    </sheetDataSet>
  </externalBook>
</externalLink>
</file>

<file path=xl/tables/table1.xml><?xml version="1.0" encoding="utf-8"?>
<table xmlns="http://schemas.openxmlformats.org/spreadsheetml/2006/main" id="2" name="TN_kunnat" displayName="TN_kunnat" ref="A1:H41" totalsRowShown="0">
  <autoFilter ref="A1:H41"/>
  <tableColumns count="8">
    <tableColumn id="1" name="Kunnan nimi" dataDxfId="777" dataCellStyle="Normaali 4"/>
    <tableColumn id="2" name="Sarake1" dataDxfId="776"/>
    <tableColumn id="3" name="otos" dataDxfId="775"/>
    <tableColumn id="4" name="vastanneet" dataDxfId="774"/>
    <tableColumn id="5" name="vast.% 2017 " dataDxfId="773"/>
    <tableColumn id="8" name="vast.% 2015" dataDxfId="772"/>
    <tableColumn id="6" name="kuntanro" dataDxfId="771"/>
    <tableColumn id="7" name="Asukasluku 31.12.2014" dataDxfId="77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9" name="TN_K15_kunnat" displayName="TN_K15_kunnat" ref="A7:B47" totalsRowShown="0" dataDxfId="727" dataCellStyle="Normaali 8">
  <autoFilter ref="A7:B47"/>
  <tableColumns count="2">
    <tableColumn id="1" name="KUNTA" dataDxfId="726" dataCellStyle="Normaali 8"/>
    <tableColumn id="2" name="% vastanneista pitää melko tai erittäin todennäköisenä (4+5)" dataDxfId="725" dataCellStyle="Normaali 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0" name="TN_K15_ryhmat" displayName="TN_K15_ryhmat" ref="A51:B57" totalsRowShown="0" dataDxfId="724" dataCellStyle="Normaali 8">
  <autoFilter ref="A51:B57"/>
  <tableColumns count="2">
    <tableColumn id="1" name="Kuntakokoluokka:" dataDxfId="723" dataCellStyle="Normaali 8"/>
    <tableColumn id="2" name="%  melko tai erittäin hyvin (4+5)" dataDxfId="722" dataCellStyle="Normaali 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" name="TN_K16_kunnat" displayName="TN_K16_kunnat" ref="A7:K47" totalsRowShown="0" headerRowDxfId="721" dataDxfId="720" headerRowCellStyle="Normaali 8" dataCellStyle="Normaali 8">
  <autoFilter ref="A7:K47"/>
  <tableColumns count="11">
    <tableColumn id="1" name="KUNTA" dataDxfId="719" dataCellStyle="Normaali 8"/>
    <tableColumn id="2" name="K1601" dataDxfId="718" dataCellStyle="Normaali 8"/>
    <tableColumn id="3" name="K1602" dataDxfId="717" dataCellStyle="Normaali 8"/>
    <tableColumn id="4" name="K1603" dataDxfId="716" dataCellStyle="Normaali 8"/>
    <tableColumn id="5" name="K1604" dataDxfId="715" dataCellStyle="Normaali 8"/>
    <tableColumn id="6" name="K1605" dataDxfId="714" dataCellStyle="Normaali 8"/>
    <tableColumn id="7" name="K1606" dataDxfId="713" dataCellStyle="Normaali 8"/>
    <tableColumn id="8" name="K1607" dataDxfId="712" dataCellStyle="Normaali 8"/>
    <tableColumn id="9" name="K1608" dataDxfId="711" dataCellStyle="Normaali 8"/>
    <tableColumn id="10" name="K1609" dataDxfId="710" dataCellStyle="Normaali 8"/>
    <tableColumn id="11" name="K1610" dataDxfId="709" dataCellStyle="Normaali 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" name="TN_K16_ryhmat" displayName="TN_K16_ryhmat" ref="A51:K57" totalsRowShown="0" headerRowDxfId="708" dataDxfId="707" headerRowCellStyle="Normaali 8" dataCellStyle="Normaali 8">
  <autoFilter ref="A51:K57"/>
  <tableColumns count="11">
    <tableColumn id="1" name="Kuntakokoluokka:" dataDxfId="706" dataCellStyle="Normaali 8"/>
    <tableColumn id="2" name="K1601" dataDxfId="705" dataCellStyle="Normaali 8"/>
    <tableColumn id="3" name="K1602" dataDxfId="704" dataCellStyle="Normaali 8"/>
    <tableColumn id="4" name="K1603" dataDxfId="703" dataCellStyle="Normaali 8"/>
    <tableColumn id="5" name="K1604" dataDxfId="702" dataCellStyle="Normaali 8"/>
    <tableColumn id="6" name="K1605" dataDxfId="701" dataCellStyle="Normaali 8"/>
    <tableColumn id="7" name="K1606" dataDxfId="700" dataCellStyle="Normaali 8"/>
    <tableColumn id="8" name="K1607" dataDxfId="699" dataCellStyle="Normaali 8"/>
    <tableColumn id="9" name="K1608" dataDxfId="698" dataCellStyle="Normaali 8"/>
    <tableColumn id="10" name="K1609" dataDxfId="697" dataCellStyle="Normaali 8"/>
    <tableColumn id="11" name="K1610" dataDxfId="696" dataCellStyle="Normaali 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3" name="TN_K22_kunnat" displayName="TN_K22_kunnat" ref="A7:B47" totalsRowShown="0" dataDxfId="695" dataCellStyle="Normaali 8">
  <autoFilter ref="A7:B47"/>
  <tableColumns count="2">
    <tableColumn id="1" name="KUNTA" dataDxfId="694" dataCellStyle="Normaali 8"/>
    <tableColumn id="2" name="% vastanneista on käytössä" dataDxfId="693" dataCellStyle="Normaali 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4" name="TN_K22_ryhmat" displayName="TN_K22_ryhmat" ref="A51:B57" totalsRowShown="0" dataDxfId="692" dataCellStyle="Normaali 8">
  <autoFilter ref="A51:B57"/>
  <tableColumns count="2">
    <tableColumn id="1" name="Kuntakokoluokka:" dataDxfId="691" dataCellStyle="Normaali 8"/>
    <tableColumn id="2" name="% vastanneista on käytössä" dataDxfId="690" dataCellStyle="Normaali 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5" name="TN_K23_kunnat" displayName="TN_K23_kunnat" ref="A6:B46" totalsRowShown="0" dataDxfId="689" dataCellStyle="Normaali 8">
  <autoFilter ref="A6:B46"/>
  <tableColumns count="2">
    <tableColumn id="1" name="KUNTA" dataDxfId="688" dataCellStyle="Normaali 8"/>
    <tableColumn id="2" name="% vastanneista on käyttänyt" dataDxfId="687" dataCellStyle="Normaali 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6" name="TN_K23_ryhmat" displayName="TN_K23_ryhmat" ref="A50:B56" totalsRowShown="0" dataDxfId="686" dataCellStyle="Normaali 8">
  <autoFilter ref="A50:B56"/>
  <tableColumns count="2">
    <tableColumn id="1" name="Kuntakokoluokka:" dataDxfId="685" dataCellStyle="Normaali 8"/>
    <tableColumn id="2" name="% vastanneista on käyttänyt" dataDxfId="684" dataCellStyle="Normaali 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7" name="TN_K24_kunnat" displayName="TN_K24_kunnat" ref="A6:C46" totalsRowShown="0" dataDxfId="683" dataCellStyle="Normaali 8">
  <autoFilter ref="A6:C46"/>
  <tableColumns count="3">
    <tableColumn id="1" name="KUNTA" dataDxfId="682" dataCellStyle="Normaali 8"/>
    <tableColumn id="2" name="% vastanneista pitää toimivuutta hyvänä (4+5)" dataDxfId="681" dataCellStyle="Normaali 8"/>
    <tableColumn id="3" name="Sarake1" dataDxfId="680" dataCellStyle="Normaali 8">
      <calculatedColumnFormula>VLOOKUP('K24'!L34AN_koko,TN_K23_ryhmat[],2)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4" name="TN_K24_ryhmat" displayName="TN_K24_ryhmat" ref="A50:B56" totalsRowShown="0" dataDxfId="679" dataCellStyle="Normaali 8">
  <autoFilter ref="A50:B56"/>
  <tableColumns count="2">
    <tableColumn id="1" name="Kuntakokoluokka:" dataDxfId="678" dataCellStyle="Normaali 8"/>
    <tableColumn id="2" name="% vastanneista pitää toimivuutta hyvänä (4+5)" dataDxfId="677" dataCellStyle="Normaali 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1" name="TN_K11_kunnat" displayName="TN_K11_kunnat" ref="A5:B45" totalsRowShown="0" dataDxfId="769" dataCellStyle="Normaali 8">
  <autoFilter ref="A5:B45"/>
  <tableColumns count="2">
    <tableColumn id="1" name="KUNTA" dataDxfId="768" dataCellStyle="Normaali 8"/>
    <tableColumn id="2" name="% vastanneista melko tai erittäin tyytyväinen (4+5)" dataDxfId="767" dataCellStyle="Normaali 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9" name="TN_17A_kunnat" displayName="TN_17A_kunnat" ref="A4:AO44" totalsRowShown="0" headerRowDxfId="676" dataDxfId="675" headerRowCellStyle="Normaali 8" dataCellStyle="Normaali 8">
  <autoFilter ref="A4:AO44"/>
  <tableColumns count="41">
    <tableColumn id="1" name="KUNTA" dataDxfId="674" dataCellStyle="Normaali 8"/>
    <tableColumn id="2" name="K17A01" dataDxfId="673" dataCellStyle="Normaali 8"/>
    <tableColumn id="3" name="K17A02" dataDxfId="672" dataCellStyle="Normaali 8"/>
    <tableColumn id="4" name="K17A03" dataDxfId="671" dataCellStyle="Normaali 8"/>
    <tableColumn id="5" name="K17A04" dataDxfId="670" dataCellStyle="Normaali 8"/>
    <tableColumn id="6" name="K17A05" dataDxfId="669" dataCellStyle="Normaali 8"/>
    <tableColumn id="7" name="K17A06" dataDxfId="668" dataCellStyle="Normaali 8"/>
    <tableColumn id="8" name="K17A07" dataDxfId="667" dataCellStyle="Normaali 8"/>
    <tableColumn id="9" name="K17A08" dataDxfId="666" dataCellStyle="Normaali 8"/>
    <tableColumn id="10" name="K17A09" dataDxfId="665" dataCellStyle="Normaali 8"/>
    <tableColumn id="11" name="K17A10" dataDxfId="664" dataCellStyle="Normaali 8"/>
    <tableColumn id="12" name="K17A11" dataDxfId="663" dataCellStyle="Normaali 8"/>
    <tableColumn id="13" name="K17A12" dataDxfId="662" dataCellStyle="Normaali 8"/>
    <tableColumn id="14" name="K17A13" dataDxfId="661" dataCellStyle="Normaali 8"/>
    <tableColumn id="15" name="K17A14" dataDxfId="660" dataCellStyle="Normaali 8"/>
    <tableColumn id="16" name="K17A15" dataDxfId="659" dataCellStyle="Normaali 8"/>
    <tableColumn id="17" name="17A16" dataDxfId="658" dataCellStyle="Normaali 8"/>
    <tableColumn id="18" name="K17A17" dataDxfId="657" dataCellStyle="Normaali 8"/>
    <tableColumn id="19" name="K17A18" dataDxfId="656" dataCellStyle="Normaali 8"/>
    <tableColumn id="20" name="K17A19" dataDxfId="655" dataCellStyle="Normaali 8"/>
    <tableColumn id="21" name="K17A20" dataDxfId="654" dataCellStyle="Normaali 8"/>
    <tableColumn id="22" name="K17A21" dataDxfId="653" dataCellStyle="Normaali 8"/>
    <tableColumn id="23" name="K17A22" dataDxfId="652" dataCellStyle="Normaali 8"/>
    <tableColumn id="24" name="K17A23" dataDxfId="651" dataCellStyle="Normaali 8"/>
    <tableColumn id="25" name="K17A24" dataDxfId="650" dataCellStyle="Normaali 8"/>
    <tableColumn id="26" name="K17A25" dataDxfId="649" dataCellStyle="Normaali 8"/>
    <tableColumn id="27" name="K17A26" dataDxfId="648" dataCellStyle="Normaali 8"/>
    <tableColumn id="28" name="K17A27" dataDxfId="647" dataCellStyle="Normaali 8"/>
    <tableColumn id="29" name="K17A28" dataDxfId="646" dataCellStyle="Normaali 8"/>
    <tableColumn id="30" name="K17A29" dataDxfId="645" dataCellStyle="Normaali 8"/>
    <tableColumn id="31" name="K17A30" dataDxfId="644" dataCellStyle="Normaali 8"/>
    <tableColumn id="32" name="K17A31" dataDxfId="643" dataCellStyle="Normaali 8"/>
    <tableColumn id="33" name="K17A32" dataDxfId="642" dataCellStyle="Normaali 8"/>
    <tableColumn id="34" name="K17A33" dataDxfId="641" dataCellStyle="Normaali 8"/>
    <tableColumn id="35" name="K17A34" dataDxfId="640" dataCellStyle="Normaali 8"/>
    <tableColumn id="36" name="K17A35" dataDxfId="639" dataCellStyle="Normaali 8"/>
    <tableColumn id="37" name="K17A36" dataDxfId="638" dataCellStyle="Normaali 8"/>
    <tableColumn id="38" name="K17A37" dataDxfId="637" dataCellStyle="Normaali 8"/>
    <tableColumn id="39" name="K17A38" dataDxfId="636" dataCellStyle="Normaali 8"/>
    <tableColumn id="40" name="K17A39" dataDxfId="635" dataCellStyle="Normaali 8"/>
    <tableColumn id="41" name="N" dataDxfId="634" dataCellStyle="Normaali 8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" name="TN_K17A_ryhmat" displayName="TN_K17A_ryhmat" ref="A49:AO55" totalsRowShown="0" headerRowDxfId="633" dataDxfId="632" headerRowCellStyle="Normaali 8" dataCellStyle="Normaali 8">
  <autoFilter ref="A49:AO55"/>
  <tableColumns count="41">
    <tableColumn id="1" name="Kuntakokoluokka" dataDxfId="631" dataCellStyle="Normaali 8"/>
    <tableColumn id="2" name="K17A01" dataDxfId="630" dataCellStyle="Normaali 8"/>
    <tableColumn id="3" name="K17A02" dataDxfId="629" dataCellStyle="Normaali 8"/>
    <tableColumn id="4" name="K17A03" dataDxfId="628" dataCellStyle="Normaali 8"/>
    <tableColumn id="5" name="K17A04" dataDxfId="627" dataCellStyle="Normaali 8"/>
    <tableColumn id="6" name="K17A05" dataDxfId="626" dataCellStyle="Normaali 8"/>
    <tableColumn id="7" name="K17A06" dataDxfId="625" dataCellStyle="Normaali 8"/>
    <tableColumn id="8" name="K17A07" dataDxfId="624" dataCellStyle="Normaali 8"/>
    <tableColumn id="9" name="K17A08" dataDxfId="623" dataCellStyle="Normaali 8"/>
    <tableColumn id="10" name="K17A09" dataDxfId="622" dataCellStyle="Normaali 8"/>
    <tableColumn id="11" name="K17A10" dataDxfId="621" dataCellStyle="Normaali 8"/>
    <tableColumn id="12" name="K17A11" dataDxfId="620" dataCellStyle="Normaali 8"/>
    <tableColumn id="13" name="K17A12" dataDxfId="619" dataCellStyle="Normaali 8"/>
    <tableColumn id="14" name="K17A13" dataDxfId="618" dataCellStyle="Normaali 8"/>
    <tableColumn id="15" name="K17A14" dataDxfId="617" dataCellStyle="Normaali 8"/>
    <tableColumn id="16" name="K17A15" dataDxfId="616" dataCellStyle="Normaali 8"/>
    <tableColumn id="17" name="17A16" dataDxfId="615" dataCellStyle="Normaali 8"/>
    <tableColumn id="18" name="K17A17" dataDxfId="614" dataCellStyle="Normaali 8"/>
    <tableColumn id="19" name="K17A18" dataDxfId="613" dataCellStyle="Normaali 8"/>
    <tableColumn id="20" name="K17A19" dataDxfId="612" dataCellStyle="Normaali 8"/>
    <tableColumn id="21" name="K17A20" dataDxfId="611" dataCellStyle="Normaali 8"/>
    <tableColumn id="22" name="K17A21" dataDxfId="610" dataCellStyle="Normaali 8"/>
    <tableColumn id="23" name="K17A22" dataDxfId="609" dataCellStyle="Normaali 8"/>
    <tableColumn id="24" name="K17A23" dataDxfId="608" dataCellStyle="Normaali 8"/>
    <tableColumn id="25" name="K17A24" dataDxfId="607" dataCellStyle="Normaali 8"/>
    <tableColumn id="26" name="K17A25" dataDxfId="606" dataCellStyle="Normaali 8"/>
    <tableColumn id="27" name="K17A26" dataDxfId="605" dataCellStyle="Normaali 8"/>
    <tableColumn id="28" name="K17A27" dataDxfId="604" dataCellStyle="Normaali 8"/>
    <tableColumn id="29" name="K17A28" dataDxfId="603" dataCellStyle="Normaali 8"/>
    <tableColumn id="30" name="K17A29" dataDxfId="602" dataCellStyle="Normaali 8"/>
    <tableColumn id="31" name="K17A30" dataDxfId="601" dataCellStyle="Normaali 8"/>
    <tableColumn id="32" name="K17A31" dataDxfId="600" dataCellStyle="Normaali 8"/>
    <tableColumn id="33" name="K17A32" dataDxfId="599" dataCellStyle="Normaali 8"/>
    <tableColumn id="34" name="K17A33" dataDxfId="598" dataCellStyle="Normaali 8"/>
    <tableColumn id="35" name="K17A34" dataDxfId="597" dataCellStyle="Normaali 8"/>
    <tableColumn id="36" name="K17A35" dataDxfId="596" dataCellStyle="Normaali 8"/>
    <tableColumn id="37" name="K17A36" dataDxfId="595" dataCellStyle="Normaali 8"/>
    <tableColumn id="38" name="K17A37" dataDxfId="594" dataCellStyle="Normaali 8"/>
    <tableColumn id="39" name="K17A38" dataDxfId="593" dataCellStyle="Normaali 8"/>
    <tableColumn id="40" name="K17A39" dataDxfId="592" dataCellStyle="Normaali 8"/>
    <tableColumn id="41" name="N" dataDxfId="591" dataCellStyle="Normaali 8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1" name="TN_K17B_kunnat" displayName="TN_K17B_kunnat" ref="A5:AS45" totalsRowShown="0" headerRowDxfId="590" dataDxfId="589" headerRowCellStyle="Normaali 8" dataCellStyle="Normaali 8">
  <autoFilter ref="A5:AS45"/>
  <tableColumns count="45">
    <tableColumn id="1" name="KUNTA" dataDxfId="588" dataCellStyle="Normaali 8"/>
    <tableColumn id="2" name="K17B01" dataDxfId="587" dataCellStyle="Normaali 8"/>
    <tableColumn id="3" name="K17B02" dataDxfId="586" dataCellStyle="Normaali 8"/>
    <tableColumn id="4" name="K17B03" dataDxfId="585" dataCellStyle="Normaali 8"/>
    <tableColumn id="5" name="K17B04" dataDxfId="584" dataCellStyle="Normaali 8"/>
    <tableColumn id="6" name="K17B05" dataDxfId="583" dataCellStyle="Normaali 8"/>
    <tableColumn id="7" name="K17B06" dataDxfId="582" dataCellStyle="Normaali 8"/>
    <tableColumn id="8" name="K17B07" dataDxfId="581" dataCellStyle="Normaali 8"/>
    <tableColumn id="9" name="K17B08" dataDxfId="580" dataCellStyle="Normaali 8"/>
    <tableColumn id="10" name="K17B09" dataDxfId="579" dataCellStyle="Normaali 8"/>
    <tableColumn id="11" name="K17B10" dataDxfId="578" dataCellStyle="Normaali 8"/>
    <tableColumn id="12" name="K17B11" dataDxfId="577" dataCellStyle="Normaali 8"/>
    <tableColumn id="13" name="K17B12" dataDxfId="576" dataCellStyle="Normaali 8"/>
    <tableColumn id="14" name="K17B13" dataDxfId="575" dataCellStyle="Normaali 8"/>
    <tableColumn id="15" name="K17B14" dataDxfId="574" dataCellStyle="Normaali 8"/>
    <tableColumn id="16" name="K17B15" dataDxfId="573" dataCellStyle="Normaali 8"/>
    <tableColumn id="17" name="17B16" dataDxfId="572" dataCellStyle="Normaali 8"/>
    <tableColumn id="18" name="K17B17" dataDxfId="571" dataCellStyle="Normaali 8"/>
    <tableColumn id="19" name="K17B18" dataDxfId="570" dataCellStyle="Normaali 8"/>
    <tableColumn id="20" name="K17B19" dataDxfId="569" dataCellStyle="Normaali 8"/>
    <tableColumn id="21" name="K17B20" dataDxfId="568" dataCellStyle="Normaali 8"/>
    <tableColumn id="22" name="K17B21" dataDxfId="567" dataCellStyle="Normaali 8"/>
    <tableColumn id="23" name="K17B22" dataDxfId="566" dataCellStyle="Normaali 8"/>
    <tableColumn id="24" name="K17B23" dataDxfId="565" dataCellStyle="Normaali 8"/>
    <tableColumn id="25" name="K17B24" dataDxfId="564" dataCellStyle="Normaali 8"/>
    <tableColumn id="26" name="K17B25" dataDxfId="563" dataCellStyle="Normaali 8"/>
    <tableColumn id="27" name="K17B26" dataDxfId="562" dataCellStyle="Normaali 8"/>
    <tableColumn id="28" name="K17B27" dataDxfId="561" dataCellStyle="Normaali 8"/>
    <tableColumn id="29" name="K17B28" dataDxfId="560" dataCellStyle="Normaali 8"/>
    <tableColumn id="30" name="K17B29" dataDxfId="559" dataCellStyle="Normaali 8"/>
    <tableColumn id="31" name="K17B30" dataDxfId="558" dataCellStyle="Normaali 8"/>
    <tableColumn id="32" name="K17B31" dataDxfId="557" dataCellStyle="Normaali 8"/>
    <tableColumn id="33" name="K17B32" dataDxfId="556" dataCellStyle="Normaali 8"/>
    <tableColumn id="34" name="K17B33" dataDxfId="555" dataCellStyle="Normaali 8"/>
    <tableColumn id="35" name="K17B34" dataDxfId="554" dataCellStyle="Normaali 8"/>
    <tableColumn id="36" name="K17B35" dataDxfId="553" dataCellStyle="Normaali 8"/>
    <tableColumn id="37" name="K17B36" dataDxfId="552" dataCellStyle="Normaali 8"/>
    <tableColumn id="38" name="K17B37" dataDxfId="551" dataCellStyle="Normaali 8"/>
    <tableColumn id="39" name="K17B38" dataDxfId="550" dataCellStyle="Normaali 8"/>
    <tableColumn id="40" name="K17B39" dataDxfId="549" dataCellStyle="Normaali 8"/>
    <tableColumn id="41" name="K17B40" dataDxfId="548" dataCellStyle="Normaali 8"/>
    <tableColumn id="42" name="K17B41" dataDxfId="547" dataCellStyle="Normaali 8"/>
    <tableColumn id="43" name="K17B42" dataDxfId="546" dataCellStyle="Normaali 8"/>
    <tableColumn id="44" name="K17B43" dataDxfId="545" dataCellStyle="Normaali 8"/>
    <tableColumn id="45" name="N_2017" dataDxfId="544" dataCellStyle="Normaali 8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2" name="TN_K17B_ryhmat" displayName="TN_K17B_ryhmat" ref="A50:AS56" totalsRowShown="0" headerRowDxfId="543" dataDxfId="542" headerRowCellStyle="Normaali 8" dataCellStyle="Normaali 8">
  <autoFilter ref="A50:AS56"/>
  <tableColumns count="45">
    <tableColumn id="1" name="Kuntakokoluokka" dataDxfId="541" dataCellStyle="Normaali 8"/>
    <tableColumn id="2" name="K17B01" dataDxfId="540" dataCellStyle="Normaali 8"/>
    <tableColumn id="3" name="K17B02" dataDxfId="539" dataCellStyle="Normaali 8"/>
    <tableColumn id="4" name="K17B03" dataDxfId="538" dataCellStyle="Normaali 8"/>
    <tableColumn id="5" name="K17B04" dataDxfId="537" dataCellStyle="Normaali 8"/>
    <tableColumn id="6" name="K17B05" dataDxfId="536" dataCellStyle="Normaali 8"/>
    <tableColumn id="7" name="K17B06" dataDxfId="535" dataCellStyle="Normaali 8"/>
    <tableColumn id="8" name="K17B07" dataDxfId="534" dataCellStyle="Normaali 8"/>
    <tableColumn id="9" name="K1B08" dataDxfId="533" dataCellStyle="Normaali 8"/>
    <tableColumn id="10" name="K17B09" dataDxfId="532" dataCellStyle="Normaali 8"/>
    <tableColumn id="11" name="K17B10" dataDxfId="531" dataCellStyle="Normaali 8"/>
    <tableColumn id="12" name="K1B11" dataDxfId="530" dataCellStyle="Normaali 8"/>
    <tableColumn id="13" name="K17B12" dataDxfId="529" dataCellStyle="Normaali 8"/>
    <tableColumn id="14" name="K17B13" dataDxfId="528" dataCellStyle="Normaali 8"/>
    <tableColumn id="15" name="K17B14" dataDxfId="527" dataCellStyle="Normaali 8"/>
    <tableColumn id="16" name="K1B15" dataDxfId="526" dataCellStyle="Normaali 8"/>
    <tableColumn id="17" name="17B16" dataDxfId="525" dataCellStyle="Normaali 8"/>
    <tableColumn id="18" name="K17B17" dataDxfId="524" dataCellStyle="Normaali 8"/>
    <tableColumn id="19" name="K17B18" dataDxfId="523" dataCellStyle="Normaali 8"/>
    <tableColumn id="20" name="K17B19" dataDxfId="522" dataCellStyle="Normaali 8"/>
    <tableColumn id="21" name="K17B20" dataDxfId="521" dataCellStyle="Normaali 8"/>
    <tableColumn id="22" name="K17B21" dataDxfId="520" dataCellStyle="Normaali 8"/>
    <tableColumn id="23" name="K17B22" dataDxfId="519" dataCellStyle="Normaali 8"/>
    <tableColumn id="24" name="K17B23" dataDxfId="518" dataCellStyle="Normaali 8"/>
    <tableColumn id="25" name="K17B24" dataDxfId="517" dataCellStyle="Normaali 8"/>
    <tableColumn id="26" name="K17B25" dataDxfId="516" dataCellStyle="Normaali 8"/>
    <tableColumn id="27" name="K17B26" dataDxfId="515" dataCellStyle="Normaali 8"/>
    <tableColumn id="28" name="K17B27" dataDxfId="514" dataCellStyle="Normaali 8"/>
    <tableColumn id="29" name="K17B28" dataDxfId="513" dataCellStyle="Normaali 8"/>
    <tableColumn id="30" name="K17B29" dataDxfId="512" dataCellStyle="Normaali 8"/>
    <tableColumn id="31" name="K17B30" dataDxfId="511" dataCellStyle="Normaali 8"/>
    <tableColumn id="32" name="K17B31" dataDxfId="510" dataCellStyle="Normaali 8"/>
    <tableColumn id="33" name="K17B32" dataDxfId="509" dataCellStyle="Normaali 8"/>
    <tableColumn id="34" name="K17B33" dataDxfId="508" dataCellStyle="Normaali 8"/>
    <tableColumn id="35" name="K17B34" dataDxfId="507" dataCellStyle="Normaali 8"/>
    <tableColumn id="36" name="K17B35" dataDxfId="506" dataCellStyle="Normaali 8"/>
    <tableColumn id="37" name="K17B36" dataDxfId="505" dataCellStyle="Normaali 8"/>
    <tableColumn id="38" name="K17B37" dataDxfId="504" dataCellStyle="Normaali 8"/>
    <tableColumn id="39" name="K17B38" dataDxfId="503" dataCellStyle="Normaali 8"/>
    <tableColumn id="40" name="K17B39" dataDxfId="502" dataCellStyle="Normaali 8"/>
    <tableColumn id="41" name="K17B40" dataDxfId="501" dataCellStyle="Normaali 8"/>
    <tableColumn id="42" name="K17B41" dataDxfId="500" dataCellStyle="Normaali 8"/>
    <tableColumn id="43" name="K17B42" dataDxfId="499" dataCellStyle="Normaali 8"/>
    <tableColumn id="44" name="K17B43" dataDxfId="498" dataCellStyle="Normaali 8"/>
    <tableColumn id="45" name="N_2017" dataDxfId="497" dataCellStyle="Normaali 8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3" name="TN_K18_kunnat" displayName="TN_K18_kunnat" ref="A5:AO45" totalsRowShown="0" headerRowDxfId="496" dataDxfId="495" headerRowCellStyle="Normaali 8" dataCellStyle="Normaali 8">
  <autoFilter ref="A5:AO45"/>
  <tableColumns count="41">
    <tableColumn id="1" name="KUNTA" dataDxfId="494" dataCellStyle="Normaali 8"/>
    <tableColumn id="2" name="K1801" dataDxfId="493" dataCellStyle="Normaali 8"/>
    <tableColumn id="3" name="K1802" dataDxfId="492" dataCellStyle="Normaali 8"/>
    <tableColumn id="4" name="K1803" dataDxfId="491" dataCellStyle="Normaali 8"/>
    <tableColumn id="5" name="K1804" dataDxfId="490" dataCellStyle="Normaali 8"/>
    <tableColumn id="6" name="K1805" dataDxfId="489" dataCellStyle="Normaali 8"/>
    <tableColumn id="7" name="K1806" dataDxfId="488" dataCellStyle="Normaali 8"/>
    <tableColumn id="8" name="K1807" dataDxfId="487" dataCellStyle="Normaali 8"/>
    <tableColumn id="9" name="K1808" dataDxfId="486" dataCellStyle="Normaali 8"/>
    <tableColumn id="10" name="K1809" dataDxfId="485" dataCellStyle="Normaali 8"/>
    <tableColumn id="11" name="K1810" dataDxfId="484" dataCellStyle="Normaali 8"/>
    <tableColumn id="12" name="K1811" dataDxfId="483" dataCellStyle="Normaali 8"/>
    <tableColumn id="13" name="K1812" dataDxfId="482" dataCellStyle="Normaali 8"/>
    <tableColumn id="14" name="K1813" dataDxfId="481" dataCellStyle="Normaali 8"/>
    <tableColumn id="15" name="K1814" dataDxfId="480" dataCellStyle="Normaali 8"/>
    <tableColumn id="16" name="K1815" dataDxfId="479" dataCellStyle="Normaali 8"/>
    <tableColumn id="17" name="K1816" dataDxfId="478" dataCellStyle="Normaali 8"/>
    <tableColumn id="18" name="K1817" dataDxfId="477" dataCellStyle="Normaali 8"/>
    <tableColumn id="19" name="K1818" dataDxfId="476" dataCellStyle="Normaali 8"/>
    <tableColumn id="20" name="K1819" dataDxfId="475" dataCellStyle="Normaali 8"/>
    <tableColumn id="21" name="K1820" dataDxfId="474" dataCellStyle="Normaali 8"/>
    <tableColumn id="22" name="K1821" dataDxfId="473" dataCellStyle="Normaali 8"/>
    <tableColumn id="23" name="K1822" dataDxfId="472" dataCellStyle="Normaali 8"/>
    <tableColumn id="24" name="K1823" dataDxfId="471" dataCellStyle="Normaali 8"/>
    <tableColumn id="25" name="K1824" dataDxfId="470" dataCellStyle="Normaali 8"/>
    <tableColumn id="26" name="K1825" dataDxfId="469" dataCellStyle="Normaali 8"/>
    <tableColumn id="27" name="K1826" dataDxfId="468" dataCellStyle="Normaali 8"/>
    <tableColumn id="28" name="K1827" dataDxfId="467" dataCellStyle="Normaali 8"/>
    <tableColumn id="29" name="K1828" dataDxfId="466" dataCellStyle="Normaali 8"/>
    <tableColumn id="30" name="K1829" dataDxfId="465" dataCellStyle="Normaali 8"/>
    <tableColumn id="31" name="K1830" dataDxfId="464" dataCellStyle="Normaali 8"/>
    <tableColumn id="32" name="K1831" dataDxfId="463" dataCellStyle="Normaali 8"/>
    <tableColumn id="33" name="K1832" dataDxfId="462" dataCellStyle="Normaali 8"/>
    <tableColumn id="34" name="K1833" dataDxfId="461" dataCellStyle="Normaali 8"/>
    <tableColumn id="35" name="K1834" dataDxfId="460" dataCellStyle="Normaali 8"/>
    <tableColumn id="36" name="K1835" dataDxfId="459" dataCellStyle="Normaali 8"/>
    <tableColumn id="37" name="K1836" dataDxfId="458" dataCellStyle="Normaali 8"/>
    <tableColumn id="38" name="K1837" dataDxfId="457" dataCellStyle="Normaali 8"/>
    <tableColumn id="39" name="K1838" dataDxfId="456" dataCellStyle="Normaali 8"/>
    <tableColumn id="40" name="K1839" dataDxfId="455" dataCellStyle="Normaali 8"/>
    <tableColumn id="41" name="N_2017" dataDxfId="454" dataCellStyle="Normaali 8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34" name="TN_K18_ryhmat" displayName="TN_K18_ryhmat" ref="A51:AO57" totalsRowShown="0" headerRowDxfId="453" dataDxfId="452" headerRowCellStyle="Normaali 8" dataCellStyle="Normaali 8">
  <autoFilter ref="A51:AO57"/>
  <tableColumns count="41">
    <tableColumn id="1" name="Kuntakokoluokka" dataDxfId="451" dataCellStyle="Normaali 8"/>
    <tableColumn id="2" name="K1801" dataDxfId="450" dataCellStyle="Normaali 8"/>
    <tableColumn id="3" name="K1802" dataDxfId="449" dataCellStyle="Normaali 8"/>
    <tableColumn id="4" name="K1803" dataDxfId="448" dataCellStyle="Normaali 8"/>
    <tableColumn id="5" name="K1804" dataDxfId="447" dataCellStyle="Normaali 8"/>
    <tableColumn id="6" name="K1805" dataDxfId="446" dataCellStyle="Normaali 8"/>
    <tableColumn id="7" name="K1806" dataDxfId="445" dataCellStyle="Normaali 8"/>
    <tableColumn id="8" name="K1807" dataDxfId="444" dataCellStyle="Normaali 8"/>
    <tableColumn id="9" name="K1808" dataDxfId="443" dataCellStyle="Normaali 8"/>
    <tableColumn id="10" name="K1809" dataDxfId="442" dataCellStyle="Normaali 8"/>
    <tableColumn id="11" name="K1810" dataDxfId="441" dataCellStyle="Normaali 8"/>
    <tableColumn id="12" name="K1811" dataDxfId="440" dataCellStyle="Normaali 8"/>
    <tableColumn id="13" name="K1812" dataDxfId="439" dataCellStyle="Normaali 8"/>
    <tableColumn id="14" name="K1813" dataDxfId="438" dataCellStyle="Normaali 8"/>
    <tableColumn id="15" name="K1814" dataDxfId="437" dataCellStyle="Normaali 8"/>
    <tableColumn id="16" name="K1815" dataDxfId="436" dataCellStyle="Normaali 8"/>
    <tableColumn id="17" name="K1816" dataDxfId="435" dataCellStyle="Normaali 8"/>
    <tableColumn id="18" name="K1817" dataDxfId="434" dataCellStyle="Normaali 8"/>
    <tableColumn id="19" name="K1818" dataDxfId="433" dataCellStyle="Normaali 8"/>
    <tableColumn id="20" name="K1819" dataDxfId="432" dataCellStyle="Normaali 8"/>
    <tableColumn id="21" name="K1820" dataDxfId="431" dataCellStyle="Normaali 8"/>
    <tableColumn id="22" name="K1821" dataDxfId="430" dataCellStyle="Normaali 8"/>
    <tableColumn id="23" name="K1822" dataDxfId="429" dataCellStyle="Normaali 8"/>
    <tableColumn id="24" name="K1823" dataDxfId="428" dataCellStyle="Normaali 8"/>
    <tableColumn id="25" name="K1824" dataDxfId="427" dataCellStyle="Normaali 8"/>
    <tableColumn id="26" name="K1825" dataDxfId="426" dataCellStyle="Normaali 8"/>
    <tableColumn id="27" name="K1826" dataDxfId="425" dataCellStyle="Normaali 8"/>
    <tableColumn id="28" name="K1827" dataDxfId="424" dataCellStyle="Normaali 8"/>
    <tableColumn id="29" name="K1828" dataDxfId="423" dataCellStyle="Normaali 8"/>
    <tableColumn id="30" name="K1829" dataDxfId="422" dataCellStyle="Normaali 8"/>
    <tableColumn id="31" name="K1830" dataDxfId="421" dataCellStyle="Normaali 8"/>
    <tableColumn id="32" name="K1831" dataDxfId="420" dataCellStyle="Normaali 8"/>
    <tableColumn id="33" name="K1832" dataDxfId="419" dataCellStyle="Normaali 8"/>
    <tableColumn id="34" name="K1833" dataDxfId="418" dataCellStyle="Normaali 8"/>
    <tableColumn id="35" name="K1834" dataDxfId="417" dataCellStyle="Normaali 8"/>
    <tableColumn id="36" name="K1835" dataDxfId="416" dataCellStyle="Normaali 8"/>
    <tableColumn id="37" name="K1836" dataDxfId="415" dataCellStyle="Normaali 8"/>
    <tableColumn id="38" name="K1837" dataDxfId="414" dataCellStyle="Normaali 8"/>
    <tableColumn id="39" name="K1838" dataDxfId="413" dataCellStyle="Normaali 8"/>
    <tableColumn id="40" name="K1839" dataDxfId="412" dataCellStyle="Normaali 8"/>
    <tableColumn id="41" name="N_2017" dataDxfId="411" dataCellStyle="Normaali 8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5" name="TN_K20A_kunnat" displayName="TN_K20A_kunnat" ref="A4:H44" totalsRowShown="0" headerRowDxfId="410" dataDxfId="409" headerRowCellStyle="Normaali 8" dataCellStyle="Normaali 8">
  <autoFilter ref="A4:H44"/>
  <tableColumns count="8">
    <tableColumn id="1" name="KUNTA" dataDxfId="408" dataCellStyle="Normaali 8"/>
    <tableColumn id="2" name="K20A01" dataDxfId="407" dataCellStyle="Normaali 8"/>
    <tableColumn id="3" name="K20A02" dataDxfId="406" dataCellStyle="Normaali 8"/>
    <tableColumn id="4" name="K20A03" dataDxfId="405" dataCellStyle="Normaali 8"/>
    <tableColumn id="5" name="K20A04" dataDxfId="404" dataCellStyle="Normaali 8"/>
    <tableColumn id="6" name="K20A05" dataDxfId="403" dataCellStyle="Normaali 8"/>
    <tableColumn id="7" name="K20A06" dataDxfId="402" dataCellStyle="Normaali 8"/>
    <tableColumn id="8" name="N_2017" dataDxfId="401" dataCellStyle="Normaali 8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6" name="TN_K20A_ryhmat" displayName="TN_K20A_ryhmat" ref="A48:H54" totalsRowShown="0" headerRowDxfId="400" dataDxfId="399" headerRowCellStyle="Normaali 8" dataCellStyle="Normaali 8">
  <autoFilter ref="A48:H54"/>
  <tableColumns count="8">
    <tableColumn id="1" name="Kuntakokoluokka" dataDxfId="398" dataCellStyle="Normaali 8"/>
    <tableColumn id="2" name="K20A01" dataDxfId="397" dataCellStyle="Normaali 8"/>
    <tableColumn id="3" name="K20A02" dataDxfId="396" dataCellStyle="Normaali 8"/>
    <tableColumn id="4" name="K20A03" dataDxfId="395" dataCellStyle="Normaali 8"/>
    <tableColumn id="5" name="K20A04" dataDxfId="394" dataCellStyle="Normaali 8"/>
    <tableColumn id="6" name="K20A05" dataDxfId="393" dataCellStyle="Normaali 8"/>
    <tableColumn id="7" name="K20A06" dataDxfId="392" dataCellStyle="Normaali 8"/>
    <tableColumn id="8" name="N_2017" dataDxfId="391" dataCellStyle="Normaali 8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7" name="TN_K20B_kunnat" displayName="TN_K20B_kunnat" ref="A4:D44" totalsRowShown="0" dataDxfId="390" dataCellStyle="Normaali 8">
  <autoFilter ref="A4:D44"/>
  <tableColumns count="4">
    <tableColumn id="1" name="KUNTA" dataDxfId="389" dataCellStyle="Normaali 8"/>
    <tableColumn id="2" name="K20B01" dataDxfId="388" dataCellStyle="Normaali 8"/>
    <tableColumn id="3" name="K20B02" dataDxfId="387" dataCellStyle="Normaali 8"/>
    <tableColumn id="4" name="N_2017" dataDxfId="386" dataCellStyle="Normaali 8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8" name="TN_K20B_ryhmat" displayName="TN_K20B_ryhmat" ref="A48:D54" totalsRowShown="0" dataDxfId="385" dataCellStyle="Normaali 8">
  <autoFilter ref="A48:D54"/>
  <tableColumns count="4">
    <tableColumn id="1" name="Kuntakokoluokka" dataDxfId="384" dataCellStyle="Normaali 8"/>
    <tableColumn id="2" name="K20B01" dataDxfId="383" dataCellStyle="Normaali 8"/>
    <tableColumn id="3" name="K20B02" dataDxfId="382" dataCellStyle="Normaali 8"/>
    <tableColumn id="4" name="N_2017" dataDxfId="381" dataCellStyle="Normaali 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2" name="TN_K11_ryhmat" displayName="TN_K11_ryhmat" ref="A49:B55" totalsRowShown="0" dataDxfId="766" dataCellStyle="Normaali 8">
  <autoFilter ref="A49:B55"/>
  <tableColumns count="2">
    <tableColumn id="1" name="Kuntakokoluokka:" dataDxfId="765" dataCellStyle="Normaali 8"/>
    <tableColumn id="2" name="% vastanneista melko tai erittäin tyytyväinen (4+5)" dataDxfId="764" dataCellStyle="Normaali 8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9" name="TN_K25_kunnat" displayName="TN_K25_kunnat" ref="A6:E46" totalsRowShown="0" headerRowDxfId="380" dataDxfId="379">
  <autoFilter ref="A6:E46"/>
  <tableColumns count="5">
    <tableColumn id="1" name="KUNTA" dataDxfId="378"/>
    <tableColumn id="2" name="ei kiinnostunut (1+2)" dataDxfId="377"/>
    <tableColumn id="3" name="neutraali (3)" dataDxfId="376"/>
    <tableColumn id="4" name="kiinnostunut (4+5)" dataDxfId="375"/>
    <tableColumn id="5" name="N-2017" dataDxfId="374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40" name="TN_K25_ryhmat" displayName="TN_K25_ryhmat" ref="A51:E57" totalsRowShown="0" headerRowDxfId="373" dataDxfId="372">
  <autoFilter ref="A51:E57"/>
  <tableColumns count="5">
    <tableColumn id="1" name="Kuntakokoluokka:" dataDxfId="371" dataCellStyle="Normaali 8"/>
    <tableColumn id="2" name="ei kiinnostunut (1+2)" dataDxfId="370"/>
    <tableColumn id="3" name="neutraali (3)" dataDxfId="369"/>
    <tableColumn id="4" name="kiinnostunut (4+5)" dataDxfId="368"/>
    <tableColumn id="5" name="N-2017" dataDxfId="367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1" name="TN_K26_kunnat" displayName="TN_K26_kunnat" ref="A5:J45" totalsRowShown="0" headerRowDxfId="366" dataDxfId="365">
  <autoFilter ref="A5:J45"/>
  <tableColumns count="10">
    <tableColumn id="1" name="KUNTA" dataDxfId="364"/>
    <tableColumn id="2" name="K26.01" dataDxfId="363"/>
    <tableColumn id="3" name="K26.02" dataDxfId="362"/>
    <tableColumn id="4" name="K26.03" dataDxfId="361"/>
    <tableColumn id="5" name="K26.04" dataDxfId="360"/>
    <tableColumn id="6" name="K26.05" dataDxfId="359"/>
    <tableColumn id="7" name="K26.06" dataDxfId="358"/>
    <tableColumn id="8" name="K26.07" dataDxfId="357"/>
    <tableColumn id="9" name="K26.08" dataDxfId="356"/>
    <tableColumn id="10" name="N-2017" dataDxfId="355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42" name="TN_K26_ryhmat" displayName="TN_K26_ryhmat" ref="A51:J57" totalsRowShown="0" headerRowDxfId="354" dataDxfId="353">
  <autoFilter ref="A51:J57"/>
  <tableColumns count="10">
    <tableColumn id="1" name="Kuntakokoluokka:" dataDxfId="352" dataCellStyle="Normaali 8"/>
    <tableColumn id="2" name="K26.01" dataDxfId="351"/>
    <tableColumn id="3" name="K26.02" dataDxfId="350"/>
    <tableColumn id="4" name="K26.03" dataDxfId="349"/>
    <tableColumn id="5" name="K26.04" dataDxfId="348"/>
    <tableColumn id="6" name="K26.05" dataDxfId="347"/>
    <tableColumn id="7" name="K26.06" dataDxfId="346"/>
    <tableColumn id="8" name="K26.07" dataDxfId="345"/>
    <tableColumn id="9" name="K26.08" dataDxfId="344"/>
    <tableColumn id="10" name="N-2017" dataDxfId="34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43" name="TN_K27_kunnat" displayName="TN_K27_kunnat" ref="A4:E44" totalsRowShown="0" headerRowDxfId="342" dataDxfId="341">
  <autoFilter ref="A4:E44"/>
  <tableColumns count="5">
    <tableColumn id="1" name="KUNTA" dataDxfId="340"/>
    <tableColumn id="2" name="en ole koskaan toiminut" dataDxfId="339"/>
    <tableColumn id="3" name="kyllä, olen toiminut aikaisemmin" dataDxfId="338"/>
    <tableColumn id="4" name="kyllä, toimin parastaikaa" dataDxfId="337"/>
    <tableColumn id="5" name="N-2017" dataDxfId="336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4" name="TN_K27_ryhmat" displayName="TN_K27_ryhmat" ref="A48:E54" totalsRowShown="0" headerRowDxfId="335" dataDxfId="334">
  <autoFilter ref="A48:E54"/>
  <tableColumns count="5">
    <tableColumn id="1" name="Kuntakokoluokka:" dataDxfId="333" dataCellStyle="Normaali 8"/>
    <tableColumn id="2" name="en ole koskaan toiminut" dataDxfId="332"/>
    <tableColumn id="3" name="kyllä, olen toiminut aikaisemmin" dataDxfId="331"/>
    <tableColumn id="4" name="kyllä, toimin parastaikaa" dataDxfId="330"/>
    <tableColumn id="5" name="N-2017" dataDxfId="329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5" name="TN_K28_kunnat" displayName="TN_K28_kunnat" ref="A4:E44" totalsRowShown="0" headerRowDxfId="328" dataDxfId="327">
  <autoFilter ref="A4:E44"/>
  <tableColumns count="5">
    <tableColumn id="1" name="KUNTA" dataDxfId="326"/>
    <tableColumn id="2" name="en ole" dataDxfId="325"/>
    <tableColumn id="3" name="ehkä" dataDxfId="324"/>
    <tableColumn id="4" name="kyllä" dataDxfId="323"/>
    <tableColumn id="5" name="N-2017" dataDxfId="322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6" name="TN_K28_ryhmat" displayName="TN_K28_ryhmat" ref="A47:E53" totalsRowShown="0" headerRowDxfId="321" dataDxfId="320">
  <autoFilter ref="A47:E53"/>
  <tableColumns count="5">
    <tableColumn id="1" name="Kuntakokoluokka:" dataDxfId="319" dataCellStyle="Normaali 8"/>
    <tableColumn id="2" name="en ole" dataDxfId="318"/>
    <tableColumn id="3" name="ehkä" dataDxfId="317"/>
    <tableColumn id="4" name="kyllä" dataDxfId="316"/>
    <tableColumn id="5" name="N-2017" dataDxfId="315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47" name="TN_K30_kunnat" displayName="TN_K30_kunnat" ref="A4:G44" totalsRowShown="0" headerRowDxfId="314" dataDxfId="313">
  <autoFilter ref="A4:G44"/>
  <tableColumns count="7">
    <tableColumn id="1" name="KUNTA" dataDxfId="312"/>
    <tableColumn id="2" name="aina samaa " dataDxfId="311"/>
    <tableColumn id="3" name="pääsääntöisesti samaa" dataDxfId="310"/>
    <tableColumn id="4" name="vaihtelee eri vaaleissa" dataDxfId="309"/>
    <tableColumn id="5" name="en äänestä koskaan" dataDxfId="308"/>
    <tableColumn id="6" name="äänestän eka kertaa" dataDxfId="307"/>
    <tableColumn id="7" name="N-2017" dataDxfId="306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8" name="TN_K30_ryhmat" displayName="TN_K30_ryhmat" ref="A48:G54" totalsRowShown="0" headerRowDxfId="305" dataDxfId="304">
  <autoFilter ref="A48:G54"/>
  <tableColumns count="7">
    <tableColumn id="1" name="Kuntakokoluokka:" dataDxfId="303" dataCellStyle="Normaali 8"/>
    <tableColumn id="2" name="aina samaa " dataDxfId="302"/>
    <tableColumn id="3" name="pääsääntöisesti samaa" dataDxfId="301"/>
    <tableColumn id="4" name="vaihtelee eri vaaleissa" dataDxfId="300"/>
    <tableColumn id="5" name="en äänestä koskaan" dataDxfId="299"/>
    <tableColumn id="6" name="äänestän eka kertaa" dataDxfId="298"/>
    <tableColumn id="7" name="N-2017" dataDxfId="29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3" name="TN_K12_kunnat" displayName="TN_K12_kunnat" ref="A5:B45" totalsRowShown="0" dataDxfId="763" dataCellStyle="Normaali 8">
  <autoFilter ref="A5:B45"/>
  <tableColumns count="2">
    <tableColumn id="1" name="KUNTA" dataDxfId="762" dataCellStyle="Normaali 8"/>
    <tableColumn id="2" name="% vastanneista kykenee hoitamaan melko tai erittäin hyvin (4+5)" dataDxfId="761" dataCellStyle="Normaali 8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9" name="TN_K31_kunnat" displayName="TN_K31_kunnat" ref="A7:H47" totalsRowShown="0" headerRowDxfId="296" dataDxfId="295">
  <autoFilter ref="A7:H47"/>
  <tableColumns count="8">
    <tableColumn id="1" name="KUNTA" dataDxfId="294"/>
    <tableColumn id="2" name="henkilö" dataDxfId="293"/>
    <tableColumn id="3" name="sukupuoli" dataDxfId="292"/>
    <tableColumn id="4" name="ikä" dataDxfId="291"/>
    <tableColumn id="5" name="puolue/valitsijayhdistys" dataDxfId="290"/>
    <tableColumn id="6" name="oman kylän, kunnan- tai kaupunginosan ehdokas" dataDxfId="289"/>
    <tableColumn id="7" name="jokin muu" dataDxfId="288"/>
    <tableColumn id="8" name="N-2017" dataDxfId="287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50" name="TN_K31_ryhmat" displayName="TN_K31_ryhmat" ref="A51:H57" totalsRowShown="0" headerRowDxfId="286" dataDxfId="285">
  <autoFilter ref="A51:H57"/>
  <tableColumns count="8">
    <tableColumn id="1" name="Kuntakokoluokka:" dataDxfId="284" dataCellStyle="Normaali 8"/>
    <tableColumn id="2" name="henkilö" dataDxfId="283"/>
    <tableColumn id="3" name="sukupuoli" dataDxfId="282"/>
    <tableColumn id="4" name="ikä" dataDxfId="281"/>
    <tableColumn id="5" name="puolue/valitsijayhdistys" dataDxfId="280"/>
    <tableColumn id="6" name="oman kylän, kunnan- tai kaupunginosan ehdokas" dataDxfId="279"/>
    <tableColumn id="7" name="jokin muu" dataDxfId="278"/>
    <tableColumn id="8" name="N-2017" dataDxfId="277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51" name="TN_K32_kunnat" displayName="TN_K32_kunnat" ref="A6:G46" totalsRowShown="0" headerRowDxfId="276" dataDxfId="275">
  <autoFilter ref="A6:G46"/>
  <tableColumns count="7">
    <tableColumn id="1" name="KUNTA" dataDxfId="274"/>
    <tableColumn id="2" name="K32.01" dataDxfId="273"/>
    <tableColumn id="3" name="K32.02" dataDxfId="272"/>
    <tableColumn id="4" name="K32.03" dataDxfId="271"/>
    <tableColumn id="5" name="K32.04" dataDxfId="270"/>
    <tableColumn id="6" name="K32.05" dataDxfId="269"/>
    <tableColumn id="7" name="N-2017" dataDxfId="268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52" name="TN_K32_ryhmat" displayName="TN_K32_ryhmat" ref="A50:G56" totalsRowShown="0" headerRowDxfId="267" dataDxfId="266">
  <autoFilter ref="A50:G56"/>
  <tableColumns count="7">
    <tableColumn id="1" name="Kuntakokoluokka:" dataDxfId="265" dataCellStyle="Normaali 8"/>
    <tableColumn id="2" name="K32.01" dataDxfId="264"/>
    <tableColumn id="3" name="K32.02" dataDxfId="263"/>
    <tableColumn id="4" name="K32.03" dataDxfId="262"/>
    <tableColumn id="5" name="K32.04" dataDxfId="261"/>
    <tableColumn id="6" name="K32.05" dataDxfId="260"/>
    <tableColumn id="7" name="N-2017" dataDxfId="259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53" name="TN_K33_kunnat" displayName="TN_K33_kunnat" ref="A6:O46" totalsRowShown="0" headerRowDxfId="258" dataDxfId="257">
  <autoFilter ref="A6:O46"/>
  <tableColumns count="15">
    <tableColumn id="1" name="KUNTA" dataDxfId="256"/>
    <tableColumn id="2" name="K33.01" dataDxfId="255"/>
    <tableColumn id="3" name="K33.02" dataDxfId="254"/>
    <tableColumn id="4" name="K33.03" dataDxfId="253"/>
    <tableColumn id="5" name="K33.04" dataDxfId="252"/>
    <tableColumn id="6" name="K33.05" dataDxfId="251"/>
    <tableColumn id="7" name="K33.06" dataDxfId="250"/>
    <tableColumn id="8" name="K33.07" dataDxfId="249"/>
    <tableColumn id="9" name="K33.08" dataDxfId="248"/>
    <tableColumn id="10" name="K33.09" dataDxfId="247"/>
    <tableColumn id="11" name="K33.10" dataDxfId="246"/>
    <tableColumn id="12" name="K33.11" dataDxfId="245"/>
    <tableColumn id="13" name="K33.12" dataDxfId="244"/>
    <tableColumn id="14" name="K33.13" dataDxfId="243"/>
    <tableColumn id="15" name="N-2017" dataDxfId="242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54" name="TN_K33_ryhmat" displayName="TN_K33_ryhmat" ref="A50:O56" totalsRowShown="0" headerRowDxfId="241" dataDxfId="240">
  <autoFilter ref="A50:O56"/>
  <tableColumns count="15">
    <tableColumn id="1" name="Kuntakokoluokka:" dataDxfId="239" dataCellStyle="Normaali 8"/>
    <tableColumn id="2" name="K33.01" dataDxfId="238"/>
    <tableColumn id="3" name="K33.02" dataDxfId="237"/>
    <tableColumn id="4" name="K33.03" dataDxfId="236"/>
    <tableColumn id="5" name="K33.04" dataDxfId="235"/>
    <tableColumn id="6" name="K33.05" dataDxfId="234"/>
    <tableColumn id="7" name="K33.06" dataDxfId="233"/>
    <tableColumn id="8" name="K33.07" dataDxfId="232"/>
    <tableColumn id="9" name="K33.08" dataDxfId="231"/>
    <tableColumn id="10" name="K33.09" dataDxfId="230"/>
    <tableColumn id="11" name="K33.10" dataDxfId="229"/>
    <tableColumn id="12" name="K33.11" dataDxfId="228"/>
    <tableColumn id="13" name="K33.12" dataDxfId="227"/>
    <tableColumn id="14" name="K33.13" dataDxfId="226"/>
    <tableColumn id="15" name="N-2017" dataDxfId="225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55" name="TN_K34_kunnat" displayName="TN_K34_kunnat" ref="A6:G46" totalsRowShown="0" headerRowDxfId="224" dataDxfId="223">
  <autoFilter ref="A6:G46"/>
  <tableColumns count="7">
    <tableColumn id="1" name="KUNTA" dataDxfId="222"/>
    <tableColumn id="2" name="K34.01" dataDxfId="221"/>
    <tableColumn id="3" name="K34.02" dataDxfId="220"/>
    <tableColumn id="4" name="K34.03" dataDxfId="219"/>
    <tableColumn id="5" name="K34.04" dataDxfId="218"/>
    <tableColumn id="6" name="K34.05" dataDxfId="217"/>
    <tableColumn id="7" name="N-2017" dataDxfId="216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56" name="TN_K34_ryhmat" displayName="TN_K34_ryhmat" ref="A50:G56" totalsRowShown="0" headerRowDxfId="215" dataDxfId="214">
  <autoFilter ref="A50:G56"/>
  <tableColumns count="7">
    <tableColumn id="1" name="Kuntakokoluokka:" dataDxfId="213" dataCellStyle="Normaali 8"/>
    <tableColumn id="2" name="K34.01" dataDxfId="212"/>
    <tableColumn id="3" name="K34.02" dataDxfId="211"/>
    <tableColumn id="4" name="K34.03" dataDxfId="210"/>
    <tableColumn id="5" name="K34.04" dataDxfId="209"/>
    <tableColumn id="6" name="K34.05" dataDxfId="208"/>
    <tableColumn id="7" name="N-2017" dataDxfId="207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7" name="TN_K35A_kunnat" displayName="TN_K35A_kunnat" ref="A6:S46" totalsRowShown="0" headerRowDxfId="206" dataDxfId="205">
  <autoFilter ref="A6:S46"/>
  <tableColumns count="19">
    <tableColumn id="1" name="KUNTA" dataDxfId="204"/>
    <tableColumn id="2" name="K35A.01" dataDxfId="203"/>
    <tableColumn id="3" name="K35A.02" dataDxfId="202"/>
    <tableColumn id="4" name="K35A.03" dataDxfId="201"/>
    <tableColumn id="5" name="K35A.04" dataDxfId="200"/>
    <tableColumn id="6" name="K35A.05" dataDxfId="199"/>
    <tableColumn id="7" name="K35A.06" dataDxfId="198"/>
    <tableColumn id="8" name="K35A.07" dataDxfId="197"/>
    <tableColumn id="9" name="K35A.08" dataDxfId="196"/>
    <tableColumn id="10" name="K35A.09" dataDxfId="195"/>
    <tableColumn id="11" name="K35A.10" dataDxfId="194"/>
    <tableColumn id="12" name="K35A.11" dataDxfId="193"/>
    <tableColumn id="13" name="K35A.12" dataDxfId="192"/>
    <tableColumn id="14" name="K35A.13" dataDxfId="191"/>
    <tableColumn id="15" name="K35A.14" dataDxfId="190"/>
    <tableColumn id="16" name="K35A.15" dataDxfId="189"/>
    <tableColumn id="17" name="K35A.16" dataDxfId="188"/>
    <tableColumn id="18" name="K35A.17" dataDxfId="187"/>
    <tableColumn id="19" name="N-2017" dataDxfId="186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8" name="TN_K35A_ryhmat" displayName="TN_K35A_ryhmat" ref="A51:S57" totalsRowShown="0" headerRowDxfId="185" dataDxfId="184">
  <autoFilter ref="A51:S57"/>
  <tableColumns count="19">
    <tableColumn id="1" name="Kuntakokoluokka:" dataDxfId="183" dataCellStyle="Normaali 8"/>
    <tableColumn id="2" name="K35A.01" dataDxfId="182"/>
    <tableColumn id="3" name="K35A.02" dataDxfId="181"/>
    <tableColumn id="4" name="K35A.03" dataDxfId="180"/>
    <tableColumn id="5" name="K35A.04" dataDxfId="179"/>
    <tableColumn id="6" name="K35A.05" dataDxfId="178"/>
    <tableColumn id="7" name="K35A.06" dataDxfId="177"/>
    <tableColumn id="8" name="K35A.07" dataDxfId="176"/>
    <tableColumn id="9" name="K35A.08" dataDxfId="175"/>
    <tableColumn id="10" name="K35A.09" dataDxfId="174"/>
    <tableColumn id="11" name="K35A.10" dataDxfId="173"/>
    <tableColumn id="12" name="K35A.11" dataDxfId="172"/>
    <tableColumn id="13" name="K35A.12" dataDxfId="171"/>
    <tableColumn id="14" name="K35A.13" dataDxfId="170"/>
    <tableColumn id="15" name="K35A.14" dataDxfId="169"/>
    <tableColumn id="16" name="K35A.15" dataDxfId="168"/>
    <tableColumn id="17" name="K35A.16" dataDxfId="167"/>
    <tableColumn id="18" name="K35A.17" dataDxfId="166"/>
    <tableColumn id="19" name="N-2017" dataDxfId="16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4" name="TN_K12_ryhmat" displayName="TN_K12_ryhmat" ref="A49:B55" totalsRowShown="0" dataDxfId="760" dataCellStyle="Normaali 8">
  <autoFilter ref="A49:B55"/>
  <tableColumns count="2">
    <tableColumn id="1" name="Kuntakokoluokka:" dataDxfId="759" dataCellStyle="Normaali 8"/>
    <tableColumn id="2" name="% vastanneista kykenee hoitamaan melko tai erittäin hyvin (4+5)" dataDxfId="758" dataCellStyle="Normaali 8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59" name="TN_K35B_kunnat" displayName="TN_K35B_kunnat" ref="A6:S46" totalsRowShown="0" headerRowDxfId="164" dataDxfId="163">
  <autoFilter ref="A6:S46"/>
  <tableColumns count="19">
    <tableColumn id="1" name="KUNTA" dataDxfId="162"/>
    <tableColumn id="2" name="K35B.01" dataDxfId="161"/>
    <tableColumn id="3" name="K35B.02" dataDxfId="160"/>
    <tableColumn id="4" name="K35B.03" dataDxfId="159"/>
    <tableColumn id="5" name="K35B.04" dataDxfId="158"/>
    <tableColumn id="6" name="K35B.05" dataDxfId="157"/>
    <tableColumn id="7" name="K35B.06" dataDxfId="156"/>
    <tableColumn id="8" name="K35B.07" dataDxfId="155"/>
    <tableColumn id="9" name="K35B.08" dataDxfId="154"/>
    <tableColumn id="10" name="K35B.09" dataDxfId="153"/>
    <tableColumn id="11" name="K35B.10" dataDxfId="152"/>
    <tableColumn id="12" name="K35B.11" dataDxfId="151"/>
    <tableColumn id="13" name="K35B.12" dataDxfId="150"/>
    <tableColumn id="14" name="K35B.13" dataDxfId="149"/>
    <tableColumn id="15" name="K35B.14" dataDxfId="148"/>
    <tableColumn id="16" name="K35B.15" dataDxfId="147"/>
    <tableColumn id="17" name="K35B.16" dataDxfId="146"/>
    <tableColumn id="18" name="K35B.17" dataDxfId="145"/>
    <tableColumn id="19" name="N-2017" dataDxfId="144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60" name="TN_K35B_ryhmat" displayName="TN_K35B_ryhmat" ref="A50:S56" totalsRowShown="0" headerRowDxfId="143" dataDxfId="142">
  <autoFilter ref="A50:S56"/>
  <tableColumns count="19">
    <tableColumn id="1" name="Kuntakokoluokka:" dataDxfId="141" dataCellStyle="Normaali 8"/>
    <tableColumn id="2" name="K35B.01" dataDxfId="140"/>
    <tableColumn id="3" name="K35B.02" dataDxfId="139"/>
    <tableColumn id="4" name="K35B.03" dataDxfId="138"/>
    <tableColumn id="5" name="K35B.04" dataDxfId="137"/>
    <tableColumn id="6" name="K35B.05" dataDxfId="136"/>
    <tableColumn id="7" name="K35B.06" dataDxfId="135"/>
    <tableColumn id="8" name="K35B.07" dataDxfId="134"/>
    <tableColumn id="9" name="K35B.08" dataDxfId="133"/>
    <tableColumn id="10" name="K35B.09" dataDxfId="132"/>
    <tableColumn id="11" name="K35B.10" dataDxfId="131"/>
    <tableColumn id="12" name="K35B.11" dataDxfId="130"/>
    <tableColumn id="13" name="K35B.12" dataDxfId="129"/>
    <tableColumn id="14" name="K35B.13" dataDxfId="128"/>
    <tableColumn id="15" name="K35B.14" dataDxfId="127"/>
    <tableColumn id="16" name="K35B.15" dataDxfId="126"/>
    <tableColumn id="17" name="K35B.16" dataDxfId="125"/>
    <tableColumn id="18" name="K35B.17" dataDxfId="124"/>
    <tableColumn id="19" name="N-2017" dataDxfId="123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61" name="TN_K36A_kunnat" displayName="TN_K36A_kunnat" ref="A6:N46" totalsRowShown="0" headerRowDxfId="122" dataDxfId="121">
  <autoFilter ref="A6:N46"/>
  <tableColumns count="14">
    <tableColumn id="1" name="KUNTA" dataDxfId="120"/>
    <tableColumn id="2" name="K36A.01" dataDxfId="119"/>
    <tableColumn id="3" name="K36A.02" dataDxfId="118"/>
    <tableColumn id="4" name="K36A.03" dataDxfId="117"/>
    <tableColumn id="5" name="K36A.04" dataDxfId="116"/>
    <tableColumn id="6" name="K36A.05" dataDxfId="115"/>
    <tableColumn id="7" name="K36A.06" dataDxfId="114"/>
    <tableColumn id="8" name="K36A.07" dataDxfId="113"/>
    <tableColumn id="9" name="K36A.08" dataDxfId="112"/>
    <tableColumn id="10" name="K36A.09" dataDxfId="111"/>
    <tableColumn id="11" name="K36A.10" dataDxfId="110"/>
    <tableColumn id="12" name="K36A.11" dataDxfId="109"/>
    <tableColumn id="13" name="K36A.12" dataDxfId="108"/>
    <tableColumn id="14" name="N-2017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62" name="TN_K36A_ryhmat" displayName="TN_K36A_ryhmat" ref="A50:N56" totalsRowShown="0" headerRowDxfId="107" dataDxfId="106">
  <autoFilter ref="A50:N56"/>
  <tableColumns count="14">
    <tableColumn id="1" name="Kuntakokoluokka:" dataDxfId="105" dataCellStyle="Normaali 8"/>
    <tableColumn id="2" name="K36A.01" dataDxfId="104"/>
    <tableColumn id="3" name="K36A.02" dataDxfId="103"/>
    <tableColumn id="4" name="K36A.03" dataDxfId="102"/>
    <tableColumn id="5" name="K36A.04" dataDxfId="101"/>
    <tableColumn id="6" name="K36A.05" dataDxfId="100"/>
    <tableColumn id="7" name="K36A.06" dataDxfId="99"/>
    <tableColumn id="8" name="K36A.07" dataDxfId="98"/>
    <tableColumn id="9" name="K36A.08" dataDxfId="97"/>
    <tableColumn id="10" name="K36A.09" dataDxfId="96"/>
    <tableColumn id="11" name="K36A.10" dataDxfId="95"/>
    <tableColumn id="12" name="K36A.11" dataDxfId="94"/>
    <tableColumn id="13" name="K36A.12" dataDxfId="93"/>
    <tableColumn id="14" name="N-2017" dataDxfId="92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63" name="TN_K36B_kunnat" displayName="TN_K36B_kunnat" ref="A10:N50" totalsRowShown="0" headerRowDxfId="91" dataDxfId="90">
  <autoFilter ref="A10:N50"/>
  <tableColumns count="14">
    <tableColumn id="1" name="KUNTA" dataDxfId="89"/>
    <tableColumn id="2" name="K36B.01" dataDxfId="88"/>
    <tableColumn id="3" name="K36B.02" dataDxfId="87"/>
    <tableColumn id="4" name="K36B.03" dataDxfId="86"/>
    <tableColumn id="5" name="K36B.04" dataDxfId="85"/>
    <tableColumn id="6" name="K36B.05" dataDxfId="84"/>
    <tableColumn id="7" name="K36B.06" dataDxfId="83"/>
    <tableColumn id="8" name="K36B.07" dataDxfId="82"/>
    <tableColumn id="9" name="K36B.08" dataDxfId="81"/>
    <tableColumn id="10" name="K36B.09" dataDxfId="80"/>
    <tableColumn id="11" name="K36B.10" dataDxfId="79"/>
    <tableColumn id="12" name="K36B.11" dataDxfId="78"/>
    <tableColumn id="13" name="K36B.12" dataDxfId="77"/>
    <tableColumn id="14" name="N-2017" dataDxfId="76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64" name="TN_K36B_ryhmat" displayName="TN_K36B_ryhmat" ref="A54:N60" totalsRowShown="0" headerRowDxfId="75" dataDxfId="74">
  <autoFilter ref="A54:N60"/>
  <tableColumns count="14">
    <tableColumn id="1" name="Kuntakokoluokka:" dataDxfId="73" dataCellStyle="Normaali 8"/>
    <tableColumn id="2" name="K36B.01" dataDxfId="72"/>
    <tableColumn id="3" name="K36B.02" dataDxfId="71"/>
    <tableColumn id="4" name="K36B.03" dataDxfId="70"/>
    <tableColumn id="5" name="K36B.04" dataDxfId="69"/>
    <tableColumn id="6" name="K36B.05" dataDxfId="68"/>
    <tableColumn id="7" name="K36B.06" dataDxfId="67"/>
    <tableColumn id="8" name="K36B.07" dataDxfId="66"/>
    <tableColumn id="9" name="K36B.08" dataDxfId="65"/>
    <tableColumn id="10" name="K36B.09" dataDxfId="64"/>
    <tableColumn id="11" name="K36B.10" dataDxfId="63"/>
    <tableColumn id="12" name="K36B.11" dataDxfId="62"/>
    <tableColumn id="13" name="K36B.12" dataDxfId="61"/>
    <tableColumn id="14" name="N-2017" dataDxfId="60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65" name="TN_K37_kunnat" displayName="TN_K37_kunnat" ref="A10:F50" totalsRowShown="0" headerRowDxfId="59" dataDxfId="58">
  <autoFilter ref="A10:F50"/>
  <tableColumns count="6">
    <tableColumn id="1" name="KUNTA" dataDxfId="57"/>
    <tableColumn id="2" name="K3701" dataDxfId="56"/>
    <tableColumn id="3" name="K3702" dataDxfId="55"/>
    <tableColumn id="4" name="K3703" dataDxfId="54"/>
    <tableColumn id="5" name="K3704" dataDxfId="53"/>
    <tableColumn id="6" name="N-2017" dataDxfId="52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66" name="TN_K37_ryhmat" displayName="TN_K37_ryhmat" ref="A54:F60" totalsRowShown="0" headerRowDxfId="51" dataDxfId="50">
  <autoFilter ref="A54:F60"/>
  <tableColumns count="6">
    <tableColumn id="1" name="Kuntakokoluokka:" dataDxfId="49" dataCellStyle="Normaali 8"/>
    <tableColumn id="2" name="K3701" dataDxfId="48"/>
    <tableColumn id="3" name="K3702" dataDxfId="47"/>
    <tableColumn id="4" name="K3703" dataDxfId="46"/>
    <tableColumn id="5" name="K3704" dataDxfId="45"/>
    <tableColumn id="6" name="N-2017" dataDxfId="44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67" name="TN_K38_kunnat" displayName="TN_K38_kunnat" ref="A4:E44" totalsRowShown="0" headerRowDxfId="43" dataDxfId="42">
  <autoFilter ref="A4:E44"/>
  <tableColumns count="5">
    <tableColumn id="1" name="KUNTA" dataDxfId="41"/>
    <tableColumn id="2" name="en" dataDxfId="40"/>
    <tableColumn id="3" name="kyllä" dataDxfId="39"/>
    <tableColumn id="4" name="en osaa sanoa" dataDxfId="38"/>
    <tableColumn id="5" name="N-2017" dataDxfId="37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8" name="TN_K38_ryhmat" displayName="TN_K38_ryhmat" ref="A47:E53" totalsRowShown="0" headerRowDxfId="36" dataDxfId="35">
  <autoFilter ref="A47:E53"/>
  <tableColumns count="5">
    <tableColumn id="1" name="Kuntakokoluokka:" dataDxfId="34" dataCellStyle="Normaali 8"/>
    <tableColumn id="2" name="en" dataDxfId="33"/>
    <tableColumn id="3" name="kyllä" dataDxfId="32"/>
    <tableColumn id="4" name="en osaa sanoa" dataDxfId="31"/>
    <tableColumn id="5" name="N-2017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5" name="TN_K13_kunnat" displayName="TN_K13_kunnat" ref="A7:B47" totalsRowShown="0" dataDxfId="757" dataCellStyle="Normaali 8">
  <autoFilter ref="A7:B47"/>
  <tableColumns count="2">
    <tableColumn id="1" name="KUNTA" dataDxfId="756" dataCellStyle="Normaali 8"/>
    <tableColumn id="2" name="%  melko tai erittäin hyvin (4+5)" dataDxfId="755" dataCellStyle="Normaali 8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69" name="TN_K39_kunnat" displayName="TN_K39_kunnat" ref="A7:M47" totalsRowShown="0" headerRowDxfId="29" dataDxfId="28">
  <autoFilter ref="A7:M47"/>
  <tableColumns count="13">
    <tableColumn id="1" name="KUNTA" dataDxfId="27"/>
    <tableColumn id="2" name="K3901" dataDxfId="26"/>
    <tableColumn id="3" name="K3902" dataDxfId="25"/>
    <tableColumn id="4" name="K3903" dataDxfId="24"/>
    <tableColumn id="5" name="K3904" dataDxfId="23"/>
    <tableColumn id="6" name="K3905" dataDxfId="22"/>
    <tableColumn id="7" name="K3906" dataDxfId="21"/>
    <tableColumn id="8" name="K3907" dataDxfId="20"/>
    <tableColumn id="9" name="K3908" dataDxfId="19"/>
    <tableColumn id="10" name="K3909" dataDxfId="18"/>
    <tableColumn id="11" name="K3910" dataDxfId="17"/>
    <tableColumn id="12" name="K3911" dataDxfId="16"/>
    <tableColumn id="13" name="N-2017" dataDxfId="15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70" name="TN_K39_ryhmat" displayName="TN_K39_ryhmat" ref="A51:M57" totalsRowShown="0" headerRowDxfId="14" dataDxfId="13">
  <autoFilter ref="A51:M57"/>
  <tableColumns count="13">
    <tableColumn id="1" name="Kuntakokoluokka:" dataDxfId="12" dataCellStyle="Normaali 8"/>
    <tableColumn id="2" name="K3901" dataDxfId="11"/>
    <tableColumn id="3" name="K3902" dataDxfId="10"/>
    <tableColumn id="4" name="K3903" dataDxfId="9"/>
    <tableColumn id="5" name="K3904" dataDxfId="8"/>
    <tableColumn id="6" name="K3905" dataDxfId="7"/>
    <tableColumn id="7" name="K3906" dataDxfId="6"/>
    <tableColumn id="8" name="K3907" dataDxfId="5"/>
    <tableColumn id="9" name="K3908" dataDxfId="4"/>
    <tableColumn id="10" name="K3909" dataDxfId="3"/>
    <tableColumn id="11" name="K3910" dataDxfId="2"/>
    <tableColumn id="12" name="K3911" dataDxfId="1"/>
    <tableColumn id="13" name="N-2017" dataDxfId="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6" name="TN_K13_ryhmat" displayName="TN_K13_ryhmat" ref="A51:B57" totalsRowShown="0" dataDxfId="754" dataCellStyle="Normaali 8">
  <autoFilter ref="A51:B57"/>
  <tableColumns count="2">
    <tableColumn id="1" name="Kuntakokoluokka:" dataDxfId="753" dataCellStyle="Normaali 8"/>
    <tableColumn id="2" name="%  melko tai erittäin hyvin (4+5)" dataDxfId="752" dataCellStyle="Normaali 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7" name="TN_K14_kunnat" displayName="TN_K14_kunnat" ref="A7:J47" totalsRowShown="0" headerRowDxfId="751" dataDxfId="750" headerRowCellStyle="Normaali 8" dataCellStyle="Normaali 8">
  <autoFilter ref="A7:J47"/>
  <tableColumns count="10">
    <tableColumn id="1" name="KUNTA" dataDxfId="749" dataCellStyle="Normaali 8"/>
    <tableColumn id="2" name="K1401" dataDxfId="748" dataCellStyle="Normaali 8"/>
    <tableColumn id="3" name="K1402" dataDxfId="747" dataCellStyle="Normaali 8"/>
    <tableColumn id="4" name="K1403" dataDxfId="746" dataCellStyle="Normaali 8"/>
    <tableColumn id="5" name="K1404" dataDxfId="745" dataCellStyle="Normaali 8"/>
    <tableColumn id="6" name="K1405" dataDxfId="744" dataCellStyle="Normaali 8"/>
    <tableColumn id="7" name="K1406" dataDxfId="743" dataCellStyle="Normaali 8"/>
    <tableColumn id="8" name="K1407" dataDxfId="742" dataCellStyle="Normaali 8"/>
    <tableColumn id="9" name="K1408" dataDxfId="741" dataCellStyle="Normaali 8"/>
    <tableColumn id="10" name="K1409" dataDxfId="740" dataCellStyle="Normaali 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8" name="TN_K14_ryhmat" displayName="TN_K14_ryhmat" ref="A51:J57" totalsRowShown="0" headerRowDxfId="739" dataDxfId="738" headerRowCellStyle="Normaali 8" dataCellStyle="Normaali 8">
  <autoFilter ref="A51:J57"/>
  <tableColumns count="10">
    <tableColumn id="1" name="Kuntakokoluokka:" dataDxfId="737" dataCellStyle="Normaali 8"/>
    <tableColumn id="2" name="K1401" dataDxfId="736" dataCellStyle="Normaali 8"/>
    <tableColumn id="3" name="K1402" dataDxfId="735" dataCellStyle="Normaali 8"/>
    <tableColumn id="4" name="K1403" dataDxfId="734" dataCellStyle="Normaali 8"/>
    <tableColumn id="5" name="K1404" dataDxfId="733" dataCellStyle="Normaali 8"/>
    <tableColumn id="6" name="K1405" dataDxfId="732" dataCellStyle="Normaali 8"/>
    <tableColumn id="7" name="K1406" dataDxfId="731" dataCellStyle="Normaali 8"/>
    <tableColumn id="8" name="K1407" dataDxfId="730" dataCellStyle="Normaali 8"/>
    <tableColumn id="9" name="K1408" dataDxfId="729" dataCellStyle="Normaali 8"/>
    <tableColumn id="10" name="K1409" dataDxfId="728" dataCellStyle="Normaali 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untaliitto">
  <a:themeElements>
    <a:clrScheme name="Kuntaliitto">
      <a:dk1>
        <a:sysClr val="windowText" lastClr="000000"/>
      </a:dk1>
      <a:lt1>
        <a:sysClr val="window" lastClr="FFFFFF"/>
      </a:lt1>
      <a:dk2>
        <a:srgbClr val="002E63"/>
      </a:dk2>
      <a:lt2>
        <a:srgbClr val="FFFFFF"/>
      </a:lt2>
      <a:accent1>
        <a:srgbClr val="002E63"/>
      </a:accent1>
      <a:accent2>
        <a:srgbClr val="00A6D6"/>
      </a:accent2>
      <a:accent3>
        <a:srgbClr val="6B8F00"/>
      </a:accent3>
      <a:accent4>
        <a:srgbClr val="B5BA05"/>
      </a:accent4>
      <a:accent5>
        <a:srgbClr val="F25900"/>
      </a:accent5>
      <a:accent6>
        <a:srgbClr val="E0AD12"/>
      </a:accent6>
      <a:hlink>
        <a:srgbClr val="0000FF"/>
      </a:hlink>
      <a:folHlink>
        <a:srgbClr val="800080"/>
      </a:folHlink>
    </a:clrScheme>
    <a:fontScheme name="Kuntaliitto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MS 295">
      <a:srgbClr val="002E63"/>
    </a:custClr>
    <a:custClr name="PMS Process Cyan">
      <a:srgbClr val="00A6D6"/>
    </a:custClr>
    <a:custClr name="PMS 1655">
      <a:srgbClr val="F25900"/>
    </a:custClr>
    <a:custClr name="PMS 124">
      <a:srgbClr val="E0AD12"/>
    </a:custClr>
    <a:custClr name="PMS 603">
      <a:srgbClr val="EBE657"/>
    </a:custClr>
    <a:custClr name="PMS 2583">
      <a:srgbClr val="9E4DAB"/>
    </a:custClr>
    <a:custClr name="PMS 200">
      <a:srgbClr val="BA122B"/>
    </a:custClr>
    <a:custClr name="PMS 377">
      <a:srgbClr val="6B8F00"/>
    </a:custClr>
    <a:custClr name="PMS 390">
      <a:srgbClr val="B5BA05"/>
    </a:custClr>
    <a:custClr name="PMS 1525">
      <a:srgbClr val="BA5700"/>
    </a:custClr>
    <a:custClr name="PMS 729">
      <a:srgbClr val="C48F5E"/>
    </a:custClr>
    <a:custClr name="PMS Warm Gray 6">
      <a:srgbClr val="ADA194"/>
    </a:custClr>
    <a:custClr name="PMS 651">
      <a:srgbClr val="A1ADC7"/>
    </a:custClr>
    <a:custClr name="PMS 2905">
      <a:srgbClr val="9EC9E3"/>
    </a:custClr>
    <a:custClr name="PMS 660">
      <a:srgbClr val="426BBA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rantaro\Desktop\Kutu%202011\Kunnallisia%20palveluja%20koskevat%20kysymykset%202011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table" Target="../tables/table2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table" Target="../tables/table2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table" Target="../tables/table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table" Target="../tables/table3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table" Target="../tables/table3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table" Target="../tables/table40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table" Target="../tables/table4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table" Target="../tables/table4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table" Target="../tables/table4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table" Target="../tables/table4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table" Target="../tables/table5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table" Target="../tables/table5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table" Target="../tables/table5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table" Target="../tables/table58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table" Target="../tables/table6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B2:I44"/>
  <sheetViews>
    <sheetView tabSelected="1" view="pageLayout" topLeftCell="A4" zoomScale="90" zoomScaleNormal="100" zoomScalePageLayoutView="90" workbookViewId="0">
      <selection activeCell="B9" sqref="B9:D9"/>
    </sheetView>
  </sheetViews>
  <sheetFormatPr defaultColWidth="8.78515625" defaultRowHeight="13.5" x14ac:dyDescent="0.25"/>
  <cols>
    <col min="1" max="1" width="0.5" style="1" customWidth="1"/>
    <col min="2" max="2" width="8.78515625" style="1"/>
    <col min="3" max="3" width="8.78515625" style="1" customWidth="1"/>
    <col min="4" max="8" width="8.78515625" style="1"/>
    <col min="9" max="9" width="16.640625" style="1" customWidth="1"/>
    <col min="10" max="10" width="0.640625" style="1" customWidth="1"/>
    <col min="11" max="16384" width="8.78515625" style="1"/>
  </cols>
  <sheetData>
    <row r="2" spans="2:9" ht="14" x14ac:dyDescent="0.3">
      <c r="E2" s="2" t="s">
        <v>0</v>
      </c>
    </row>
    <row r="3" spans="2:9" ht="14" x14ac:dyDescent="0.3">
      <c r="E3" s="2" t="s">
        <v>1</v>
      </c>
      <c r="F3" s="2"/>
      <c r="G3" s="2"/>
      <c r="H3" s="2"/>
    </row>
    <row r="4" spans="2:9" ht="14" x14ac:dyDescent="0.3">
      <c r="D4" s="3"/>
      <c r="E4" s="2"/>
      <c r="F4" s="2"/>
      <c r="G4" s="2"/>
      <c r="H4" s="2"/>
    </row>
    <row r="5" spans="2:9" ht="14" x14ac:dyDescent="0.3">
      <c r="D5" s="3"/>
      <c r="E5" s="2"/>
      <c r="F5" s="2"/>
      <c r="G5" s="2"/>
      <c r="H5" s="2"/>
    </row>
    <row r="6" spans="2:9" ht="15" x14ac:dyDescent="0.3">
      <c r="C6" s="2"/>
      <c r="D6" s="16" t="s">
        <v>724</v>
      </c>
      <c r="F6" s="2"/>
      <c r="G6" s="2"/>
      <c r="H6" s="2"/>
    </row>
    <row r="7" spans="2:9" ht="14" x14ac:dyDescent="0.3">
      <c r="B7" s="169" t="s">
        <v>759</v>
      </c>
      <c r="C7" s="170"/>
      <c r="D7" s="170"/>
      <c r="E7" s="171"/>
      <c r="F7" s="171"/>
      <c r="G7" s="171"/>
      <c r="H7" s="171"/>
      <c r="I7" s="170"/>
    </row>
    <row r="8" spans="2:9" ht="14" x14ac:dyDescent="0.3">
      <c r="B8" s="172" t="s">
        <v>760</v>
      </c>
      <c r="C8" s="173"/>
      <c r="D8" s="173"/>
      <c r="E8" s="174"/>
      <c r="F8" s="171"/>
      <c r="G8" s="171"/>
      <c r="H8" s="171"/>
      <c r="I8" s="170"/>
    </row>
    <row r="9" spans="2:9" ht="17.5" x14ac:dyDescent="0.35">
      <c r="B9" s="175" t="s">
        <v>42</v>
      </c>
      <c r="C9" s="176"/>
      <c r="D9" s="177"/>
      <c r="E9" s="78"/>
      <c r="F9" s="2"/>
      <c r="G9" s="2"/>
      <c r="H9" s="2"/>
    </row>
    <row r="10" spans="2:9" x14ac:dyDescent="0.25">
      <c r="B10" s="77" t="s">
        <v>18</v>
      </c>
      <c r="C10" s="77"/>
      <c r="D10" s="77"/>
      <c r="E10" s="77"/>
    </row>
    <row r="14" spans="2:9" x14ac:dyDescent="0.25">
      <c r="B14" s="9" t="s">
        <v>20</v>
      </c>
      <c r="C14" s="10"/>
      <c r="D14" s="10"/>
      <c r="E14" s="11"/>
      <c r="F14" s="185" t="s">
        <v>99</v>
      </c>
      <c r="G14" s="186"/>
      <c r="H14" s="187"/>
    </row>
    <row r="15" spans="2:9" x14ac:dyDescent="0.25">
      <c r="B15" s="13" t="s">
        <v>37</v>
      </c>
      <c r="C15" s="181" t="s">
        <v>38</v>
      </c>
      <c r="D15" s="182"/>
      <c r="E15" s="13" t="s">
        <v>39</v>
      </c>
      <c r="F15" s="13" t="s">
        <v>37</v>
      </c>
      <c r="G15" s="14" t="s">
        <v>40</v>
      </c>
      <c r="H15" s="15" t="s">
        <v>39</v>
      </c>
    </row>
    <row r="16" spans="2:9" ht="14.5" x14ac:dyDescent="0.35">
      <c r="B16" s="12">
        <f>VLOOKUP(B9,Vastauspros!A2:D41,3)</f>
        <v>350</v>
      </c>
      <c r="C16" s="183">
        <f>VLOOKUP(B9,Vastauspros!A1:E41,4)</f>
        <v>119</v>
      </c>
      <c r="D16" s="184"/>
      <c r="E16" s="95">
        <f>VLOOKUP(Etusivu!B9,Vastauspros!A1:E41,5)</f>
        <v>34</v>
      </c>
      <c r="F16" s="67">
        <f>Vastauspros!$C$42</f>
        <v>32450</v>
      </c>
      <c r="G16" s="53">
        <f>Vastauspros!$D$42</f>
        <v>11856</v>
      </c>
      <c r="H16" s="68">
        <f>Vastauspros!$E$42</f>
        <v>36.5</v>
      </c>
    </row>
    <row r="18" spans="2:9" ht="15" x14ac:dyDescent="0.3">
      <c r="B18" s="178" t="s">
        <v>73</v>
      </c>
      <c r="C18" s="179"/>
      <c r="D18" s="179"/>
      <c r="E18" s="179"/>
      <c r="F18" s="179"/>
      <c r="G18" s="179"/>
      <c r="H18" s="180"/>
    </row>
    <row r="20" spans="2:9" ht="14" x14ac:dyDescent="0.3">
      <c r="B20" s="7" t="s">
        <v>115</v>
      </c>
      <c r="C20" s="8"/>
      <c r="E20" s="8"/>
      <c r="F20" s="7" t="s">
        <v>148</v>
      </c>
      <c r="G20" s="8"/>
      <c r="I20" s="5"/>
    </row>
    <row r="21" spans="2:9" ht="14" x14ac:dyDescent="0.3">
      <c r="B21" s="7" t="s">
        <v>129</v>
      </c>
      <c r="C21" s="8"/>
      <c r="E21" s="8"/>
      <c r="F21" s="7" t="s">
        <v>149</v>
      </c>
      <c r="G21" s="8"/>
      <c r="I21" s="5"/>
    </row>
    <row r="22" spans="2:9" ht="14" x14ac:dyDescent="0.3">
      <c r="B22" s="7" t="s">
        <v>116</v>
      </c>
      <c r="C22" s="8"/>
      <c r="E22" s="8"/>
      <c r="F22" s="7" t="s">
        <v>132</v>
      </c>
      <c r="G22" s="8"/>
      <c r="I22" s="5"/>
    </row>
    <row r="23" spans="2:9" ht="14" x14ac:dyDescent="0.3">
      <c r="B23" s="7" t="s">
        <v>123</v>
      </c>
      <c r="C23" s="8"/>
      <c r="E23" s="8"/>
      <c r="F23" s="7" t="s">
        <v>125</v>
      </c>
      <c r="G23" s="8"/>
      <c r="I23" s="5"/>
    </row>
    <row r="24" spans="2:9" ht="14" x14ac:dyDescent="0.3">
      <c r="B24" s="7" t="s">
        <v>135</v>
      </c>
      <c r="E24" s="8"/>
      <c r="F24" s="7" t="s">
        <v>119</v>
      </c>
      <c r="G24" s="8"/>
      <c r="I24" s="5"/>
    </row>
    <row r="25" spans="2:9" ht="14" x14ac:dyDescent="0.3">
      <c r="B25" s="103" t="s">
        <v>145</v>
      </c>
      <c r="C25" s="8"/>
      <c r="E25" s="8"/>
      <c r="F25" s="7" t="s">
        <v>126</v>
      </c>
      <c r="G25" s="8"/>
      <c r="I25" s="5"/>
    </row>
    <row r="26" spans="2:9" ht="14" x14ac:dyDescent="0.3">
      <c r="B26" s="7" t="s">
        <v>117</v>
      </c>
      <c r="C26" s="8"/>
      <c r="E26" s="8"/>
      <c r="F26" s="7" t="s">
        <v>120</v>
      </c>
      <c r="G26" s="8"/>
      <c r="I26" s="5"/>
    </row>
    <row r="27" spans="2:9" ht="14" x14ac:dyDescent="0.3">
      <c r="B27" s="7" t="s">
        <v>131</v>
      </c>
      <c r="C27" s="8"/>
      <c r="E27" s="8"/>
      <c r="F27" s="7" t="s">
        <v>139</v>
      </c>
      <c r="G27" s="8"/>
      <c r="I27" s="5"/>
    </row>
    <row r="28" spans="2:9" ht="14" x14ac:dyDescent="0.3">
      <c r="B28" s="7" t="s">
        <v>152</v>
      </c>
      <c r="C28" s="8"/>
      <c r="E28" s="8"/>
      <c r="F28" s="7" t="s">
        <v>140</v>
      </c>
      <c r="G28" s="8"/>
      <c r="I28" s="5"/>
    </row>
    <row r="29" spans="2:9" ht="14" x14ac:dyDescent="0.3">
      <c r="B29" s="7" t="s">
        <v>124</v>
      </c>
      <c r="C29" s="8"/>
      <c r="E29" s="8"/>
      <c r="F29" s="7" t="s">
        <v>127</v>
      </c>
      <c r="G29" s="8"/>
      <c r="I29" s="5"/>
    </row>
    <row r="30" spans="2:9" ht="14" x14ac:dyDescent="0.3">
      <c r="B30" s="7" t="s">
        <v>118</v>
      </c>
      <c r="C30" s="5"/>
      <c r="D30" s="5"/>
      <c r="E30" s="4"/>
      <c r="F30" s="7" t="s">
        <v>142</v>
      </c>
      <c r="G30" s="4"/>
      <c r="H30" s="5"/>
      <c r="I30" s="5"/>
    </row>
    <row r="31" spans="2:9" ht="14" x14ac:dyDescent="0.3">
      <c r="B31" s="7" t="s">
        <v>151</v>
      </c>
      <c r="C31" s="5"/>
      <c r="D31" s="5"/>
      <c r="E31" s="4"/>
      <c r="F31" s="7" t="s">
        <v>153</v>
      </c>
      <c r="G31" s="4"/>
      <c r="H31" s="5"/>
      <c r="I31" s="5"/>
    </row>
    <row r="32" spans="2:9" ht="14" x14ac:dyDescent="0.3">
      <c r="B32" s="7" t="s">
        <v>136</v>
      </c>
      <c r="C32" s="5"/>
      <c r="D32" s="5"/>
      <c r="E32" s="4"/>
      <c r="F32" s="7" t="s">
        <v>121</v>
      </c>
      <c r="G32" s="4"/>
      <c r="H32" s="5"/>
      <c r="I32" s="5"/>
    </row>
    <row r="33" spans="2:9" ht="14" x14ac:dyDescent="0.3">
      <c r="B33" s="7" t="s">
        <v>144</v>
      </c>
      <c r="C33" s="5"/>
      <c r="D33" s="5"/>
      <c r="E33" s="4"/>
      <c r="F33" s="7" t="s">
        <v>134</v>
      </c>
      <c r="G33" s="4"/>
      <c r="H33" s="5"/>
      <c r="I33" s="5"/>
    </row>
    <row r="34" spans="2:9" ht="14" x14ac:dyDescent="0.3">
      <c r="B34" s="7" t="s">
        <v>137</v>
      </c>
      <c r="C34" s="5"/>
      <c r="D34" s="5"/>
      <c r="E34" s="4"/>
      <c r="F34" s="7" t="s">
        <v>141</v>
      </c>
      <c r="G34" s="4"/>
      <c r="H34" s="5"/>
      <c r="I34" s="5"/>
    </row>
    <row r="35" spans="2:9" ht="14" x14ac:dyDescent="0.3">
      <c r="B35" s="7" t="s">
        <v>154</v>
      </c>
      <c r="C35" s="5"/>
      <c r="D35" s="5"/>
      <c r="E35" s="4"/>
      <c r="F35" s="7" t="s">
        <v>133</v>
      </c>
      <c r="G35" s="4"/>
      <c r="H35" s="5"/>
      <c r="I35" s="5"/>
    </row>
    <row r="36" spans="2:9" ht="14" x14ac:dyDescent="0.3">
      <c r="B36" s="7" t="s">
        <v>147</v>
      </c>
      <c r="C36" s="5"/>
      <c r="D36" s="5"/>
      <c r="E36" s="4"/>
      <c r="F36" s="7" t="s">
        <v>143</v>
      </c>
      <c r="G36" s="4"/>
      <c r="H36" s="5"/>
      <c r="I36" s="5"/>
    </row>
    <row r="37" spans="2:9" ht="14" x14ac:dyDescent="0.3">
      <c r="B37" s="7" t="s">
        <v>138</v>
      </c>
      <c r="C37" s="5"/>
      <c r="D37" s="5"/>
      <c r="E37" s="4"/>
      <c r="F37" s="7" t="s">
        <v>130</v>
      </c>
      <c r="G37" s="4"/>
      <c r="H37" s="5"/>
      <c r="I37" s="5"/>
    </row>
    <row r="38" spans="2:9" ht="14" x14ac:dyDescent="0.3">
      <c r="B38" s="7" t="s">
        <v>150</v>
      </c>
      <c r="C38" s="5"/>
      <c r="D38" s="5"/>
      <c r="E38" s="4"/>
      <c r="F38" s="7" t="s">
        <v>128</v>
      </c>
      <c r="G38" s="4"/>
      <c r="H38" s="5"/>
      <c r="I38" s="5"/>
    </row>
    <row r="39" spans="2:9" ht="14" x14ac:dyDescent="0.3">
      <c r="B39" s="7" t="s">
        <v>146</v>
      </c>
      <c r="C39" s="5"/>
      <c r="D39" s="5"/>
      <c r="E39" s="4"/>
      <c r="F39" s="7" t="s">
        <v>122</v>
      </c>
      <c r="G39" s="4"/>
      <c r="H39" s="5"/>
      <c r="I39" s="5"/>
    </row>
    <row r="40" spans="2:9" ht="14" x14ac:dyDescent="0.3">
      <c r="C40" s="5"/>
      <c r="D40" s="5"/>
      <c r="E40" s="4"/>
      <c r="G40" s="4"/>
      <c r="H40" s="5"/>
      <c r="I40" s="5"/>
    </row>
    <row r="41" spans="2:9" ht="14" x14ac:dyDescent="0.3">
      <c r="C41" s="5"/>
      <c r="D41" s="5"/>
      <c r="E41" s="4"/>
      <c r="F41" s="5"/>
      <c r="G41" s="5"/>
      <c r="H41" s="5"/>
      <c r="I41" s="5"/>
    </row>
    <row r="42" spans="2:9" ht="14" x14ac:dyDescent="0.3">
      <c r="C42" s="5"/>
      <c r="D42" s="5"/>
      <c r="E42" s="5"/>
      <c r="F42" s="5"/>
      <c r="G42" s="5"/>
      <c r="H42" s="5"/>
      <c r="I42" s="5"/>
    </row>
    <row r="43" spans="2:9" ht="14" x14ac:dyDescent="0.3">
      <c r="B43" s="4"/>
      <c r="C43" s="5"/>
      <c r="D43" s="5"/>
      <c r="E43" s="5"/>
      <c r="F43" s="5"/>
      <c r="G43" s="5"/>
      <c r="H43" s="5"/>
      <c r="I43" s="5"/>
    </row>
    <row r="44" spans="2:9" ht="14" x14ac:dyDescent="0.3">
      <c r="B44" s="4"/>
      <c r="C44" s="5"/>
      <c r="D44" s="5"/>
      <c r="E44" s="5"/>
      <c r="F44" s="5"/>
      <c r="G44" s="5"/>
      <c r="H44" s="5"/>
      <c r="I44" s="5"/>
    </row>
  </sheetData>
  <dataConsolidate function="var">
    <dataRefs count="1">
      <dataRef ref="A2:A66" sheet="TyytKeskiarvo" r:id="rId1"/>
    </dataRefs>
  </dataConsolidate>
  <mergeCells count="5">
    <mergeCell ref="B9:D9"/>
    <mergeCell ref="B18:H18"/>
    <mergeCell ref="C15:D15"/>
    <mergeCell ref="C16:D16"/>
    <mergeCell ref="F14:H14"/>
  </mergeCells>
  <dataValidations count="1">
    <dataValidation type="list" allowBlank="1" showInputMessage="1" showErrorMessage="1" sqref="B9:D9">
      <formula1>Kunnat2</formula1>
    </dataValidation>
  </dataValidations>
  <pageMargins left="0.25" right="0.25" top="0.75" bottom="0.75" header="0.3" footer="0.3"/>
  <pageSetup paperSize="9" scale="95" orientation="portrait" r:id="rId2"/>
  <headerFooter>
    <oddHeader xml:space="preserve">&amp;C&amp;12Kuntalaiskysely 2017
</oddHeader>
    <oddFooter>&amp;C&amp;P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N217" sqref="N217"/>
    </sheetView>
  </sheetViews>
  <sheetFormatPr defaultRowHeight="12.5" x14ac:dyDescent="0.25"/>
  <cols>
    <col min="1" max="1" width="15.7109375" style="107" customWidth="1"/>
    <col min="2" max="2" width="21.0703125" style="107" customWidth="1"/>
    <col min="3" max="256" width="8.7109375" style="107"/>
    <col min="257" max="257" width="15.7109375" style="107" customWidth="1"/>
    <col min="258" max="512" width="8.7109375" style="107"/>
    <col min="513" max="513" width="15.7109375" style="107" customWidth="1"/>
    <col min="514" max="768" width="8.7109375" style="107"/>
    <col min="769" max="769" width="15.7109375" style="107" customWidth="1"/>
    <col min="770" max="1024" width="8.7109375" style="107"/>
    <col min="1025" max="1025" width="15.7109375" style="107" customWidth="1"/>
    <col min="1026" max="1280" width="8.7109375" style="107"/>
    <col min="1281" max="1281" width="15.7109375" style="107" customWidth="1"/>
    <col min="1282" max="1536" width="8.7109375" style="107"/>
    <col min="1537" max="1537" width="15.7109375" style="107" customWidth="1"/>
    <col min="1538" max="1792" width="8.7109375" style="107"/>
    <col min="1793" max="1793" width="15.7109375" style="107" customWidth="1"/>
    <col min="1794" max="2048" width="8.7109375" style="107"/>
    <col min="2049" max="2049" width="15.7109375" style="107" customWidth="1"/>
    <col min="2050" max="2304" width="8.7109375" style="107"/>
    <col min="2305" max="2305" width="15.7109375" style="107" customWidth="1"/>
    <col min="2306" max="2560" width="8.7109375" style="107"/>
    <col min="2561" max="2561" width="15.7109375" style="107" customWidth="1"/>
    <col min="2562" max="2816" width="8.7109375" style="107"/>
    <col min="2817" max="2817" width="15.7109375" style="107" customWidth="1"/>
    <col min="2818" max="3072" width="8.7109375" style="107"/>
    <col min="3073" max="3073" width="15.7109375" style="107" customWidth="1"/>
    <col min="3074" max="3328" width="8.7109375" style="107"/>
    <col min="3329" max="3329" width="15.7109375" style="107" customWidth="1"/>
    <col min="3330" max="3584" width="8.7109375" style="107"/>
    <col min="3585" max="3585" width="15.7109375" style="107" customWidth="1"/>
    <col min="3586" max="3840" width="8.7109375" style="107"/>
    <col min="3841" max="3841" width="15.7109375" style="107" customWidth="1"/>
    <col min="3842" max="4096" width="8.7109375" style="107"/>
    <col min="4097" max="4097" width="15.7109375" style="107" customWidth="1"/>
    <col min="4098" max="4352" width="8.7109375" style="107"/>
    <col min="4353" max="4353" width="15.7109375" style="107" customWidth="1"/>
    <col min="4354" max="4608" width="8.7109375" style="107"/>
    <col min="4609" max="4609" width="15.7109375" style="107" customWidth="1"/>
    <col min="4610" max="4864" width="8.7109375" style="107"/>
    <col min="4865" max="4865" width="15.7109375" style="107" customWidth="1"/>
    <col min="4866" max="5120" width="8.7109375" style="107"/>
    <col min="5121" max="5121" width="15.7109375" style="107" customWidth="1"/>
    <col min="5122" max="5376" width="8.7109375" style="107"/>
    <col min="5377" max="5377" width="15.7109375" style="107" customWidth="1"/>
    <col min="5378" max="5632" width="8.7109375" style="107"/>
    <col min="5633" max="5633" width="15.7109375" style="107" customWidth="1"/>
    <col min="5634" max="5888" width="8.7109375" style="107"/>
    <col min="5889" max="5889" width="15.7109375" style="107" customWidth="1"/>
    <col min="5890" max="6144" width="8.7109375" style="107"/>
    <col min="6145" max="6145" width="15.7109375" style="107" customWidth="1"/>
    <col min="6146" max="6400" width="8.7109375" style="107"/>
    <col min="6401" max="6401" width="15.7109375" style="107" customWidth="1"/>
    <col min="6402" max="6656" width="8.7109375" style="107"/>
    <col min="6657" max="6657" width="15.7109375" style="107" customWidth="1"/>
    <col min="6658" max="6912" width="8.7109375" style="107"/>
    <col min="6913" max="6913" width="15.7109375" style="107" customWidth="1"/>
    <col min="6914" max="7168" width="8.7109375" style="107"/>
    <col min="7169" max="7169" width="15.7109375" style="107" customWidth="1"/>
    <col min="7170" max="7424" width="8.7109375" style="107"/>
    <col min="7425" max="7425" width="15.7109375" style="107" customWidth="1"/>
    <col min="7426" max="7680" width="8.7109375" style="107"/>
    <col min="7681" max="7681" width="15.7109375" style="107" customWidth="1"/>
    <col min="7682" max="7936" width="8.7109375" style="107"/>
    <col min="7937" max="7937" width="15.7109375" style="107" customWidth="1"/>
    <col min="7938" max="8192" width="8.7109375" style="107"/>
    <col min="8193" max="8193" width="15.7109375" style="107" customWidth="1"/>
    <col min="8194" max="8448" width="8.7109375" style="107"/>
    <col min="8449" max="8449" width="15.7109375" style="107" customWidth="1"/>
    <col min="8450" max="8704" width="8.7109375" style="107"/>
    <col min="8705" max="8705" width="15.7109375" style="107" customWidth="1"/>
    <col min="8706" max="8960" width="8.7109375" style="107"/>
    <col min="8961" max="8961" width="15.7109375" style="107" customWidth="1"/>
    <col min="8962" max="9216" width="8.7109375" style="107"/>
    <col min="9217" max="9217" width="15.7109375" style="107" customWidth="1"/>
    <col min="9218" max="9472" width="8.7109375" style="107"/>
    <col min="9473" max="9473" width="15.7109375" style="107" customWidth="1"/>
    <col min="9474" max="9728" width="8.7109375" style="107"/>
    <col min="9729" max="9729" width="15.7109375" style="107" customWidth="1"/>
    <col min="9730" max="9984" width="8.7109375" style="107"/>
    <col min="9985" max="9985" width="15.7109375" style="107" customWidth="1"/>
    <col min="9986" max="10240" width="8.7109375" style="107"/>
    <col min="10241" max="10241" width="15.7109375" style="107" customWidth="1"/>
    <col min="10242" max="10496" width="8.7109375" style="107"/>
    <col min="10497" max="10497" width="15.7109375" style="107" customWidth="1"/>
    <col min="10498" max="10752" width="8.7109375" style="107"/>
    <col min="10753" max="10753" width="15.7109375" style="107" customWidth="1"/>
    <col min="10754" max="11008" width="8.7109375" style="107"/>
    <col min="11009" max="11009" width="15.7109375" style="107" customWidth="1"/>
    <col min="11010" max="11264" width="8.7109375" style="107"/>
    <col min="11265" max="11265" width="15.7109375" style="107" customWidth="1"/>
    <col min="11266" max="11520" width="8.7109375" style="107"/>
    <col min="11521" max="11521" width="15.7109375" style="107" customWidth="1"/>
    <col min="11522" max="11776" width="8.7109375" style="107"/>
    <col min="11777" max="11777" width="15.7109375" style="107" customWidth="1"/>
    <col min="11778" max="12032" width="8.7109375" style="107"/>
    <col min="12033" max="12033" width="15.7109375" style="107" customWidth="1"/>
    <col min="12034" max="12288" width="8.7109375" style="107"/>
    <col min="12289" max="12289" width="15.7109375" style="107" customWidth="1"/>
    <col min="12290" max="12544" width="8.7109375" style="107"/>
    <col min="12545" max="12545" width="15.7109375" style="107" customWidth="1"/>
    <col min="12546" max="12800" width="8.7109375" style="107"/>
    <col min="12801" max="12801" width="15.7109375" style="107" customWidth="1"/>
    <col min="12802" max="13056" width="8.7109375" style="107"/>
    <col min="13057" max="13057" width="15.7109375" style="107" customWidth="1"/>
    <col min="13058" max="13312" width="8.7109375" style="107"/>
    <col min="13313" max="13313" width="15.7109375" style="107" customWidth="1"/>
    <col min="13314" max="13568" width="8.7109375" style="107"/>
    <col min="13569" max="13569" width="15.7109375" style="107" customWidth="1"/>
    <col min="13570" max="13824" width="8.7109375" style="107"/>
    <col min="13825" max="13825" width="15.7109375" style="107" customWidth="1"/>
    <col min="13826" max="14080" width="8.7109375" style="107"/>
    <col min="14081" max="14081" width="15.7109375" style="107" customWidth="1"/>
    <col min="14082" max="14336" width="8.7109375" style="107"/>
    <col min="14337" max="14337" width="15.7109375" style="107" customWidth="1"/>
    <col min="14338" max="14592" width="8.7109375" style="107"/>
    <col min="14593" max="14593" width="15.7109375" style="107" customWidth="1"/>
    <col min="14594" max="14848" width="8.7109375" style="107"/>
    <col min="14849" max="14849" width="15.7109375" style="107" customWidth="1"/>
    <col min="14850" max="15104" width="8.7109375" style="107"/>
    <col min="15105" max="15105" width="15.7109375" style="107" customWidth="1"/>
    <col min="15106" max="15360" width="8.7109375" style="107"/>
    <col min="15361" max="15361" width="15.7109375" style="107" customWidth="1"/>
    <col min="15362" max="15616" width="8.7109375" style="107"/>
    <col min="15617" max="15617" width="15.7109375" style="107" customWidth="1"/>
    <col min="15618" max="15872" width="8.7109375" style="107"/>
    <col min="15873" max="15873" width="15.7109375" style="107" customWidth="1"/>
    <col min="15874" max="16128" width="8.7109375" style="107"/>
    <col min="16129" max="16129" width="15.7109375" style="107" customWidth="1"/>
    <col min="16130" max="16384" width="8.7109375" style="107"/>
  </cols>
  <sheetData>
    <row r="1" spans="1:2" ht="14" x14ac:dyDescent="0.3">
      <c r="A1" s="116" t="s">
        <v>205</v>
      </c>
    </row>
    <row r="2" spans="1:2" x14ac:dyDescent="0.25">
      <c r="A2" s="115"/>
    </row>
    <row r="3" spans="1:2" ht="13" x14ac:dyDescent="0.3">
      <c r="A3" s="106" t="s">
        <v>206</v>
      </c>
    </row>
    <row r="7" spans="1:2" ht="13" x14ac:dyDescent="0.3">
      <c r="A7" s="109" t="s">
        <v>157</v>
      </c>
      <c r="B7" s="106" t="s">
        <v>206</v>
      </c>
    </row>
    <row r="8" spans="1:2" x14ac:dyDescent="0.25">
      <c r="A8" s="110" t="s">
        <v>42</v>
      </c>
      <c r="B8" s="111">
        <v>92.436974789915965</v>
      </c>
    </row>
    <row r="9" spans="1:2" x14ac:dyDescent="0.25">
      <c r="A9" s="110" t="s">
        <v>43</v>
      </c>
      <c r="B9" s="111">
        <v>95.757575757575751</v>
      </c>
    </row>
    <row r="10" spans="1:2" x14ac:dyDescent="0.25">
      <c r="A10" s="110" t="s">
        <v>44</v>
      </c>
      <c r="B10" s="111">
        <v>92.121212121212125</v>
      </c>
    </row>
    <row r="11" spans="1:2" x14ac:dyDescent="0.25">
      <c r="A11" s="110" t="s">
        <v>68</v>
      </c>
      <c r="B11" s="111">
        <v>94.498381877022652</v>
      </c>
    </row>
    <row r="12" spans="1:2" x14ac:dyDescent="0.25">
      <c r="A12" s="110" t="s">
        <v>2</v>
      </c>
      <c r="B12" s="111">
        <v>74.736842105263165</v>
      </c>
    </row>
    <row r="13" spans="1:2" x14ac:dyDescent="0.25">
      <c r="A13" s="110" t="s">
        <v>3</v>
      </c>
      <c r="B13" s="111">
        <v>91.525423728813564</v>
      </c>
    </row>
    <row r="14" spans="1:2" x14ac:dyDescent="0.25">
      <c r="A14" s="110" t="s">
        <v>4</v>
      </c>
      <c r="B14" s="111">
        <v>90.540540540540547</v>
      </c>
    </row>
    <row r="15" spans="1:2" x14ac:dyDescent="0.25">
      <c r="A15" s="110" t="s">
        <v>46</v>
      </c>
      <c r="B15" s="111">
        <v>91.666666666666671</v>
      </c>
    </row>
    <row r="16" spans="1:2" x14ac:dyDescent="0.25">
      <c r="A16" s="110" t="s">
        <v>5</v>
      </c>
      <c r="B16" s="111">
        <v>94.704049844236764</v>
      </c>
    </row>
    <row r="17" spans="1:2" x14ac:dyDescent="0.25">
      <c r="A17" s="110" t="s">
        <v>48</v>
      </c>
      <c r="B17" s="111">
        <v>84.732824427480921</v>
      </c>
    </row>
    <row r="18" spans="1:2" x14ac:dyDescent="0.25">
      <c r="A18" s="110" t="s">
        <v>49</v>
      </c>
      <c r="B18" s="111">
        <v>84.693877551020407</v>
      </c>
    </row>
    <row r="19" spans="1:2" x14ac:dyDescent="0.25">
      <c r="A19" s="110" t="s">
        <v>50</v>
      </c>
      <c r="B19" s="111">
        <v>90.052356020942412</v>
      </c>
    </row>
    <row r="20" spans="1:2" x14ac:dyDescent="0.25">
      <c r="A20" s="110" t="s">
        <v>69</v>
      </c>
      <c r="B20" s="111">
        <v>90.988372093023258</v>
      </c>
    </row>
    <row r="21" spans="1:2" x14ac:dyDescent="0.25">
      <c r="A21" s="110" t="s">
        <v>6</v>
      </c>
      <c r="B21" s="111">
        <v>85.714285714285708</v>
      </c>
    </row>
    <row r="22" spans="1:2" x14ac:dyDescent="0.25">
      <c r="A22" s="110" t="s">
        <v>70</v>
      </c>
      <c r="B22" s="111">
        <v>84.188034188034194</v>
      </c>
    </row>
    <row r="23" spans="1:2" x14ac:dyDescent="0.25">
      <c r="A23" s="110" t="s">
        <v>7</v>
      </c>
      <c r="B23" s="111">
        <v>91.515151515151516</v>
      </c>
    </row>
    <row r="24" spans="1:2" x14ac:dyDescent="0.25">
      <c r="A24" s="110" t="s">
        <v>22</v>
      </c>
      <c r="B24" s="111">
        <v>83.333333333333329</v>
      </c>
    </row>
    <row r="25" spans="1:2" x14ac:dyDescent="0.25">
      <c r="A25" s="110" t="s">
        <v>8</v>
      </c>
      <c r="B25" s="111">
        <v>89.353612167300383</v>
      </c>
    </row>
    <row r="26" spans="1:2" x14ac:dyDescent="0.25">
      <c r="A26" s="110" t="s">
        <v>9</v>
      </c>
      <c r="B26" s="111">
        <v>93.410852713178301</v>
      </c>
    </row>
    <row r="27" spans="1:2" x14ac:dyDescent="0.25">
      <c r="A27" s="110" t="s">
        <v>54</v>
      </c>
      <c r="B27" s="111">
        <v>88.41463414634147</v>
      </c>
    </row>
    <row r="28" spans="1:2" x14ac:dyDescent="0.25">
      <c r="A28" s="110" t="s">
        <v>71</v>
      </c>
      <c r="B28" s="111">
        <v>86.854460093896719</v>
      </c>
    </row>
    <row r="29" spans="1:2" x14ac:dyDescent="0.25">
      <c r="A29" s="110" t="s">
        <v>10</v>
      </c>
      <c r="B29" s="111">
        <v>95.794392523364479</v>
      </c>
    </row>
    <row r="30" spans="1:2" x14ac:dyDescent="0.25">
      <c r="A30" s="110" t="s">
        <v>56</v>
      </c>
      <c r="B30" s="111">
        <v>87.005649717514117</v>
      </c>
    </row>
    <row r="31" spans="1:2" x14ac:dyDescent="0.25">
      <c r="A31" s="110" t="s">
        <v>11</v>
      </c>
      <c r="B31" s="111">
        <v>94.736842105263165</v>
      </c>
    </row>
    <row r="32" spans="1:2" x14ac:dyDescent="0.25">
      <c r="A32" s="110" t="s">
        <v>58</v>
      </c>
      <c r="B32" s="111">
        <v>82.882882882882882</v>
      </c>
    </row>
    <row r="33" spans="1:2" x14ac:dyDescent="0.25">
      <c r="A33" s="110" t="s">
        <v>59</v>
      </c>
      <c r="B33" s="111">
        <v>87.943262411347519</v>
      </c>
    </row>
    <row r="34" spans="1:2" x14ac:dyDescent="0.25">
      <c r="A34" s="110" t="s">
        <v>60</v>
      </c>
      <c r="B34" s="111">
        <v>86.713286713286706</v>
      </c>
    </row>
    <row r="35" spans="1:2" x14ac:dyDescent="0.25">
      <c r="A35" s="110" t="s">
        <v>12</v>
      </c>
      <c r="B35" s="111">
        <v>74.045801526717554</v>
      </c>
    </row>
    <row r="36" spans="1:2" x14ac:dyDescent="0.25">
      <c r="A36" s="110" t="s">
        <v>61</v>
      </c>
      <c r="B36" s="111">
        <v>93.061224489795919</v>
      </c>
    </row>
    <row r="37" spans="1:2" x14ac:dyDescent="0.25">
      <c r="A37" s="110" t="s">
        <v>62</v>
      </c>
      <c r="B37" s="111">
        <v>91.071428571428569</v>
      </c>
    </row>
    <row r="38" spans="1:2" x14ac:dyDescent="0.25">
      <c r="A38" s="110" t="s">
        <v>23</v>
      </c>
      <c r="B38" s="111">
        <v>90.588235294117652</v>
      </c>
    </row>
    <row r="39" spans="1:2" x14ac:dyDescent="0.25">
      <c r="A39" s="110" t="s">
        <v>13</v>
      </c>
      <c r="B39" s="111">
        <v>87.475915221579967</v>
      </c>
    </row>
    <row r="40" spans="1:2" x14ac:dyDescent="0.25">
      <c r="A40" s="110" t="s">
        <v>14</v>
      </c>
      <c r="B40" s="111">
        <v>94.871794871794876</v>
      </c>
    </row>
    <row r="41" spans="1:2" x14ac:dyDescent="0.25">
      <c r="A41" s="110" t="s">
        <v>64</v>
      </c>
      <c r="B41" s="111">
        <v>84.848484848484844</v>
      </c>
    </row>
    <row r="42" spans="1:2" x14ac:dyDescent="0.25">
      <c r="A42" s="110" t="s">
        <v>65</v>
      </c>
      <c r="B42" s="111">
        <v>93.392070484581495</v>
      </c>
    </row>
    <row r="43" spans="1:2" x14ac:dyDescent="0.25">
      <c r="A43" s="110" t="s">
        <v>66</v>
      </c>
      <c r="B43" s="111">
        <v>91.457286432160799</v>
      </c>
    </row>
    <row r="44" spans="1:2" x14ac:dyDescent="0.25">
      <c r="A44" s="110" t="s">
        <v>15</v>
      </c>
      <c r="B44" s="111">
        <v>93.40836012861736</v>
      </c>
    </row>
    <row r="45" spans="1:2" x14ac:dyDescent="0.25">
      <c r="A45" s="110" t="s">
        <v>16</v>
      </c>
      <c r="B45" s="111">
        <v>92.708333333333329</v>
      </c>
    </row>
    <row r="46" spans="1:2" x14ac:dyDescent="0.25">
      <c r="A46" s="110" t="s">
        <v>17</v>
      </c>
      <c r="B46" s="111">
        <v>90.816326530612244</v>
      </c>
    </row>
    <row r="47" spans="1:2" x14ac:dyDescent="0.25">
      <c r="A47" s="110" t="s">
        <v>24</v>
      </c>
      <c r="B47" s="111">
        <v>91.111111111111114</v>
      </c>
    </row>
    <row r="51" spans="1:2" ht="13" x14ac:dyDescent="0.3">
      <c r="A51" s="112" t="s">
        <v>158</v>
      </c>
      <c r="B51" s="106" t="s">
        <v>206</v>
      </c>
    </row>
    <row r="52" spans="1:2" x14ac:dyDescent="0.25">
      <c r="A52" s="113" t="s">
        <v>74</v>
      </c>
      <c r="B52" s="114">
        <v>85.388127853881272</v>
      </c>
    </row>
    <row r="53" spans="1:2" x14ac:dyDescent="0.25">
      <c r="A53" s="110" t="s">
        <v>75</v>
      </c>
      <c r="B53" s="114">
        <v>87.274220032840716</v>
      </c>
    </row>
    <row r="54" spans="1:2" x14ac:dyDescent="0.25">
      <c r="A54" s="110" t="s">
        <v>76</v>
      </c>
      <c r="B54" s="114">
        <v>90.666666666666671</v>
      </c>
    </row>
    <row r="55" spans="1:2" x14ac:dyDescent="0.25">
      <c r="A55" s="110" t="s">
        <v>77</v>
      </c>
      <c r="B55" s="114">
        <v>90.809399477806792</v>
      </c>
    </row>
    <row r="56" spans="1:2" x14ac:dyDescent="0.25">
      <c r="A56" s="110" t="s">
        <v>78</v>
      </c>
      <c r="B56" s="114">
        <v>88.845609065155813</v>
      </c>
    </row>
    <row r="57" spans="1:2" x14ac:dyDescent="0.25">
      <c r="A57" s="110" t="s">
        <v>79</v>
      </c>
      <c r="B57" s="114">
        <v>94.415584415584419</v>
      </c>
    </row>
    <row r="60" spans="1:2" ht="13" x14ac:dyDescent="0.3">
      <c r="A60" s="109"/>
    </row>
    <row r="61" spans="1:2" ht="13" x14ac:dyDescent="0.3">
      <c r="B61" s="106" t="s">
        <v>206</v>
      </c>
    </row>
    <row r="62" spans="1:2" ht="13" x14ac:dyDescent="0.3">
      <c r="A62" s="109" t="s">
        <v>159</v>
      </c>
      <c r="B62" s="114">
        <v>90.835048010973935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workbookViewId="0">
      <selection activeCell="N217" sqref="N217"/>
    </sheetView>
  </sheetViews>
  <sheetFormatPr defaultRowHeight="12.5" x14ac:dyDescent="0.25"/>
  <cols>
    <col min="1" max="1" width="15.7109375" style="107" customWidth="1"/>
    <col min="2" max="2" width="21.28515625" style="107" customWidth="1"/>
    <col min="3" max="256" width="8.7109375" style="107"/>
    <col min="257" max="257" width="15.7109375" style="107" customWidth="1"/>
    <col min="258" max="512" width="8.7109375" style="107"/>
    <col min="513" max="513" width="15.7109375" style="107" customWidth="1"/>
    <col min="514" max="768" width="8.7109375" style="107"/>
    <col min="769" max="769" width="15.7109375" style="107" customWidth="1"/>
    <col min="770" max="1024" width="8.7109375" style="107"/>
    <col min="1025" max="1025" width="15.7109375" style="107" customWidth="1"/>
    <col min="1026" max="1280" width="8.7109375" style="107"/>
    <col min="1281" max="1281" width="15.7109375" style="107" customWidth="1"/>
    <col min="1282" max="1536" width="8.7109375" style="107"/>
    <col min="1537" max="1537" width="15.7109375" style="107" customWidth="1"/>
    <col min="1538" max="1792" width="8.7109375" style="107"/>
    <col min="1793" max="1793" width="15.7109375" style="107" customWidth="1"/>
    <col min="1794" max="2048" width="8.7109375" style="107"/>
    <col min="2049" max="2049" width="15.7109375" style="107" customWidth="1"/>
    <col min="2050" max="2304" width="8.7109375" style="107"/>
    <col min="2305" max="2305" width="15.7109375" style="107" customWidth="1"/>
    <col min="2306" max="2560" width="8.7109375" style="107"/>
    <col min="2561" max="2561" width="15.7109375" style="107" customWidth="1"/>
    <col min="2562" max="2816" width="8.7109375" style="107"/>
    <col min="2817" max="2817" width="15.7109375" style="107" customWidth="1"/>
    <col min="2818" max="3072" width="8.7109375" style="107"/>
    <col min="3073" max="3073" width="15.7109375" style="107" customWidth="1"/>
    <col min="3074" max="3328" width="8.7109375" style="107"/>
    <col min="3329" max="3329" width="15.7109375" style="107" customWidth="1"/>
    <col min="3330" max="3584" width="8.7109375" style="107"/>
    <col min="3585" max="3585" width="15.7109375" style="107" customWidth="1"/>
    <col min="3586" max="3840" width="8.7109375" style="107"/>
    <col min="3841" max="3841" width="15.7109375" style="107" customWidth="1"/>
    <col min="3842" max="4096" width="8.7109375" style="107"/>
    <col min="4097" max="4097" width="15.7109375" style="107" customWidth="1"/>
    <col min="4098" max="4352" width="8.7109375" style="107"/>
    <col min="4353" max="4353" width="15.7109375" style="107" customWidth="1"/>
    <col min="4354" max="4608" width="8.7109375" style="107"/>
    <col min="4609" max="4609" width="15.7109375" style="107" customWidth="1"/>
    <col min="4610" max="4864" width="8.7109375" style="107"/>
    <col min="4865" max="4865" width="15.7109375" style="107" customWidth="1"/>
    <col min="4866" max="5120" width="8.7109375" style="107"/>
    <col min="5121" max="5121" width="15.7109375" style="107" customWidth="1"/>
    <col min="5122" max="5376" width="8.7109375" style="107"/>
    <col min="5377" max="5377" width="15.7109375" style="107" customWidth="1"/>
    <col min="5378" max="5632" width="8.7109375" style="107"/>
    <col min="5633" max="5633" width="15.7109375" style="107" customWidth="1"/>
    <col min="5634" max="5888" width="8.7109375" style="107"/>
    <col min="5889" max="5889" width="15.7109375" style="107" customWidth="1"/>
    <col min="5890" max="6144" width="8.7109375" style="107"/>
    <col min="6145" max="6145" width="15.7109375" style="107" customWidth="1"/>
    <col min="6146" max="6400" width="8.7109375" style="107"/>
    <col min="6401" max="6401" width="15.7109375" style="107" customWidth="1"/>
    <col min="6402" max="6656" width="8.7109375" style="107"/>
    <col min="6657" max="6657" width="15.7109375" style="107" customWidth="1"/>
    <col min="6658" max="6912" width="8.7109375" style="107"/>
    <col min="6913" max="6913" width="15.7109375" style="107" customWidth="1"/>
    <col min="6914" max="7168" width="8.7109375" style="107"/>
    <col min="7169" max="7169" width="15.7109375" style="107" customWidth="1"/>
    <col min="7170" max="7424" width="8.7109375" style="107"/>
    <col min="7425" max="7425" width="15.7109375" style="107" customWidth="1"/>
    <col min="7426" max="7680" width="8.7109375" style="107"/>
    <col min="7681" max="7681" width="15.7109375" style="107" customWidth="1"/>
    <col min="7682" max="7936" width="8.7109375" style="107"/>
    <col min="7937" max="7937" width="15.7109375" style="107" customWidth="1"/>
    <col min="7938" max="8192" width="8.7109375" style="107"/>
    <col min="8193" max="8193" width="15.7109375" style="107" customWidth="1"/>
    <col min="8194" max="8448" width="8.7109375" style="107"/>
    <col min="8449" max="8449" width="15.7109375" style="107" customWidth="1"/>
    <col min="8450" max="8704" width="8.7109375" style="107"/>
    <col min="8705" max="8705" width="15.7109375" style="107" customWidth="1"/>
    <col min="8706" max="8960" width="8.7109375" style="107"/>
    <col min="8961" max="8961" width="15.7109375" style="107" customWidth="1"/>
    <col min="8962" max="9216" width="8.7109375" style="107"/>
    <col min="9217" max="9217" width="15.7109375" style="107" customWidth="1"/>
    <col min="9218" max="9472" width="8.7109375" style="107"/>
    <col min="9473" max="9473" width="15.7109375" style="107" customWidth="1"/>
    <col min="9474" max="9728" width="8.7109375" style="107"/>
    <col min="9729" max="9729" width="15.7109375" style="107" customWidth="1"/>
    <col min="9730" max="9984" width="8.7109375" style="107"/>
    <col min="9985" max="9985" width="15.7109375" style="107" customWidth="1"/>
    <col min="9986" max="10240" width="8.7109375" style="107"/>
    <col min="10241" max="10241" width="15.7109375" style="107" customWidth="1"/>
    <col min="10242" max="10496" width="8.7109375" style="107"/>
    <col min="10497" max="10497" width="15.7109375" style="107" customWidth="1"/>
    <col min="10498" max="10752" width="8.7109375" style="107"/>
    <col min="10753" max="10753" width="15.7109375" style="107" customWidth="1"/>
    <col min="10754" max="11008" width="8.7109375" style="107"/>
    <col min="11009" max="11009" width="15.7109375" style="107" customWidth="1"/>
    <col min="11010" max="11264" width="8.7109375" style="107"/>
    <col min="11265" max="11265" width="15.7109375" style="107" customWidth="1"/>
    <col min="11266" max="11520" width="8.7109375" style="107"/>
    <col min="11521" max="11521" width="15.7109375" style="107" customWidth="1"/>
    <col min="11522" max="11776" width="8.7109375" style="107"/>
    <col min="11777" max="11777" width="15.7109375" style="107" customWidth="1"/>
    <col min="11778" max="12032" width="8.7109375" style="107"/>
    <col min="12033" max="12033" width="15.7109375" style="107" customWidth="1"/>
    <col min="12034" max="12288" width="8.7109375" style="107"/>
    <col min="12289" max="12289" width="15.7109375" style="107" customWidth="1"/>
    <col min="12290" max="12544" width="8.7109375" style="107"/>
    <col min="12545" max="12545" width="15.7109375" style="107" customWidth="1"/>
    <col min="12546" max="12800" width="8.7109375" style="107"/>
    <col min="12801" max="12801" width="15.7109375" style="107" customWidth="1"/>
    <col min="12802" max="13056" width="8.7109375" style="107"/>
    <col min="13057" max="13057" width="15.7109375" style="107" customWidth="1"/>
    <col min="13058" max="13312" width="8.7109375" style="107"/>
    <col min="13313" max="13313" width="15.7109375" style="107" customWidth="1"/>
    <col min="13314" max="13568" width="8.7109375" style="107"/>
    <col min="13569" max="13569" width="15.7109375" style="107" customWidth="1"/>
    <col min="13570" max="13824" width="8.7109375" style="107"/>
    <col min="13825" max="13825" width="15.7109375" style="107" customWidth="1"/>
    <col min="13826" max="14080" width="8.7109375" style="107"/>
    <col min="14081" max="14081" width="15.7109375" style="107" customWidth="1"/>
    <col min="14082" max="14336" width="8.7109375" style="107"/>
    <col min="14337" max="14337" width="15.7109375" style="107" customWidth="1"/>
    <col min="14338" max="14592" width="8.7109375" style="107"/>
    <col min="14593" max="14593" width="15.7109375" style="107" customWidth="1"/>
    <col min="14594" max="14848" width="8.7109375" style="107"/>
    <col min="14849" max="14849" width="15.7109375" style="107" customWidth="1"/>
    <col min="14850" max="15104" width="8.7109375" style="107"/>
    <col min="15105" max="15105" width="15.7109375" style="107" customWidth="1"/>
    <col min="15106" max="15360" width="8.7109375" style="107"/>
    <col min="15361" max="15361" width="15.7109375" style="107" customWidth="1"/>
    <col min="15362" max="15616" width="8.7109375" style="107"/>
    <col min="15617" max="15617" width="15.7109375" style="107" customWidth="1"/>
    <col min="15618" max="15872" width="8.7109375" style="107"/>
    <col min="15873" max="15873" width="15.7109375" style="107" customWidth="1"/>
    <col min="15874" max="16128" width="8.7109375" style="107"/>
    <col min="16129" max="16129" width="15.7109375" style="107" customWidth="1"/>
    <col min="16130" max="16384" width="8.7109375" style="107"/>
  </cols>
  <sheetData>
    <row r="1" spans="1:2" ht="14" x14ac:dyDescent="0.3">
      <c r="A1" s="116" t="s">
        <v>207</v>
      </c>
    </row>
    <row r="2" spans="1:2" x14ac:dyDescent="0.25">
      <c r="A2" s="115"/>
    </row>
    <row r="3" spans="1:2" x14ac:dyDescent="0.25">
      <c r="A3" s="115" t="s">
        <v>208</v>
      </c>
    </row>
    <row r="6" spans="1:2" ht="13" x14ac:dyDescent="0.3">
      <c r="A6" s="109" t="s">
        <v>157</v>
      </c>
      <c r="B6" s="106" t="s">
        <v>208</v>
      </c>
    </row>
    <row r="7" spans="1:2" x14ac:dyDescent="0.25">
      <c r="A7" s="110" t="s">
        <v>42</v>
      </c>
      <c r="B7" s="111">
        <v>46.218487394957982</v>
      </c>
    </row>
    <row r="8" spans="1:2" x14ac:dyDescent="0.25">
      <c r="A8" s="110" t="s">
        <v>43</v>
      </c>
      <c r="B8" s="111">
        <v>68.797564687975651</v>
      </c>
    </row>
    <row r="9" spans="1:2" x14ac:dyDescent="0.25">
      <c r="A9" s="110" t="s">
        <v>44</v>
      </c>
      <c r="B9" s="111">
        <v>45.679012345679013</v>
      </c>
    </row>
    <row r="10" spans="1:2" x14ac:dyDescent="0.25">
      <c r="A10" s="110" t="s">
        <v>68</v>
      </c>
      <c r="B10" s="111">
        <v>63.902439024390247</v>
      </c>
    </row>
    <row r="11" spans="1:2" x14ac:dyDescent="0.25">
      <c r="A11" s="110" t="s">
        <v>2</v>
      </c>
      <c r="B11" s="111">
        <v>29.166666666666668</v>
      </c>
    </row>
    <row r="12" spans="1:2" x14ac:dyDescent="0.25">
      <c r="A12" s="110" t="s">
        <v>3</v>
      </c>
      <c r="B12" s="111">
        <v>53.198653198653197</v>
      </c>
    </row>
    <row r="13" spans="1:2" x14ac:dyDescent="0.25">
      <c r="A13" s="110" t="s">
        <v>4</v>
      </c>
      <c r="B13" s="111">
        <v>57.770270270270274</v>
      </c>
    </row>
    <row r="14" spans="1:2" x14ac:dyDescent="0.25">
      <c r="A14" s="110" t="s">
        <v>46</v>
      </c>
      <c r="B14" s="111">
        <v>63.194444444444443</v>
      </c>
    </row>
    <row r="15" spans="1:2" x14ac:dyDescent="0.25">
      <c r="A15" s="110" t="s">
        <v>5</v>
      </c>
      <c r="B15" s="111">
        <v>63.707165109034271</v>
      </c>
    </row>
    <row r="16" spans="1:2" x14ac:dyDescent="0.25">
      <c r="A16" s="110" t="s">
        <v>48</v>
      </c>
      <c r="B16" s="111">
        <v>44.696969696969695</v>
      </c>
    </row>
    <row r="17" spans="1:2" x14ac:dyDescent="0.25">
      <c r="A17" s="110" t="s">
        <v>49</v>
      </c>
      <c r="B17" s="111">
        <v>27.835051546391753</v>
      </c>
    </row>
    <row r="18" spans="1:2" x14ac:dyDescent="0.25">
      <c r="A18" s="110" t="s">
        <v>50</v>
      </c>
      <c r="B18" s="111">
        <v>37.5</v>
      </c>
    </row>
    <row r="19" spans="1:2" x14ac:dyDescent="0.25">
      <c r="A19" s="110" t="s">
        <v>69</v>
      </c>
      <c r="B19" s="111">
        <v>58.187134502923975</v>
      </c>
    </row>
    <row r="20" spans="1:2" x14ac:dyDescent="0.25">
      <c r="A20" s="110" t="s">
        <v>6</v>
      </c>
      <c r="B20" s="111">
        <v>52.519893899204241</v>
      </c>
    </row>
    <row r="21" spans="1:2" x14ac:dyDescent="0.25">
      <c r="A21" s="110" t="s">
        <v>70</v>
      </c>
      <c r="B21" s="111">
        <v>38.46153846153846</v>
      </c>
    </row>
    <row r="22" spans="1:2" x14ac:dyDescent="0.25">
      <c r="A22" s="110" t="s">
        <v>7</v>
      </c>
      <c r="B22" s="111">
        <v>49.090909090909093</v>
      </c>
    </row>
    <row r="23" spans="1:2" x14ac:dyDescent="0.25">
      <c r="A23" s="110" t="s">
        <v>22</v>
      </c>
      <c r="B23" s="111">
        <v>40.462427745664741</v>
      </c>
    </row>
    <row r="24" spans="1:2" x14ac:dyDescent="0.25">
      <c r="A24" s="110" t="s">
        <v>8</v>
      </c>
      <c r="B24" s="111">
        <v>60.68702290076336</v>
      </c>
    </row>
    <row r="25" spans="1:2" x14ac:dyDescent="0.25">
      <c r="A25" s="110" t="s">
        <v>9</v>
      </c>
      <c r="B25" s="111">
        <v>57.03125</v>
      </c>
    </row>
    <row r="26" spans="1:2" x14ac:dyDescent="0.25">
      <c r="A26" s="110" t="s">
        <v>54</v>
      </c>
      <c r="B26" s="111">
        <v>51.533742331288344</v>
      </c>
    </row>
    <row r="27" spans="1:2" x14ac:dyDescent="0.25">
      <c r="A27" s="110" t="s">
        <v>71</v>
      </c>
      <c r="B27" s="111">
        <v>51.529411764705884</v>
      </c>
    </row>
    <row r="28" spans="1:2" x14ac:dyDescent="0.25">
      <c r="A28" s="110" t="s">
        <v>10</v>
      </c>
      <c r="B28" s="111">
        <v>53.990610328638496</v>
      </c>
    </row>
    <row r="29" spans="1:2" x14ac:dyDescent="0.25">
      <c r="A29" s="110" t="s">
        <v>56</v>
      </c>
      <c r="B29" s="111">
        <v>46.327683615819211</v>
      </c>
    </row>
    <row r="30" spans="1:2" x14ac:dyDescent="0.25">
      <c r="A30" s="110" t="s">
        <v>11</v>
      </c>
      <c r="B30" s="111">
        <v>75.119617224880386</v>
      </c>
    </row>
    <row r="31" spans="1:2" x14ac:dyDescent="0.25">
      <c r="A31" s="110" t="s">
        <v>58</v>
      </c>
      <c r="B31" s="111">
        <v>37.837837837837839</v>
      </c>
    </row>
    <row r="32" spans="1:2" x14ac:dyDescent="0.25">
      <c r="A32" s="110" t="s">
        <v>59</v>
      </c>
      <c r="B32" s="111">
        <v>43.262411347517734</v>
      </c>
    </row>
    <row r="33" spans="1:2" x14ac:dyDescent="0.25">
      <c r="A33" s="110" t="s">
        <v>60</v>
      </c>
      <c r="B33" s="111">
        <v>38.732394366197184</v>
      </c>
    </row>
    <row r="34" spans="1:2" x14ac:dyDescent="0.25">
      <c r="A34" s="110" t="s">
        <v>12</v>
      </c>
      <c r="B34" s="111">
        <v>36.92307692307692</v>
      </c>
    </row>
    <row r="35" spans="1:2" x14ac:dyDescent="0.25">
      <c r="A35" s="110" t="s">
        <v>61</v>
      </c>
      <c r="B35" s="111">
        <v>56.790123456790127</v>
      </c>
    </row>
    <row r="36" spans="1:2" x14ac:dyDescent="0.25">
      <c r="A36" s="110" t="s">
        <v>62</v>
      </c>
      <c r="B36" s="111">
        <v>37.391304347826086</v>
      </c>
    </row>
    <row r="37" spans="1:2" x14ac:dyDescent="0.25">
      <c r="A37" s="110" t="s">
        <v>23</v>
      </c>
      <c r="B37" s="111">
        <v>40.643274853801167</v>
      </c>
    </row>
    <row r="38" spans="1:2" x14ac:dyDescent="0.25">
      <c r="A38" s="110" t="s">
        <v>13</v>
      </c>
      <c r="B38" s="111">
        <v>47.766990291262132</v>
      </c>
    </row>
    <row r="39" spans="1:2" x14ac:dyDescent="0.25">
      <c r="A39" s="110" t="s">
        <v>14</v>
      </c>
      <c r="B39" s="111">
        <v>69.281045751633982</v>
      </c>
    </row>
    <row r="40" spans="1:2" x14ac:dyDescent="0.25">
      <c r="A40" s="110" t="s">
        <v>64</v>
      </c>
      <c r="B40" s="111">
        <v>42.073170731707314</v>
      </c>
    </row>
    <row r="41" spans="1:2" x14ac:dyDescent="0.25">
      <c r="A41" s="110" t="s">
        <v>65</v>
      </c>
      <c r="B41" s="111">
        <v>67.982456140350877</v>
      </c>
    </row>
    <row r="42" spans="1:2" x14ac:dyDescent="0.25">
      <c r="A42" s="110" t="s">
        <v>66</v>
      </c>
      <c r="B42" s="111">
        <v>59.5</v>
      </c>
    </row>
    <row r="43" spans="1:2" x14ac:dyDescent="0.25">
      <c r="A43" s="110" t="s">
        <v>15</v>
      </c>
      <c r="B43" s="111">
        <v>63.91585760517799</v>
      </c>
    </row>
    <row r="44" spans="1:2" x14ac:dyDescent="0.25">
      <c r="A44" s="110" t="s">
        <v>16</v>
      </c>
      <c r="B44" s="111">
        <v>57.180156657963444</v>
      </c>
    </row>
    <row r="45" spans="1:2" x14ac:dyDescent="0.25">
      <c r="A45" s="110" t="s">
        <v>17</v>
      </c>
      <c r="B45" s="111">
        <v>45.454545454545453</v>
      </c>
    </row>
    <row r="46" spans="1:2" x14ac:dyDescent="0.25">
      <c r="A46" s="110" t="s">
        <v>24</v>
      </c>
      <c r="B46" s="111">
        <v>48.066298342541437</v>
      </c>
    </row>
    <row r="50" spans="1:2" ht="13" x14ac:dyDescent="0.3">
      <c r="A50" s="112" t="s">
        <v>158</v>
      </c>
      <c r="B50" s="106" t="s">
        <v>208</v>
      </c>
    </row>
    <row r="51" spans="1:2" x14ac:dyDescent="0.25">
      <c r="A51" s="113" t="s">
        <v>74</v>
      </c>
      <c r="B51" s="114">
        <v>36.363636363636367</v>
      </c>
    </row>
    <row r="52" spans="1:2" x14ac:dyDescent="0.25">
      <c r="A52" s="110" t="s">
        <v>75</v>
      </c>
      <c r="B52" s="114">
        <v>45.836768342951359</v>
      </c>
    </row>
    <row r="53" spans="1:2" x14ac:dyDescent="0.25">
      <c r="A53" s="110" t="s">
        <v>76</v>
      </c>
      <c r="B53" s="114">
        <v>50.041771094402677</v>
      </c>
    </row>
    <row r="54" spans="1:2" x14ac:dyDescent="0.25">
      <c r="A54" s="110" t="s">
        <v>77</v>
      </c>
      <c r="B54" s="114">
        <v>51.67189132706374</v>
      </c>
    </row>
    <row r="55" spans="1:2" x14ac:dyDescent="0.25">
      <c r="A55" s="110" t="s">
        <v>78</v>
      </c>
      <c r="B55" s="114">
        <v>54.742451154529306</v>
      </c>
    </row>
    <row r="56" spans="1:2" x14ac:dyDescent="0.25">
      <c r="A56" s="110" t="s">
        <v>79</v>
      </c>
      <c r="B56" s="114">
        <v>67.265157429091857</v>
      </c>
    </row>
    <row r="59" spans="1:2" ht="13" x14ac:dyDescent="0.3">
      <c r="A59" s="109"/>
    </row>
    <row r="60" spans="1:2" ht="13" x14ac:dyDescent="0.3">
      <c r="B60" s="106" t="s">
        <v>208</v>
      </c>
    </row>
    <row r="61" spans="1:2" ht="13" x14ac:dyDescent="0.3">
      <c r="A61" s="109" t="s">
        <v>159</v>
      </c>
      <c r="B61" s="114">
        <v>55.918227108744205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13" workbookViewId="0">
      <selection activeCell="N217" sqref="N217"/>
    </sheetView>
  </sheetViews>
  <sheetFormatPr defaultRowHeight="12.5" x14ac:dyDescent="0.25"/>
  <cols>
    <col min="1" max="1" width="15.7109375" style="107" customWidth="1"/>
    <col min="2" max="2" width="33.28515625" style="107" customWidth="1"/>
    <col min="3" max="256" width="8.7109375" style="107"/>
    <col min="257" max="257" width="15.7109375" style="107" customWidth="1"/>
    <col min="258" max="512" width="8.7109375" style="107"/>
    <col min="513" max="513" width="15.7109375" style="107" customWidth="1"/>
    <col min="514" max="768" width="8.7109375" style="107"/>
    <col min="769" max="769" width="15.7109375" style="107" customWidth="1"/>
    <col min="770" max="1024" width="8.7109375" style="107"/>
    <col min="1025" max="1025" width="15.7109375" style="107" customWidth="1"/>
    <col min="1026" max="1280" width="8.7109375" style="107"/>
    <col min="1281" max="1281" width="15.7109375" style="107" customWidth="1"/>
    <col min="1282" max="1536" width="8.7109375" style="107"/>
    <col min="1537" max="1537" width="15.7109375" style="107" customWidth="1"/>
    <col min="1538" max="1792" width="8.7109375" style="107"/>
    <col min="1793" max="1793" width="15.7109375" style="107" customWidth="1"/>
    <col min="1794" max="2048" width="8.7109375" style="107"/>
    <col min="2049" max="2049" width="15.7109375" style="107" customWidth="1"/>
    <col min="2050" max="2304" width="8.7109375" style="107"/>
    <col min="2305" max="2305" width="15.7109375" style="107" customWidth="1"/>
    <col min="2306" max="2560" width="8.7109375" style="107"/>
    <col min="2561" max="2561" width="15.7109375" style="107" customWidth="1"/>
    <col min="2562" max="2816" width="8.7109375" style="107"/>
    <col min="2817" max="2817" width="15.7109375" style="107" customWidth="1"/>
    <col min="2818" max="3072" width="8.7109375" style="107"/>
    <col min="3073" max="3073" width="15.7109375" style="107" customWidth="1"/>
    <col min="3074" max="3328" width="8.7109375" style="107"/>
    <col min="3329" max="3329" width="15.7109375" style="107" customWidth="1"/>
    <col min="3330" max="3584" width="8.7109375" style="107"/>
    <col min="3585" max="3585" width="15.7109375" style="107" customWidth="1"/>
    <col min="3586" max="3840" width="8.7109375" style="107"/>
    <col min="3841" max="3841" width="15.7109375" style="107" customWidth="1"/>
    <col min="3842" max="4096" width="8.7109375" style="107"/>
    <col min="4097" max="4097" width="15.7109375" style="107" customWidth="1"/>
    <col min="4098" max="4352" width="8.7109375" style="107"/>
    <col min="4353" max="4353" width="15.7109375" style="107" customWidth="1"/>
    <col min="4354" max="4608" width="8.7109375" style="107"/>
    <col min="4609" max="4609" width="15.7109375" style="107" customWidth="1"/>
    <col min="4610" max="4864" width="8.7109375" style="107"/>
    <col min="4865" max="4865" width="15.7109375" style="107" customWidth="1"/>
    <col min="4866" max="5120" width="8.7109375" style="107"/>
    <col min="5121" max="5121" width="15.7109375" style="107" customWidth="1"/>
    <col min="5122" max="5376" width="8.7109375" style="107"/>
    <col min="5377" max="5377" width="15.7109375" style="107" customWidth="1"/>
    <col min="5378" max="5632" width="8.7109375" style="107"/>
    <col min="5633" max="5633" width="15.7109375" style="107" customWidth="1"/>
    <col min="5634" max="5888" width="8.7109375" style="107"/>
    <col min="5889" max="5889" width="15.7109375" style="107" customWidth="1"/>
    <col min="5890" max="6144" width="8.7109375" style="107"/>
    <col min="6145" max="6145" width="15.7109375" style="107" customWidth="1"/>
    <col min="6146" max="6400" width="8.7109375" style="107"/>
    <col min="6401" max="6401" width="15.7109375" style="107" customWidth="1"/>
    <col min="6402" max="6656" width="8.7109375" style="107"/>
    <col min="6657" max="6657" width="15.7109375" style="107" customWidth="1"/>
    <col min="6658" max="6912" width="8.7109375" style="107"/>
    <col min="6913" max="6913" width="15.7109375" style="107" customWidth="1"/>
    <col min="6914" max="7168" width="8.7109375" style="107"/>
    <col min="7169" max="7169" width="15.7109375" style="107" customWidth="1"/>
    <col min="7170" max="7424" width="8.7109375" style="107"/>
    <col min="7425" max="7425" width="15.7109375" style="107" customWidth="1"/>
    <col min="7426" max="7680" width="8.7109375" style="107"/>
    <col min="7681" max="7681" width="15.7109375" style="107" customWidth="1"/>
    <col min="7682" max="7936" width="8.7109375" style="107"/>
    <col min="7937" max="7937" width="15.7109375" style="107" customWidth="1"/>
    <col min="7938" max="8192" width="8.7109375" style="107"/>
    <col min="8193" max="8193" width="15.7109375" style="107" customWidth="1"/>
    <col min="8194" max="8448" width="8.7109375" style="107"/>
    <col min="8449" max="8449" width="15.7109375" style="107" customWidth="1"/>
    <col min="8450" max="8704" width="8.7109375" style="107"/>
    <col min="8705" max="8705" width="15.7109375" style="107" customWidth="1"/>
    <col min="8706" max="8960" width="8.7109375" style="107"/>
    <col min="8961" max="8961" width="15.7109375" style="107" customWidth="1"/>
    <col min="8962" max="9216" width="8.7109375" style="107"/>
    <col min="9217" max="9217" width="15.7109375" style="107" customWidth="1"/>
    <col min="9218" max="9472" width="8.7109375" style="107"/>
    <col min="9473" max="9473" width="15.7109375" style="107" customWidth="1"/>
    <col min="9474" max="9728" width="8.7109375" style="107"/>
    <col min="9729" max="9729" width="15.7109375" style="107" customWidth="1"/>
    <col min="9730" max="9984" width="8.7109375" style="107"/>
    <col min="9985" max="9985" width="15.7109375" style="107" customWidth="1"/>
    <col min="9986" max="10240" width="8.7109375" style="107"/>
    <col min="10241" max="10241" width="15.7109375" style="107" customWidth="1"/>
    <col min="10242" max="10496" width="8.7109375" style="107"/>
    <col min="10497" max="10497" width="15.7109375" style="107" customWidth="1"/>
    <col min="10498" max="10752" width="8.7109375" style="107"/>
    <col min="10753" max="10753" width="15.7109375" style="107" customWidth="1"/>
    <col min="10754" max="11008" width="8.7109375" style="107"/>
    <col min="11009" max="11009" width="15.7109375" style="107" customWidth="1"/>
    <col min="11010" max="11264" width="8.7109375" style="107"/>
    <col min="11265" max="11265" width="15.7109375" style="107" customWidth="1"/>
    <col min="11266" max="11520" width="8.7109375" style="107"/>
    <col min="11521" max="11521" width="15.7109375" style="107" customWidth="1"/>
    <col min="11522" max="11776" width="8.7109375" style="107"/>
    <col min="11777" max="11777" width="15.7109375" style="107" customWidth="1"/>
    <col min="11778" max="12032" width="8.7109375" style="107"/>
    <col min="12033" max="12033" width="15.7109375" style="107" customWidth="1"/>
    <col min="12034" max="12288" width="8.7109375" style="107"/>
    <col min="12289" max="12289" width="15.7109375" style="107" customWidth="1"/>
    <col min="12290" max="12544" width="8.7109375" style="107"/>
    <col min="12545" max="12545" width="15.7109375" style="107" customWidth="1"/>
    <col min="12546" max="12800" width="8.7109375" style="107"/>
    <col min="12801" max="12801" width="15.7109375" style="107" customWidth="1"/>
    <col min="12802" max="13056" width="8.7109375" style="107"/>
    <col min="13057" max="13057" width="15.7109375" style="107" customWidth="1"/>
    <col min="13058" max="13312" width="8.7109375" style="107"/>
    <col min="13313" max="13313" width="15.7109375" style="107" customWidth="1"/>
    <col min="13314" max="13568" width="8.7109375" style="107"/>
    <col min="13569" max="13569" width="15.7109375" style="107" customWidth="1"/>
    <col min="13570" max="13824" width="8.7109375" style="107"/>
    <col min="13825" max="13825" width="15.7109375" style="107" customWidth="1"/>
    <col min="13826" max="14080" width="8.7109375" style="107"/>
    <col min="14081" max="14081" width="15.7109375" style="107" customWidth="1"/>
    <col min="14082" max="14336" width="8.7109375" style="107"/>
    <col min="14337" max="14337" width="15.7109375" style="107" customWidth="1"/>
    <col min="14338" max="14592" width="8.7109375" style="107"/>
    <col min="14593" max="14593" width="15.7109375" style="107" customWidth="1"/>
    <col min="14594" max="14848" width="8.7109375" style="107"/>
    <col min="14849" max="14849" width="15.7109375" style="107" customWidth="1"/>
    <col min="14850" max="15104" width="8.7109375" style="107"/>
    <col min="15105" max="15105" width="15.7109375" style="107" customWidth="1"/>
    <col min="15106" max="15360" width="8.7109375" style="107"/>
    <col min="15361" max="15361" width="15.7109375" style="107" customWidth="1"/>
    <col min="15362" max="15616" width="8.7109375" style="107"/>
    <col min="15617" max="15617" width="15.7109375" style="107" customWidth="1"/>
    <col min="15618" max="15872" width="8.7109375" style="107"/>
    <col min="15873" max="15873" width="15.7109375" style="107" customWidth="1"/>
    <col min="15874" max="16128" width="8.7109375" style="107"/>
    <col min="16129" max="16129" width="15.7109375" style="107" customWidth="1"/>
    <col min="16130" max="16384" width="8.7109375" style="107"/>
  </cols>
  <sheetData>
    <row r="1" spans="1:3" ht="14" x14ac:dyDescent="0.3">
      <c r="A1" s="116" t="s">
        <v>209</v>
      </c>
    </row>
    <row r="2" spans="1:3" x14ac:dyDescent="0.25">
      <c r="A2" s="115" t="s">
        <v>210</v>
      </c>
    </row>
    <row r="3" spans="1:3" ht="13" x14ac:dyDescent="0.3">
      <c r="A3" s="106" t="s">
        <v>211</v>
      </c>
    </row>
    <row r="6" spans="1:3" ht="13" x14ac:dyDescent="0.3">
      <c r="A6" s="109" t="s">
        <v>157</v>
      </c>
      <c r="B6" s="106" t="s">
        <v>211</v>
      </c>
      <c r="C6" s="107" t="s">
        <v>100</v>
      </c>
    </row>
    <row r="7" spans="1:3" x14ac:dyDescent="0.25">
      <c r="A7" s="110" t="s">
        <v>42</v>
      </c>
      <c r="B7" s="111">
        <v>26.804123711340207</v>
      </c>
      <c r="C7" s="167" t="e">
        <f>VLOOKUP('K24'!L34AN_koko,TN_K23_ryhmat[],2)</f>
        <v>#NAME?</v>
      </c>
    </row>
    <row r="8" spans="1:3" x14ac:dyDescent="0.25">
      <c r="A8" s="110" t="s">
        <v>43</v>
      </c>
      <c r="B8" s="111">
        <v>46.113074204946997</v>
      </c>
      <c r="C8" s="167" t="e">
        <f>VLOOKUP('K24'!L34AN_koko,TN_K23_ryhmat[],2)</f>
        <v>#NAME?</v>
      </c>
    </row>
    <row r="9" spans="1:3" x14ac:dyDescent="0.25">
      <c r="A9" s="110" t="s">
        <v>44</v>
      </c>
      <c r="B9" s="111">
        <v>40</v>
      </c>
      <c r="C9" s="167" t="e">
        <f>VLOOKUP('K24'!L34AN_koko,TN_K23_ryhmat[],2)</f>
        <v>#NAME?</v>
      </c>
    </row>
    <row r="10" spans="1:3" x14ac:dyDescent="0.25">
      <c r="A10" s="110" t="s">
        <v>68</v>
      </c>
      <c r="B10" s="111">
        <v>40.943396226415096</v>
      </c>
      <c r="C10" s="167" t="e">
        <f>VLOOKUP('K24'!L34AN_koko,TN_K23_ryhmat[],2)</f>
        <v>#NAME?</v>
      </c>
    </row>
    <row r="11" spans="1:3" x14ac:dyDescent="0.25">
      <c r="A11" s="110" t="s">
        <v>2</v>
      </c>
      <c r="B11" s="111">
        <v>28.767123287671232</v>
      </c>
      <c r="C11" s="167" t="e">
        <f>VLOOKUP('K24'!L34AN_koko,TN_K23_ryhmat[],2)</f>
        <v>#NAME?</v>
      </c>
    </row>
    <row r="12" spans="1:3" x14ac:dyDescent="0.25">
      <c r="A12" s="110" t="s">
        <v>3</v>
      </c>
      <c r="B12" s="111">
        <v>51.260504201680675</v>
      </c>
      <c r="C12" s="167" t="e">
        <f>VLOOKUP('K24'!L34AN_koko,TN_K23_ryhmat[],2)</f>
        <v>#NAME?</v>
      </c>
    </row>
    <row r="13" spans="1:3" x14ac:dyDescent="0.25">
      <c r="A13" s="110" t="s">
        <v>4</v>
      </c>
      <c r="B13" s="111">
        <v>41.987829614604465</v>
      </c>
      <c r="C13" s="167" t="e">
        <f>VLOOKUP('K24'!L34AN_koko,TN_K23_ryhmat[],2)</f>
        <v>#NAME?</v>
      </c>
    </row>
    <row r="14" spans="1:3" x14ac:dyDescent="0.25">
      <c r="A14" s="110" t="s">
        <v>46</v>
      </c>
      <c r="B14" s="111">
        <v>43.801652892561982</v>
      </c>
      <c r="C14" s="167" t="e">
        <f>VLOOKUP('K24'!L34AN_koko,TN_K23_ryhmat[],2)</f>
        <v>#NAME?</v>
      </c>
    </row>
    <row r="15" spans="1:3" x14ac:dyDescent="0.25">
      <c r="A15" s="110" t="s">
        <v>5</v>
      </c>
      <c r="B15" s="111">
        <v>48.33625218914186</v>
      </c>
      <c r="C15" s="167" t="e">
        <f>VLOOKUP('K24'!L34AN_koko,TN_K23_ryhmat[],2)</f>
        <v>#NAME?</v>
      </c>
    </row>
    <row r="16" spans="1:3" x14ac:dyDescent="0.25">
      <c r="A16" s="110" t="s">
        <v>48</v>
      </c>
      <c r="B16" s="111">
        <v>47.115384615384613</v>
      </c>
      <c r="C16" s="167" t="e">
        <f>VLOOKUP('K24'!L34AN_koko,TN_K23_ryhmat[],2)</f>
        <v>#NAME?</v>
      </c>
    </row>
    <row r="17" spans="1:3" x14ac:dyDescent="0.25">
      <c r="A17" s="110" t="s">
        <v>49</v>
      </c>
      <c r="B17" s="111">
        <v>39.506172839506171</v>
      </c>
      <c r="C17" s="167" t="e">
        <f>VLOOKUP('K24'!L34AN_koko,TN_K23_ryhmat[],2)</f>
        <v>#NAME?</v>
      </c>
    </row>
    <row r="18" spans="1:3" x14ac:dyDescent="0.25">
      <c r="A18" s="110" t="s">
        <v>50</v>
      </c>
      <c r="B18" s="111">
        <v>35.570469798657719</v>
      </c>
      <c r="C18" s="167" t="e">
        <f>VLOOKUP('K24'!L34AN_koko,TN_K23_ryhmat[],2)</f>
        <v>#NAME?</v>
      </c>
    </row>
    <row r="19" spans="1:3" x14ac:dyDescent="0.25">
      <c r="A19" s="110" t="s">
        <v>69</v>
      </c>
      <c r="B19" s="111">
        <v>37.943262411347519</v>
      </c>
      <c r="C19" s="167" t="e">
        <f>VLOOKUP('K24'!L34AN_koko,TN_K23_ryhmat[],2)</f>
        <v>#NAME?</v>
      </c>
    </row>
    <row r="20" spans="1:3" x14ac:dyDescent="0.25">
      <c r="A20" s="110" t="s">
        <v>6</v>
      </c>
      <c r="B20" s="111">
        <v>38.513513513513516</v>
      </c>
      <c r="C20" s="167" t="e">
        <f>VLOOKUP('K24'!L34AN_koko,TN_K23_ryhmat[],2)</f>
        <v>#NAME?</v>
      </c>
    </row>
    <row r="21" spans="1:3" x14ac:dyDescent="0.25">
      <c r="A21" s="110" t="s">
        <v>70</v>
      </c>
      <c r="B21" s="111">
        <v>29.940119760479043</v>
      </c>
      <c r="C21" s="167" t="e">
        <f>VLOOKUP('K24'!L34AN_koko,TN_K23_ryhmat[],2)</f>
        <v>#NAME?</v>
      </c>
    </row>
    <row r="22" spans="1:3" x14ac:dyDescent="0.25">
      <c r="A22" s="110" t="s">
        <v>7</v>
      </c>
      <c r="B22" s="111">
        <v>41.134751773049643</v>
      </c>
      <c r="C22" s="167" t="e">
        <f>VLOOKUP('K24'!L34AN_koko,TN_K23_ryhmat[],2)</f>
        <v>#NAME?</v>
      </c>
    </row>
    <row r="23" spans="1:3" x14ac:dyDescent="0.25">
      <c r="A23" s="110" t="s">
        <v>22</v>
      </c>
      <c r="B23" s="111">
        <v>39.669421487603309</v>
      </c>
      <c r="C23" s="167" t="e">
        <f>VLOOKUP('K24'!L34AN_koko,TN_K23_ryhmat[],2)</f>
        <v>#NAME?</v>
      </c>
    </row>
    <row r="24" spans="1:3" x14ac:dyDescent="0.25">
      <c r="A24" s="110" t="s">
        <v>8</v>
      </c>
      <c r="B24" s="111">
        <v>38.949671772428886</v>
      </c>
      <c r="C24" s="167" t="e">
        <f>VLOOKUP('K24'!L34AN_koko,TN_K23_ryhmat[],2)</f>
        <v>#NAME?</v>
      </c>
    </row>
    <row r="25" spans="1:3" x14ac:dyDescent="0.25">
      <c r="A25" s="110" t="s">
        <v>9</v>
      </c>
      <c r="B25" s="111">
        <v>51.388888888888886</v>
      </c>
      <c r="C25" s="167" t="e">
        <f>VLOOKUP('K24'!L34AN_koko,TN_K23_ryhmat[],2)</f>
        <v>#NAME?</v>
      </c>
    </row>
    <row r="26" spans="1:3" x14ac:dyDescent="0.25">
      <c r="A26" s="110" t="s">
        <v>54</v>
      </c>
      <c r="B26" s="111">
        <v>43.661971830985912</v>
      </c>
      <c r="C26" s="167" t="e">
        <f>VLOOKUP('K24'!L34AN_koko,TN_K23_ryhmat[],2)</f>
        <v>#NAME?</v>
      </c>
    </row>
    <row r="27" spans="1:3" x14ac:dyDescent="0.25">
      <c r="A27" s="110" t="s">
        <v>71</v>
      </c>
      <c r="B27" s="111">
        <v>36.96275071633238</v>
      </c>
      <c r="C27" s="167" t="e">
        <f>VLOOKUP('K24'!L34AN_koko,TN_K23_ryhmat[],2)</f>
        <v>#NAME?</v>
      </c>
    </row>
    <row r="28" spans="1:3" x14ac:dyDescent="0.25">
      <c r="A28" s="110" t="s">
        <v>10</v>
      </c>
      <c r="B28" s="111">
        <v>55.757575757575758</v>
      </c>
      <c r="C28" s="167" t="e">
        <f>VLOOKUP('K24'!L34AN_koko,TN_K23_ryhmat[],2)</f>
        <v>#NAME?</v>
      </c>
    </row>
    <row r="29" spans="1:3" x14ac:dyDescent="0.25">
      <c r="A29" s="110" t="s">
        <v>56</v>
      </c>
      <c r="B29" s="111">
        <v>36.301369863013697</v>
      </c>
      <c r="C29" s="167" t="e">
        <f>VLOOKUP('K24'!L34AN_koko,TN_K23_ryhmat[],2)</f>
        <v>#NAME?</v>
      </c>
    </row>
    <row r="30" spans="1:3" x14ac:dyDescent="0.25">
      <c r="A30" s="110" t="s">
        <v>11</v>
      </c>
      <c r="B30" s="111">
        <v>50.343642611683848</v>
      </c>
      <c r="C30" s="167" t="e">
        <f>VLOOKUP('K24'!L34AN_koko,TN_K23_ryhmat[],2)</f>
        <v>#NAME?</v>
      </c>
    </row>
    <row r="31" spans="1:3" x14ac:dyDescent="0.25">
      <c r="A31" s="110" t="s">
        <v>58</v>
      </c>
      <c r="B31" s="111">
        <v>39.795918367346935</v>
      </c>
      <c r="C31" s="167" t="e">
        <f>VLOOKUP('K24'!L34AN_koko,TN_K23_ryhmat[],2)</f>
        <v>#NAME?</v>
      </c>
    </row>
    <row r="32" spans="1:3" x14ac:dyDescent="0.25">
      <c r="A32" s="110" t="s">
        <v>59</v>
      </c>
      <c r="B32" s="111">
        <v>32.173913043478258</v>
      </c>
      <c r="C32" s="167" t="e">
        <f>VLOOKUP('K24'!L34AN_koko,TN_K23_ryhmat[],2)</f>
        <v>#NAME?</v>
      </c>
    </row>
    <row r="33" spans="1:3" x14ac:dyDescent="0.25">
      <c r="A33" s="110" t="s">
        <v>60</v>
      </c>
      <c r="B33" s="111">
        <v>38.392857142857146</v>
      </c>
      <c r="C33" s="167" t="e">
        <f>VLOOKUP('K24'!L34AN_koko,TN_K23_ryhmat[],2)</f>
        <v>#NAME?</v>
      </c>
    </row>
    <row r="34" spans="1:3" x14ac:dyDescent="0.25">
      <c r="A34" s="110" t="s">
        <v>12</v>
      </c>
      <c r="B34" s="111">
        <v>50</v>
      </c>
      <c r="C34" s="167" t="e">
        <f>VLOOKUP('K24'!L34AN_koko,TN_K23_ryhmat[],2)</f>
        <v>#NAME?</v>
      </c>
    </row>
    <row r="35" spans="1:3" x14ac:dyDescent="0.25">
      <c r="A35" s="110" t="s">
        <v>61</v>
      </c>
      <c r="B35" s="111">
        <v>54.726368159203979</v>
      </c>
      <c r="C35" s="167" t="e">
        <f>VLOOKUP('K24'!L34AN_koko,TN_K23_ryhmat[],2)</f>
        <v>#NAME?</v>
      </c>
    </row>
    <row r="36" spans="1:3" x14ac:dyDescent="0.25">
      <c r="A36" s="110" t="s">
        <v>62</v>
      </c>
      <c r="B36" s="111">
        <v>39.361702127659576</v>
      </c>
      <c r="C36" s="167" t="e">
        <f>VLOOKUP('K24'!L34AN_koko,TN_K23_ryhmat[],2)</f>
        <v>#NAME?</v>
      </c>
    </row>
    <row r="37" spans="1:3" x14ac:dyDescent="0.25">
      <c r="A37" s="110" t="s">
        <v>23</v>
      </c>
      <c r="B37" s="111">
        <v>31.048387096774192</v>
      </c>
      <c r="C37" s="167" t="e">
        <f>VLOOKUP('K24'!L34AN_koko,TN_K23_ryhmat[],2)</f>
        <v>#NAME?</v>
      </c>
    </row>
    <row r="38" spans="1:3" x14ac:dyDescent="0.25">
      <c r="A38" s="110" t="s">
        <v>13</v>
      </c>
      <c r="B38" s="111">
        <v>42.569269521410583</v>
      </c>
      <c r="C38" s="167" t="e">
        <f>VLOOKUP('K24'!L34AN_koko,TN_K23_ryhmat[],2)</f>
        <v>#NAME?</v>
      </c>
    </row>
    <row r="39" spans="1:3" x14ac:dyDescent="0.25">
      <c r="A39" s="110" t="s">
        <v>14</v>
      </c>
      <c r="B39" s="111">
        <v>49.635036496350367</v>
      </c>
      <c r="C39" s="167" t="e">
        <f>VLOOKUP('K24'!L34AN_koko,TN_K23_ryhmat[],2)</f>
        <v>#NAME?</v>
      </c>
    </row>
    <row r="40" spans="1:3" x14ac:dyDescent="0.25">
      <c r="A40" s="110" t="s">
        <v>64</v>
      </c>
      <c r="B40" s="111">
        <v>41.791044776119406</v>
      </c>
      <c r="C40" s="167" t="e">
        <f>VLOOKUP('K24'!L34AN_koko,TN_K23_ryhmat[],2)</f>
        <v>#NAME?</v>
      </c>
    </row>
    <row r="41" spans="1:3" x14ac:dyDescent="0.25">
      <c r="A41" s="110" t="s">
        <v>65</v>
      </c>
      <c r="B41" s="111">
        <v>46.822742474916389</v>
      </c>
      <c r="C41" s="167" t="e">
        <f>VLOOKUP('K24'!L34AN_koko,TN_K23_ryhmat[],2)</f>
        <v>#NAME?</v>
      </c>
    </row>
    <row r="42" spans="1:3" x14ac:dyDescent="0.25">
      <c r="A42" s="110" t="s">
        <v>66</v>
      </c>
      <c r="B42" s="111">
        <v>46.511627906976742</v>
      </c>
      <c r="C42" s="167" t="e">
        <f>VLOOKUP('K24'!L34AN_koko,TN_K23_ryhmat[],2)</f>
        <v>#NAME?</v>
      </c>
    </row>
    <row r="43" spans="1:3" x14ac:dyDescent="0.25">
      <c r="A43" s="110" t="s">
        <v>15</v>
      </c>
      <c r="B43" s="111">
        <v>45.981308411214954</v>
      </c>
      <c r="C43" s="167" t="e">
        <f>VLOOKUP('K24'!L34AN_koko,TN_K23_ryhmat[],2)</f>
        <v>#NAME?</v>
      </c>
    </row>
    <row r="44" spans="1:3" x14ac:dyDescent="0.25">
      <c r="A44" s="110" t="s">
        <v>16</v>
      </c>
      <c r="B44" s="111">
        <v>45.425867507886437</v>
      </c>
      <c r="C44" s="167" t="e">
        <f>VLOOKUP('K24'!L34AN_koko,TN_K23_ryhmat[],2)</f>
        <v>#NAME?</v>
      </c>
    </row>
    <row r="45" spans="1:3" x14ac:dyDescent="0.25">
      <c r="A45" s="110" t="s">
        <v>17</v>
      </c>
      <c r="B45" s="111">
        <v>39.75903614457831</v>
      </c>
      <c r="C45" s="167" t="e">
        <f>VLOOKUP('K24'!L34AN_koko,TN_K23_ryhmat[],2)</f>
        <v>#NAME?</v>
      </c>
    </row>
    <row r="46" spans="1:3" x14ac:dyDescent="0.25">
      <c r="A46" s="110" t="s">
        <v>24</v>
      </c>
      <c r="B46" s="111">
        <v>45.588235294117645</v>
      </c>
      <c r="C46" s="167" t="e">
        <f>VLOOKUP('K24'!L34AN_koko,TN_K23_ryhmat[],2)</f>
        <v>#NAME?</v>
      </c>
    </row>
    <row r="50" spans="1:2" ht="13" x14ac:dyDescent="0.3">
      <c r="A50" s="112" t="s">
        <v>158</v>
      </c>
      <c r="B50" s="106" t="s">
        <v>211</v>
      </c>
    </row>
    <row r="51" spans="1:2" x14ac:dyDescent="0.25">
      <c r="A51" s="113" t="s">
        <v>74</v>
      </c>
      <c r="B51" s="168" t="s">
        <v>652</v>
      </c>
    </row>
    <row r="52" spans="1:2" x14ac:dyDescent="0.25">
      <c r="A52" s="110" t="s">
        <v>75</v>
      </c>
      <c r="B52" s="114">
        <v>40.3125</v>
      </c>
    </row>
    <row r="53" spans="1:2" x14ac:dyDescent="0.25">
      <c r="A53" s="110" t="s">
        <v>76</v>
      </c>
      <c r="B53" s="114">
        <v>44.162436548223347</v>
      </c>
    </row>
    <row r="54" spans="1:2" x14ac:dyDescent="0.25">
      <c r="A54" s="110" t="s">
        <v>77</v>
      </c>
      <c r="B54" s="114">
        <v>43.110236220472444</v>
      </c>
    </row>
    <row r="55" spans="1:2" x14ac:dyDescent="0.25">
      <c r="A55" s="110" t="s">
        <v>78</v>
      </c>
      <c r="B55" s="114">
        <v>40.77123050259965</v>
      </c>
    </row>
    <row r="56" spans="1:2" x14ac:dyDescent="0.25">
      <c r="A56" s="110" t="s">
        <v>79</v>
      </c>
      <c r="B56" s="114">
        <v>46.510940272028385</v>
      </c>
    </row>
    <row r="59" spans="1:2" ht="13" x14ac:dyDescent="0.3">
      <c r="A59" s="109"/>
    </row>
    <row r="60" spans="1:2" ht="13" x14ac:dyDescent="0.3">
      <c r="B60" s="106" t="s">
        <v>211</v>
      </c>
    </row>
    <row r="61" spans="1:2" ht="13" x14ac:dyDescent="0.3">
      <c r="A61" s="109" t="s">
        <v>159</v>
      </c>
      <c r="B61" s="114">
        <v>43.27835051546392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opLeftCell="A16" workbookViewId="0">
      <selection activeCell="N217" sqref="N217"/>
    </sheetView>
  </sheetViews>
  <sheetFormatPr defaultRowHeight="12.5" x14ac:dyDescent="0.25"/>
  <cols>
    <col min="1" max="1" width="25.7109375" style="107" customWidth="1"/>
    <col min="2" max="41" width="9" style="107" customWidth="1"/>
    <col min="42" max="255" width="8.7109375" style="107"/>
    <col min="256" max="256" width="19.35546875" style="107" customWidth="1"/>
    <col min="257" max="257" width="25.7109375" style="107" customWidth="1"/>
    <col min="258" max="297" width="9" style="107" customWidth="1"/>
    <col min="298" max="511" width="8.7109375" style="107"/>
    <col min="512" max="512" width="19.35546875" style="107" customWidth="1"/>
    <col min="513" max="513" width="25.7109375" style="107" customWidth="1"/>
    <col min="514" max="553" width="9" style="107" customWidth="1"/>
    <col min="554" max="767" width="8.7109375" style="107"/>
    <col min="768" max="768" width="19.35546875" style="107" customWidth="1"/>
    <col min="769" max="769" width="25.7109375" style="107" customWidth="1"/>
    <col min="770" max="809" width="9" style="107" customWidth="1"/>
    <col min="810" max="1023" width="8.7109375" style="107"/>
    <col min="1024" max="1024" width="19.35546875" style="107" customWidth="1"/>
    <col min="1025" max="1025" width="25.7109375" style="107" customWidth="1"/>
    <col min="1026" max="1065" width="9" style="107" customWidth="1"/>
    <col min="1066" max="1279" width="8.7109375" style="107"/>
    <col min="1280" max="1280" width="19.35546875" style="107" customWidth="1"/>
    <col min="1281" max="1281" width="25.7109375" style="107" customWidth="1"/>
    <col min="1282" max="1321" width="9" style="107" customWidth="1"/>
    <col min="1322" max="1535" width="8.7109375" style="107"/>
    <col min="1536" max="1536" width="19.35546875" style="107" customWidth="1"/>
    <col min="1537" max="1537" width="25.7109375" style="107" customWidth="1"/>
    <col min="1538" max="1577" width="9" style="107" customWidth="1"/>
    <col min="1578" max="1791" width="8.7109375" style="107"/>
    <col min="1792" max="1792" width="19.35546875" style="107" customWidth="1"/>
    <col min="1793" max="1793" width="25.7109375" style="107" customWidth="1"/>
    <col min="1794" max="1833" width="9" style="107" customWidth="1"/>
    <col min="1834" max="2047" width="8.7109375" style="107"/>
    <col min="2048" max="2048" width="19.35546875" style="107" customWidth="1"/>
    <col min="2049" max="2049" width="25.7109375" style="107" customWidth="1"/>
    <col min="2050" max="2089" width="9" style="107" customWidth="1"/>
    <col min="2090" max="2303" width="8.7109375" style="107"/>
    <col min="2304" max="2304" width="19.35546875" style="107" customWidth="1"/>
    <col min="2305" max="2305" width="25.7109375" style="107" customWidth="1"/>
    <col min="2306" max="2345" width="9" style="107" customWidth="1"/>
    <col min="2346" max="2559" width="8.7109375" style="107"/>
    <col min="2560" max="2560" width="19.35546875" style="107" customWidth="1"/>
    <col min="2561" max="2561" width="25.7109375" style="107" customWidth="1"/>
    <col min="2562" max="2601" width="9" style="107" customWidth="1"/>
    <col min="2602" max="2815" width="8.7109375" style="107"/>
    <col min="2816" max="2816" width="19.35546875" style="107" customWidth="1"/>
    <col min="2817" max="2817" width="25.7109375" style="107" customWidth="1"/>
    <col min="2818" max="2857" width="9" style="107" customWidth="1"/>
    <col min="2858" max="3071" width="8.7109375" style="107"/>
    <col min="3072" max="3072" width="19.35546875" style="107" customWidth="1"/>
    <col min="3073" max="3073" width="25.7109375" style="107" customWidth="1"/>
    <col min="3074" max="3113" width="9" style="107" customWidth="1"/>
    <col min="3114" max="3327" width="8.7109375" style="107"/>
    <col min="3328" max="3328" width="19.35546875" style="107" customWidth="1"/>
    <col min="3329" max="3329" width="25.7109375" style="107" customWidth="1"/>
    <col min="3330" max="3369" width="9" style="107" customWidth="1"/>
    <col min="3370" max="3583" width="8.7109375" style="107"/>
    <col min="3584" max="3584" width="19.35546875" style="107" customWidth="1"/>
    <col min="3585" max="3585" width="25.7109375" style="107" customWidth="1"/>
    <col min="3586" max="3625" width="9" style="107" customWidth="1"/>
    <col min="3626" max="3839" width="8.7109375" style="107"/>
    <col min="3840" max="3840" width="19.35546875" style="107" customWidth="1"/>
    <col min="3841" max="3841" width="25.7109375" style="107" customWidth="1"/>
    <col min="3842" max="3881" width="9" style="107" customWidth="1"/>
    <col min="3882" max="4095" width="8.7109375" style="107"/>
    <col min="4096" max="4096" width="19.35546875" style="107" customWidth="1"/>
    <col min="4097" max="4097" width="25.7109375" style="107" customWidth="1"/>
    <col min="4098" max="4137" width="9" style="107" customWidth="1"/>
    <col min="4138" max="4351" width="8.7109375" style="107"/>
    <col min="4352" max="4352" width="19.35546875" style="107" customWidth="1"/>
    <col min="4353" max="4353" width="25.7109375" style="107" customWidth="1"/>
    <col min="4354" max="4393" width="9" style="107" customWidth="1"/>
    <col min="4394" max="4607" width="8.7109375" style="107"/>
    <col min="4608" max="4608" width="19.35546875" style="107" customWidth="1"/>
    <col min="4609" max="4609" width="25.7109375" style="107" customWidth="1"/>
    <col min="4610" max="4649" width="9" style="107" customWidth="1"/>
    <col min="4650" max="4863" width="8.7109375" style="107"/>
    <col min="4864" max="4864" width="19.35546875" style="107" customWidth="1"/>
    <col min="4865" max="4865" width="25.7109375" style="107" customWidth="1"/>
    <col min="4866" max="4905" width="9" style="107" customWidth="1"/>
    <col min="4906" max="5119" width="8.7109375" style="107"/>
    <col min="5120" max="5120" width="19.35546875" style="107" customWidth="1"/>
    <col min="5121" max="5121" width="25.7109375" style="107" customWidth="1"/>
    <col min="5122" max="5161" width="9" style="107" customWidth="1"/>
    <col min="5162" max="5375" width="8.7109375" style="107"/>
    <col min="5376" max="5376" width="19.35546875" style="107" customWidth="1"/>
    <col min="5377" max="5377" width="25.7109375" style="107" customWidth="1"/>
    <col min="5378" max="5417" width="9" style="107" customWidth="1"/>
    <col min="5418" max="5631" width="8.7109375" style="107"/>
    <col min="5632" max="5632" width="19.35546875" style="107" customWidth="1"/>
    <col min="5633" max="5633" width="25.7109375" style="107" customWidth="1"/>
    <col min="5634" max="5673" width="9" style="107" customWidth="1"/>
    <col min="5674" max="5887" width="8.7109375" style="107"/>
    <col min="5888" max="5888" width="19.35546875" style="107" customWidth="1"/>
    <col min="5889" max="5889" width="25.7109375" style="107" customWidth="1"/>
    <col min="5890" max="5929" width="9" style="107" customWidth="1"/>
    <col min="5930" max="6143" width="8.7109375" style="107"/>
    <col min="6144" max="6144" width="19.35546875" style="107" customWidth="1"/>
    <col min="6145" max="6145" width="25.7109375" style="107" customWidth="1"/>
    <col min="6146" max="6185" width="9" style="107" customWidth="1"/>
    <col min="6186" max="6399" width="8.7109375" style="107"/>
    <col min="6400" max="6400" width="19.35546875" style="107" customWidth="1"/>
    <col min="6401" max="6401" width="25.7109375" style="107" customWidth="1"/>
    <col min="6402" max="6441" width="9" style="107" customWidth="1"/>
    <col min="6442" max="6655" width="8.7109375" style="107"/>
    <col min="6656" max="6656" width="19.35546875" style="107" customWidth="1"/>
    <col min="6657" max="6657" width="25.7109375" style="107" customWidth="1"/>
    <col min="6658" max="6697" width="9" style="107" customWidth="1"/>
    <col min="6698" max="6911" width="8.7109375" style="107"/>
    <col min="6912" max="6912" width="19.35546875" style="107" customWidth="1"/>
    <col min="6913" max="6913" width="25.7109375" style="107" customWidth="1"/>
    <col min="6914" max="6953" width="9" style="107" customWidth="1"/>
    <col min="6954" max="7167" width="8.7109375" style="107"/>
    <col min="7168" max="7168" width="19.35546875" style="107" customWidth="1"/>
    <col min="7169" max="7169" width="25.7109375" style="107" customWidth="1"/>
    <col min="7170" max="7209" width="9" style="107" customWidth="1"/>
    <col min="7210" max="7423" width="8.7109375" style="107"/>
    <col min="7424" max="7424" width="19.35546875" style="107" customWidth="1"/>
    <col min="7425" max="7425" width="25.7109375" style="107" customWidth="1"/>
    <col min="7426" max="7465" width="9" style="107" customWidth="1"/>
    <col min="7466" max="7679" width="8.7109375" style="107"/>
    <col min="7680" max="7680" width="19.35546875" style="107" customWidth="1"/>
    <col min="7681" max="7681" width="25.7109375" style="107" customWidth="1"/>
    <col min="7682" max="7721" width="9" style="107" customWidth="1"/>
    <col min="7722" max="7935" width="8.7109375" style="107"/>
    <col min="7936" max="7936" width="19.35546875" style="107" customWidth="1"/>
    <col min="7937" max="7937" width="25.7109375" style="107" customWidth="1"/>
    <col min="7938" max="7977" width="9" style="107" customWidth="1"/>
    <col min="7978" max="8191" width="8.7109375" style="107"/>
    <col min="8192" max="8192" width="19.35546875" style="107" customWidth="1"/>
    <col min="8193" max="8193" width="25.7109375" style="107" customWidth="1"/>
    <col min="8194" max="8233" width="9" style="107" customWidth="1"/>
    <col min="8234" max="8447" width="8.7109375" style="107"/>
    <col min="8448" max="8448" width="19.35546875" style="107" customWidth="1"/>
    <col min="8449" max="8449" width="25.7109375" style="107" customWidth="1"/>
    <col min="8450" max="8489" width="9" style="107" customWidth="1"/>
    <col min="8490" max="8703" width="8.7109375" style="107"/>
    <col min="8704" max="8704" width="19.35546875" style="107" customWidth="1"/>
    <col min="8705" max="8705" width="25.7109375" style="107" customWidth="1"/>
    <col min="8706" max="8745" width="9" style="107" customWidth="1"/>
    <col min="8746" max="8959" width="8.7109375" style="107"/>
    <col min="8960" max="8960" width="19.35546875" style="107" customWidth="1"/>
    <col min="8961" max="8961" width="25.7109375" style="107" customWidth="1"/>
    <col min="8962" max="9001" width="9" style="107" customWidth="1"/>
    <col min="9002" max="9215" width="8.7109375" style="107"/>
    <col min="9216" max="9216" width="19.35546875" style="107" customWidth="1"/>
    <col min="9217" max="9217" width="25.7109375" style="107" customWidth="1"/>
    <col min="9218" max="9257" width="9" style="107" customWidth="1"/>
    <col min="9258" max="9471" width="8.7109375" style="107"/>
    <col min="9472" max="9472" width="19.35546875" style="107" customWidth="1"/>
    <col min="9473" max="9473" width="25.7109375" style="107" customWidth="1"/>
    <col min="9474" max="9513" width="9" style="107" customWidth="1"/>
    <col min="9514" max="9727" width="8.7109375" style="107"/>
    <col min="9728" max="9728" width="19.35546875" style="107" customWidth="1"/>
    <col min="9729" max="9729" width="25.7109375" style="107" customWidth="1"/>
    <col min="9730" max="9769" width="9" style="107" customWidth="1"/>
    <col min="9770" max="9983" width="8.7109375" style="107"/>
    <col min="9984" max="9984" width="19.35546875" style="107" customWidth="1"/>
    <col min="9985" max="9985" width="25.7109375" style="107" customWidth="1"/>
    <col min="9986" max="10025" width="9" style="107" customWidth="1"/>
    <col min="10026" max="10239" width="8.7109375" style="107"/>
    <col min="10240" max="10240" width="19.35546875" style="107" customWidth="1"/>
    <col min="10241" max="10241" width="25.7109375" style="107" customWidth="1"/>
    <col min="10242" max="10281" width="9" style="107" customWidth="1"/>
    <col min="10282" max="10495" width="8.7109375" style="107"/>
    <col min="10496" max="10496" width="19.35546875" style="107" customWidth="1"/>
    <col min="10497" max="10497" width="25.7109375" style="107" customWidth="1"/>
    <col min="10498" max="10537" width="9" style="107" customWidth="1"/>
    <col min="10538" max="10751" width="8.7109375" style="107"/>
    <col min="10752" max="10752" width="19.35546875" style="107" customWidth="1"/>
    <col min="10753" max="10753" width="25.7109375" style="107" customWidth="1"/>
    <col min="10754" max="10793" width="9" style="107" customWidth="1"/>
    <col min="10794" max="11007" width="8.7109375" style="107"/>
    <col min="11008" max="11008" width="19.35546875" style="107" customWidth="1"/>
    <col min="11009" max="11009" width="25.7109375" style="107" customWidth="1"/>
    <col min="11010" max="11049" width="9" style="107" customWidth="1"/>
    <col min="11050" max="11263" width="8.7109375" style="107"/>
    <col min="11264" max="11264" width="19.35546875" style="107" customWidth="1"/>
    <col min="11265" max="11265" width="25.7109375" style="107" customWidth="1"/>
    <col min="11266" max="11305" width="9" style="107" customWidth="1"/>
    <col min="11306" max="11519" width="8.7109375" style="107"/>
    <col min="11520" max="11520" width="19.35546875" style="107" customWidth="1"/>
    <col min="11521" max="11521" width="25.7109375" style="107" customWidth="1"/>
    <col min="11522" max="11561" width="9" style="107" customWidth="1"/>
    <col min="11562" max="11775" width="8.7109375" style="107"/>
    <col min="11776" max="11776" width="19.35546875" style="107" customWidth="1"/>
    <col min="11777" max="11777" width="25.7109375" style="107" customWidth="1"/>
    <col min="11778" max="11817" width="9" style="107" customWidth="1"/>
    <col min="11818" max="12031" width="8.7109375" style="107"/>
    <col min="12032" max="12032" width="19.35546875" style="107" customWidth="1"/>
    <col min="12033" max="12033" width="25.7109375" style="107" customWidth="1"/>
    <col min="12034" max="12073" width="9" style="107" customWidth="1"/>
    <col min="12074" max="12287" width="8.7109375" style="107"/>
    <col min="12288" max="12288" width="19.35546875" style="107" customWidth="1"/>
    <col min="12289" max="12289" width="25.7109375" style="107" customWidth="1"/>
    <col min="12290" max="12329" width="9" style="107" customWidth="1"/>
    <col min="12330" max="12543" width="8.7109375" style="107"/>
    <col min="12544" max="12544" width="19.35546875" style="107" customWidth="1"/>
    <col min="12545" max="12545" width="25.7109375" style="107" customWidth="1"/>
    <col min="12546" max="12585" width="9" style="107" customWidth="1"/>
    <col min="12586" max="12799" width="8.7109375" style="107"/>
    <col min="12800" max="12800" width="19.35546875" style="107" customWidth="1"/>
    <col min="12801" max="12801" width="25.7109375" style="107" customWidth="1"/>
    <col min="12802" max="12841" width="9" style="107" customWidth="1"/>
    <col min="12842" max="13055" width="8.7109375" style="107"/>
    <col min="13056" max="13056" width="19.35546875" style="107" customWidth="1"/>
    <col min="13057" max="13057" width="25.7109375" style="107" customWidth="1"/>
    <col min="13058" max="13097" width="9" style="107" customWidth="1"/>
    <col min="13098" max="13311" width="8.7109375" style="107"/>
    <col min="13312" max="13312" width="19.35546875" style="107" customWidth="1"/>
    <col min="13313" max="13313" width="25.7109375" style="107" customWidth="1"/>
    <col min="13314" max="13353" width="9" style="107" customWidth="1"/>
    <col min="13354" max="13567" width="8.7109375" style="107"/>
    <col min="13568" max="13568" width="19.35546875" style="107" customWidth="1"/>
    <col min="13569" max="13569" width="25.7109375" style="107" customWidth="1"/>
    <col min="13570" max="13609" width="9" style="107" customWidth="1"/>
    <col min="13610" max="13823" width="8.7109375" style="107"/>
    <col min="13824" max="13824" width="19.35546875" style="107" customWidth="1"/>
    <col min="13825" max="13825" width="25.7109375" style="107" customWidth="1"/>
    <col min="13826" max="13865" width="9" style="107" customWidth="1"/>
    <col min="13866" max="14079" width="8.7109375" style="107"/>
    <col min="14080" max="14080" width="19.35546875" style="107" customWidth="1"/>
    <col min="14081" max="14081" width="25.7109375" style="107" customWidth="1"/>
    <col min="14082" max="14121" width="9" style="107" customWidth="1"/>
    <col min="14122" max="14335" width="8.7109375" style="107"/>
    <col min="14336" max="14336" width="19.35546875" style="107" customWidth="1"/>
    <col min="14337" max="14337" width="25.7109375" style="107" customWidth="1"/>
    <col min="14338" max="14377" width="9" style="107" customWidth="1"/>
    <col min="14378" max="14591" width="8.7109375" style="107"/>
    <col min="14592" max="14592" width="19.35546875" style="107" customWidth="1"/>
    <col min="14593" max="14593" width="25.7109375" style="107" customWidth="1"/>
    <col min="14594" max="14633" width="9" style="107" customWidth="1"/>
    <col min="14634" max="14847" width="8.7109375" style="107"/>
    <col min="14848" max="14848" width="19.35546875" style="107" customWidth="1"/>
    <col min="14849" max="14849" width="25.7109375" style="107" customWidth="1"/>
    <col min="14850" max="14889" width="9" style="107" customWidth="1"/>
    <col min="14890" max="15103" width="8.7109375" style="107"/>
    <col min="15104" max="15104" width="19.35546875" style="107" customWidth="1"/>
    <col min="15105" max="15105" width="25.7109375" style="107" customWidth="1"/>
    <col min="15106" max="15145" width="9" style="107" customWidth="1"/>
    <col min="15146" max="15359" width="8.7109375" style="107"/>
    <col min="15360" max="15360" width="19.35546875" style="107" customWidth="1"/>
    <col min="15361" max="15361" width="25.7109375" style="107" customWidth="1"/>
    <col min="15362" max="15401" width="9" style="107" customWidth="1"/>
    <col min="15402" max="15615" width="8.7109375" style="107"/>
    <col min="15616" max="15616" width="19.35546875" style="107" customWidth="1"/>
    <col min="15617" max="15617" width="25.7109375" style="107" customWidth="1"/>
    <col min="15618" max="15657" width="9" style="107" customWidth="1"/>
    <col min="15658" max="15871" width="8.7109375" style="107"/>
    <col min="15872" max="15872" width="19.35546875" style="107" customWidth="1"/>
    <col min="15873" max="15873" width="25.7109375" style="107" customWidth="1"/>
    <col min="15874" max="15913" width="9" style="107" customWidth="1"/>
    <col min="15914" max="16127" width="8.7109375" style="107"/>
    <col min="16128" max="16128" width="19.35546875" style="107" customWidth="1"/>
    <col min="16129" max="16129" width="25.7109375" style="107" customWidth="1"/>
    <col min="16130" max="16169" width="9" style="107" customWidth="1"/>
    <col min="16170" max="16384" width="8.7109375" style="107"/>
  </cols>
  <sheetData>
    <row r="1" spans="1:41" ht="13" x14ac:dyDescent="0.3">
      <c r="A1" s="106" t="s">
        <v>212</v>
      </c>
    </row>
    <row r="2" spans="1:41" x14ac:dyDescent="0.25">
      <c r="A2" s="115" t="s">
        <v>213</v>
      </c>
    </row>
    <row r="4" spans="1:41" s="118" customFormat="1" ht="13" x14ac:dyDescent="0.3">
      <c r="A4" s="112" t="s">
        <v>157</v>
      </c>
      <c r="B4" s="117" t="s">
        <v>214</v>
      </c>
      <c r="C4" s="117" t="s">
        <v>215</v>
      </c>
      <c r="D4" s="117" t="s">
        <v>216</v>
      </c>
      <c r="E4" s="117" t="s">
        <v>217</v>
      </c>
      <c r="F4" s="117" t="s">
        <v>218</v>
      </c>
      <c r="G4" s="117" t="s">
        <v>219</v>
      </c>
      <c r="H4" s="117" t="s">
        <v>220</v>
      </c>
      <c r="I4" s="117" t="s">
        <v>221</v>
      </c>
      <c r="J4" s="117" t="s">
        <v>222</v>
      </c>
      <c r="K4" s="117" t="s">
        <v>223</v>
      </c>
      <c r="L4" s="117" t="s">
        <v>224</v>
      </c>
      <c r="M4" s="117" t="s">
        <v>225</v>
      </c>
      <c r="N4" s="117" t="s">
        <v>226</v>
      </c>
      <c r="O4" s="117" t="s">
        <v>227</v>
      </c>
      <c r="P4" s="117" t="s">
        <v>228</v>
      </c>
      <c r="Q4" s="117" t="s">
        <v>229</v>
      </c>
      <c r="R4" s="117" t="s">
        <v>230</v>
      </c>
      <c r="S4" s="117" t="s">
        <v>231</v>
      </c>
      <c r="T4" s="117" t="s">
        <v>232</v>
      </c>
      <c r="U4" s="117" t="s">
        <v>233</v>
      </c>
      <c r="V4" s="117" t="s">
        <v>234</v>
      </c>
      <c r="W4" s="117" t="s">
        <v>235</v>
      </c>
      <c r="X4" s="117" t="s">
        <v>236</v>
      </c>
      <c r="Y4" s="117" t="s">
        <v>237</v>
      </c>
      <c r="Z4" s="117" t="s">
        <v>238</v>
      </c>
      <c r="AA4" s="117" t="s">
        <v>239</v>
      </c>
      <c r="AB4" s="117" t="s">
        <v>240</v>
      </c>
      <c r="AC4" s="117" t="s">
        <v>241</v>
      </c>
      <c r="AD4" s="117" t="s">
        <v>242</v>
      </c>
      <c r="AE4" s="117" t="s">
        <v>243</v>
      </c>
      <c r="AF4" s="117" t="s">
        <v>244</v>
      </c>
      <c r="AG4" s="117" t="s">
        <v>245</v>
      </c>
      <c r="AH4" s="117" t="s">
        <v>246</v>
      </c>
      <c r="AI4" s="117" t="s">
        <v>247</v>
      </c>
      <c r="AJ4" s="117" t="s">
        <v>248</v>
      </c>
      <c r="AK4" s="117" t="s">
        <v>249</v>
      </c>
      <c r="AL4" s="117" t="s">
        <v>250</v>
      </c>
      <c r="AM4" s="117" t="s">
        <v>251</v>
      </c>
      <c r="AN4" s="117" t="s">
        <v>252</v>
      </c>
      <c r="AO4" s="108" t="s">
        <v>98</v>
      </c>
    </row>
    <row r="5" spans="1:41" x14ac:dyDescent="0.25">
      <c r="A5" s="119" t="s">
        <v>42</v>
      </c>
      <c r="B5" s="111">
        <v>68.644067796610173</v>
      </c>
      <c r="C5" s="111">
        <v>63.478260869565219</v>
      </c>
      <c r="D5" s="111">
        <v>65.517241379310349</v>
      </c>
      <c r="E5" s="111">
        <v>14.545454545454545</v>
      </c>
      <c r="F5" s="111">
        <v>15.315315315315315</v>
      </c>
      <c r="G5" s="111">
        <v>33.333333333333336</v>
      </c>
      <c r="H5" s="111">
        <v>7.0796460176991154</v>
      </c>
      <c r="I5" s="111">
        <v>1.7857142857142858</v>
      </c>
      <c r="J5" s="111">
        <v>3.6036036036036037</v>
      </c>
      <c r="K5" s="111">
        <v>1.8018018018018018</v>
      </c>
      <c r="L5" s="111">
        <v>5.3097345132743365</v>
      </c>
      <c r="M5" s="111">
        <v>6.9565217391304346</v>
      </c>
      <c r="N5" s="111">
        <v>0.8928571428571429</v>
      </c>
      <c r="O5" s="111">
        <v>8.0357142857142865</v>
      </c>
      <c r="P5" s="111">
        <v>2.6785714285714284</v>
      </c>
      <c r="Q5" s="111">
        <v>1.7857142857142858</v>
      </c>
      <c r="R5" s="111">
        <v>0</v>
      </c>
      <c r="S5" s="111">
        <v>2.7272727272727271</v>
      </c>
      <c r="T5" s="111">
        <v>9.0090090090090094</v>
      </c>
      <c r="U5" s="111">
        <v>7.2072072072072073</v>
      </c>
      <c r="V5" s="111">
        <v>8.9285714285714288</v>
      </c>
      <c r="W5" s="111">
        <v>9.8214285714285712</v>
      </c>
      <c r="X5" s="111">
        <v>7.1428571428571432</v>
      </c>
      <c r="Y5" s="111">
        <v>3.5714285714285716</v>
      </c>
      <c r="Z5" s="111">
        <v>2.6785714285714284</v>
      </c>
      <c r="AA5" s="111">
        <v>2.6785714285714284</v>
      </c>
      <c r="AB5" s="111">
        <v>2.7027027027027026</v>
      </c>
      <c r="AC5" s="111">
        <v>5.3571428571428568</v>
      </c>
      <c r="AD5" s="111">
        <v>14.912280701754385</v>
      </c>
      <c r="AE5" s="111">
        <v>55.172413793103445</v>
      </c>
      <c r="AF5" s="111">
        <v>14.912280701754385</v>
      </c>
      <c r="AG5" s="111">
        <v>29.464285714285715</v>
      </c>
      <c r="AH5" s="111">
        <v>3.5714285714285716</v>
      </c>
      <c r="AI5" s="111">
        <v>3.6363636363636362</v>
      </c>
      <c r="AJ5" s="111">
        <v>1.834862385321101</v>
      </c>
      <c r="AK5" s="111">
        <v>28.181818181818183</v>
      </c>
      <c r="AL5" s="111">
        <v>21.621621621621621</v>
      </c>
      <c r="AM5" s="111">
        <v>93.103448275862064</v>
      </c>
      <c r="AN5" s="111">
        <v>90.517241379310349</v>
      </c>
      <c r="AO5" s="119">
        <v>119</v>
      </c>
    </row>
    <row r="6" spans="1:41" x14ac:dyDescent="0.25">
      <c r="A6" s="119" t="s">
        <v>43</v>
      </c>
      <c r="B6" s="111">
        <v>63.884673748103189</v>
      </c>
      <c r="C6" s="111">
        <v>59.196290571870172</v>
      </c>
      <c r="D6" s="111">
        <v>49.92272024729521</v>
      </c>
      <c r="E6" s="111">
        <v>12.877583465818759</v>
      </c>
      <c r="F6" s="111">
        <v>18.022328548644339</v>
      </c>
      <c r="G6" s="111">
        <v>30.15625</v>
      </c>
      <c r="H6" s="111">
        <v>4.7095761381475665</v>
      </c>
      <c r="I6" s="111">
        <v>2.2257551669316373</v>
      </c>
      <c r="J6" s="111">
        <v>4.7468354430379751</v>
      </c>
      <c r="K6" s="111">
        <v>1.7268445839874411</v>
      </c>
      <c r="L6" s="111">
        <v>1.729559748427673</v>
      </c>
      <c r="M6" s="111">
        <v>2.5157232704402515</v>
      </c>
      <c r="N6" s="111">
        <v>0.78616352201257866</v>
      </c>
      <c r="O6" s="111">
        <v>4.4233807266982623</v>
      </c>
      <c r="P6" s="111">
        <v>1.889763779527559</v>
      </c>
      <c r="Q6" s="111">
        <v>2.8481012658227849</v>
      </c>
      <c r="R6" s="111">
        <v>1.2618296529968454</v>
      </c>
      <c r="S6" s="111">
        <v>3.1545741324921135</v>
      </c>
      <c r="T6" s="111">
        <v>10.828025477707007</v>
      </c>
      <c r="U6" s="111">
        <v>6.6772655007949124</v>
      </c>
      <c r="V6" s="111">
        <v>17.301587301587301</v>
      </c>
      <c r="W6" s="111">
        <v>11.464968152866241</v>
      </c>
      <c r="X6" s="111">
        <v>8.9030206677265493</v>
      </c>
      <c r="Y6" s="111">
        <v>4.1139240506329111</v>
      </c>
      <c r="Z6" s="111">
        <v>3.1897926634768741</v>
      </c>
      <c r="AA6" s="111">
        <v>3.8216560509554141</v>
      </c>
      <c r="AB6" s="111">
        <v>6.8362480127186007</v>
      </c>
      <c r="AC6" s="111">
        <v>1.4354066985645932</v>
      </c>
      <c r="AD6" s="111">
        <v>24.489795918367346</v>
      </c>
      <c r="AE6" s="111">
        <v>78.052550231839263</v>
      </c>
      <c r="AF6" s="111">
        <v>47.269890795631824</v>
      </c>
      <c r="AG6" s="111">
        <v>55.968992248062015</v>
      </c>
      <c r="AH6" s="111">
        <v>4.6104928457869638</v>
      </c>
      <c r="AI6" s="111">
        <v>7.0063694267515926</v>
      </c>
      <c r="AJ6" s="111">
        <v>1.76</v>
      </c>
      <c r="AK6" s="111">
        <v>91.230769230769226</v>
      </c>
      <c r="AL6" s="111">
        <v>10.56</v>
      </c>
      <c r="AM6" s="111">
        <v>83.153013910355483</v>
      </c>
      <c r="AN6" s="111">
        <v>88.335925349922235</v>
      </c>
      <c r="AO6" s="119">
        <v>667</v>
      </c>
    </row>
    <row r="7" spans="1:41" x14ac:dyDescent="0.25">
      <c r="A7" s="119" t="s">
        <v>44</v>
      </c>
      <c r="B7" s="111">
        <v>77.018633540372676</v>
      </c>
      <c r="C7" s="111">
        <v>73.291925465838503</v>
      </c>
      <c r="D7" s="111">
        <v>61.0062893081761</v>
      </c>
      <c r="E7" s="111">
        <v>12.582781456953642</v>
      </c>
      <c r="F7" s="111">
        <v>19.736842105263158</v>
      </c>
      <c r="G7" s="111">
        <v>40.645161290322584</v>
      </c>
      <c r="H7" s="111">
        <v>4.5751633986928102</v>
      </c>
      <c r="I7" s="111">
        <v>3.9215686274509802</v>
      </c>
      <c r="J7" s="111">
        <v>5.2631578947368425</v>
      </c>
      <c r="K7" s="111">
        <v>0</v>
      </c>
      <c r="L7" s="111">
        <v>1.2987012987012987</v>
      </c>
      <c r="M7" s="111">
        <v>1.2903225806451613</v>
      </c>
      <c r="N7" s="111">
        <v>0.64935064935064934</v>
      </c>
      <c r="O7" s="111">
        <v>1.2987012987012987</v>
      </c>
      <c r="P7" s="111">
        <v>3.2467532467532467</v>
      </c>
      <c r="Q7" s="111">
        <v>3.9215686274509802</v>
      </c>
      <c r="R7" s="111">
        <v>0</v>
      </c>
      <c r="S7" s="111">
        <v>3.2679738562091503</v>
      </c>
      <c r="T7" s="111">
        <v>7.8431372549019605</v>
      </c>
      <c r="U7" s="111">
        <v>5.882352941176471</v>
      </c>
      <c r="V7" s="111">
        <v>14.379084967320262</v>
      </c>
      <c r="W7" s="111">
        <v>13.071895424836601</v>
      </c>
      <c r="X7" s="111">
        <v>6.6225165562913908</v>
      </c>
      <c r="Y7" s="111">
        <v>2.6315789473684212</v>
      </c>
      <c r="Z7" s="111">
        <v>5.2287581699346406</v>
      </c>
      <c r="AA7" s="111">
        <v>7.7922077922077921</v>
      </c>
      <c r="AB7" s="111">
        <v>3.8961038961038961</v>
      </c>
      <c r="AC7" s="111">
        <v>7.1428571428571432</v>
      </c>
      <c r="AD7" s="111">
        <v>22.875816993464053</v>
      </c>
      <c r="AE7" s="111">
        <v>68.831168831168824</v>
      </c>
      <c r="AF7" s="111">
        <v>23.178807947019866</v>
      </c>
      <c r="AG7" s="111">
        <v>32.903225806451616</v>
      </c>
      <c r="AH7" s="111">
        <v>7.9470198675496686</v>
      </c>
      <c r="AI7" s="111">
        <v>2.6315789473684212</v>
      </c>
      <c r="AJ7" s="111">
        <v>3.3112582781456954</v>
      </c>
      <c r="AK7" s="111">
        <v>35.526315789473685</v>
      </c>
      <c r="AL7" s="111">
        <v>16.556291390728475</v>
      </c>
      <c r="AM7" s="111">
        <v>76.100628930817606</v>
      </c>
      <c r="AN7" s="111">
        <v>88.75</v>
      </c>
      <c r="AO7" s="119">
        <v>165</v>
      </c>
    </row>
    <row r="8" spans="1:41" x14ac:dyDescent="0.25">
      <c r="A8" s="119" t="s">
        <v>68</v>
      </c>
      <c r="B8" s="111">
        <v>65.478119935170184</v>
      </c>
      <c r="C8" s="111">
        <v>58.471760797342192</v>
      </c>
      <c r="D8" s="111">
        <v>50.083194675540767</v>
      </c>
      <c r="E8" s="111">
        <v>11.908931698774081</v>
      </c>
      <c r="F8" s="111">
        <v>14.485165794066317</v>
      </c>
      <c r="G8" s="111">
        <v>28.865979381443299</v>
      </c>
      <c r="H8" s="111">
        <v>3.1304347826086958</v>
      </c>
      <c r="I8" s="111">
        <v>2.4305555555555554</v>
      </c>
      <c r="J8" s="111">
        <v>4.1811846689895473</v>
      </c>
      <c r="K8" s="111">
        <v>1.1945392491467577</v>
      </c>
      <c r="L8" s="111">
        <v>0.85616438356164382</v>
      </c>
      <c r="M8" s="111">
        <v>1.0238907849829351</v>
      </c>
      <c r="N8" s="111">
        <v>1.2027491408934707</v>
      </c>
      <c r="O8" s="111">
        <v>4.8275862068965516</v>
      </c>
      <c r="P8" s="111">
        <v>1.0273972602739727</v>
      </c>
      <c r="Q8" s="111">
        <v>3.5836177474402731</v>
      </c>
      <c r="R8" s="111">
        <v>1.3698630136986301</v>
      </c>
      <c r="S8" s="111">
        <v>5.8219178082191778</v>
      </c>
      <c r="T8" s="111">
        <v>8.9041095890410951</v>
      </c>
      <c r="U8" s="111">
        <v>5.4794520547945202</v>
      </c>
      <c r="V8" s="111">
        <v>11.965811965811966</v>
      </c>
      <c r="W8" s="111">
        <v>8.2616179001721175</v>
      </c>
      <c r="X8" s="111">
        <v>6.540447504302926</v>
      </c>
      <c r="Y8" s="111">
        <v>5.5077452667814111</v>
      </c>
      <c r="Z8" s="111">
        <v>2.0654044750430294</v>
      </c>
      <c r="AA8" s="111">
        <v>2.5862068965517242</v>
      </c>
      <c r="AB8" s="111">
        <v>3.8062283737024223</v>
      </c>
      <c r="AC8" s="111">
        <v>0.85910652920962194</v>
      </c>
      <c r="AD8" s="111">
        <v>18.027210884353742</v>
      </c>
      <c r="AE8" s="111">
        <v>66.611295681063126</v>
      </c>
      <c r="AF8" s="111">
        <v>33.846153846153847</v>
      </c>
      <c r="AG8" s="111">
        <v>46.644295302013425</v>
      </c>
      <c r="AH8" s="111">
        <v>3.0981067125645438</v>
      </c>
      <c r="AI8" s="111">
        <v>5.3726169844020797</v>
      </c>
      <c r="AJ8" s="111">
        <v>1.048951048951049</v>
      </c>
      <c r="AK8" s="111">
        <v>88.552188552188554</v>
      </c>
      <c r="AL8" s="111">
        <v>6.4685314685314683</v>
      </c>
      <c r="AM8" s="111">
        <v>81.986531986531986</v>
      </c>
      <c r="AN8" s="111">
        <v>86.36363636363636</v>
      </c>
      <c r="AO8" s="119">
        <v>624</v>
      </c>
    </row>
    <row r="9" spans="1:41" x14ac:dyDescent="0.25">
      <c r="A9" s="119" t="s">
        <v>2</v>
      </c>
      <c r="B9" s="111">
        <v>65.979381443298962</v>
      </c>
      <c r="C9" s="111">
        <v>61.956521739130437</v>
      </c>
      <c r="D9" s="111">
        <v>34.444444444444443</v>
      </c>
      <c r="E9" s="111">
        <v>8.1395348837209305</v>
      </c>
      <c r="F9" s="111">
        <v>8.0459770114942533</v>
      </c>
      <c r="G9" s="111">
        <v>22.727272727272727</v>
      </c>
      <c r="H9" s="111">
        <v>8.0459770114942533</v>
      </c>
      <c r="I9" s="111">
        <v>5.7471264367816088</v>
      </c>
      <c r="J9" s="111">
        <v>5.8139534883720927</v>
      </c>
      <c r="K9" s="111">
        <v>2.2727272727272729</v>
      </c>
      <c r="L9" s="111">
        <v>3.4482758620689653</v>
      </c>
      <c r="M9" s="111">
        <v>4.5977011494252871</v>
      </c>
      <c r="N9" s="111">
        <v>1.1494252873563218</v>
      </c>
      <c r="O9" s="111">
        <v>2.2988505747126435</v>
      </c>
      <c r="P9" s="111">
        <v>0</v>
      </c>
      <c r="Q9" s="111">
        <v>1.1494252873563218</v>
      </c>
      <c r="R9" s="111">
        <v>1.1494252873563218</v>
      </c>
      <c r="S9" s="111">
        <v>1.1494252873563218</v>
      </c>
      <c r="T9" s="111">
        <v>10.465116279069768</v>
      </c>
      <c r="U9" s="111">
        <v>6.9767441860465116</v>
      </c>
      <c r="V9" s="111">
        <v>6.9767441860465116</v>
      </c>
      <c r="W9" s="111">
        <v>4.6511627906976747</v>
      </c>
      <c r="X9" s="111">
        <v>3.4883720930232558</v>
      </c>
      <c r="Y9" s="111">
        <v>4.6511627906976747</v>
      </c>
      <c r="Z9" s="111">
        <v>1.1764705882352942</v>
      </c>
      <c r="AA9" s="111">
        <v>3.5294117647058822</v>
      </c>
      <c r="AB9" s="111">
        <v>4.7619047619047619</v>
      </c>
      <c r="AC9" s="111">
        <v>9.4117647058823533</v>
      </c>
      <c r="AD9" s="111">
        <v>26.136363636363637</v>
      </c>
      <c r="AE9" s="111">
        <v>55.056179775280896</v>
      </c>
      <c r="AF9" s="111">
        <v>25.301204819277107</v>
      </c>
      <c r="AG9" s="111">
        <v>34.482758620689658</v>
      </c>
      <c r="AH9" s="111">
        <v>2.3529411764705883</v>
      </c>
      <c r="AI9" s="111">
        <v>5.7471264367816088</v>
      </c>
      <c r="AJ9" s="111">
        <v>1.1363636363636365</v>
      </c>
      <c r="AK9" s="111">
        <v>25.555555555555557</v>
      </c>
      <c r="AL9" s="111">
        <v>25.555555555555557</v>
      </c>
      <c r="AM9" s="111">
        <v>87.368421052631575</v>
      </c>
      <c r="AN9" s="111">
        <v>86.021505376344081</v>
      </c>
      <c r="AO9" s="119">
        <v>99</v>
      </c>
    </row>
    <row r="10" spans="1:41" x14ac:dyDescent="0.25">
      <c r="A10" s="119" t="s">
        <v>3</v>
      </c>
      <c r="B10" s="111">
        <v>79.124579124579128</v>
      </c>
      <c r="C10" s="111">
        <v>71.331058020477812</v>
      </c>
      <c r="D10" s="111">
        <v>59.655172413793103</v>
      </c>
      <c r="E10" s="111">
        <v>10.830324909747292</v>
      </c>
      <c r="F10" s="111">
        <v>17.028985507246375</v>
      </c>
      <c r="G10" s="111">
        <v>38.26714801444043</v>
      </c>
      <c r="H10" s="111">
        <v>5.4545454545454541</v>
      </c>
      <c r="I10" s="111">
        <v>3.2608695652173911</v>
      </c>
      <c r="J10" s="111">
        <v>6.1151079136690649</v>
      </c>
      <c r="K10" s="111">
        <v>2.150537634408602</v>
      </c>
      <c r="L10" s="111">
        <v>0.71684587813620071</v>
      </c>
      <c r="M10" s="111">
        <v>3.2142857142857144</v>
      </c>
      <c r="N10" s="111">
        <v>1.8050541516245486</v>
      </c>
      <c r="O10" s="111">
        <v>3.6231884057971016</v>
      </c>
      <c r="P10" s="111">
        <v>2.5270758122743682</v>
      </c>
      <c r="Q10" s="111">
        <v>3.9711191335740073</v>
      </c>
      <c r="R10" s="111">
        <v>1.8050541516245486</v>
      </c>
      <c r="S10" s="111">
        <v>3.2374100719424459</v>
      </c>
      <c r="T10" s="111">
        <v>8.9605734767025087</v>
      </c>
      <c r="U10" s="111">
        <v>6.8345323741007196</v>
      </c>
      <c r="V10" s="111">
        <v>15.467625899280575</v>
      </c>
      <c r="W10" s="111">
        <v>11.636363636363637</v>
      </c>
      <c r="X10" s="111">
        <v>5.1282051282051286</v>
      </c>
      <c r="Y10" s="111">
        <v>2.8880866425992782</v>
      </c>
      <c r="Z10" s="111">
        <v>5.0724637681159424</v>
      </c>
      <c r="AA10" s="111">
        <v>6.1594202898550723</v>
      </c>
      <c r="AB10" s="111">
        <v>5.0724637681159424</v>
      </c>
      <c r="AC10" s="111">
        <v>9.7826086956521738</v>
      </c>
      <c r="AD10" s="111">
        <v>24.372759856630825</v>
      </c>
      <c r="AE10" s="111">
        <v>66.435986159169545</v>
      </c>
      <c r="AF10" s="111">
        <v>24.372759856630825</v>
      </c>
      <c r="AG10" s="111">
        <v>46.453900709219859</v>
      </c>
      <c r="AH10" s="111">
        <v>5.0541516245487363</v>
      </c>
      <c r="AI10" s="111">
        <v>4.3321299638989172</v>
      </c>
      <c r="AJ10" s="111">
        <v>5.0724637681159424</v>
      </c>
      <c r="AK10" s="111">
        <v>50.357142857142854</v>
      </c>
      <c r="AL10" s="111">
        <v>17.625899280575538</v>
      </c>
      <c r="AM10" s="111">
        <v>78.200692041522487</v>
      </c>
      <c r="AN10" s="111">
        <v>84.96503496503496</v>
      </c>
      <c r="AO10" s="119">
        <v>301</v>
      </c>
    </row>
    <row r="11" spans="1:41" x14ac:dyDescent="0.25">
      <c r="A11" s="119" t="s">
        <v>4</v>
      </c>
      <c r="B11" s="111">
        <v>74.957410562180584</v>
      </c>
      <c r="C11" s="111">
        <v>69.039145907473312</v>
      </c>
      <c r="D11" s="111">
        <v>56.127886323268207</v>
      </c>
      <c r="E11" s="111">
        <v>10.861423220973784</v>
      </c>
      <c r="F11" s="111">
        <v>16.195856873822976</v>
      </c>
      <c r="G11" s="111">
        <v>38.786764705882355</v>
      </c>
      <c r="H11" s="111">
        <v>3.8961038961038961</v>
      </c>
      <c r="I11" s="111">
        <v>4.2750929368029738</v>
      </c>
      <c r="J11" s="111">
        <v>8.0827067669172941</v>
      </c>
      <c r="K11" s="111">
        <v>3.2967032967032965</v>
      </c>
      <c r="L11" s="111">
        <v>2.1897810218978102</v>
      </c>
      <c r="M11" s="111">
        <v>3.4608378870673953</v>
      </c>
      <c r="N11" s="111">
        <v>2.0295202952029521</v>
      </c>
      <c r="O11" s="111">
        <v>3.1365313653136533</v>
      </c>
      <c r="P11" s="111">
        <v>2.7675276752767526</v>
      </c>
      <c r="Q11" s="111">
        <v>2.5641025641025643</v>
      </c>
      <c r="R11" s="111">
        <v>1.6483516483516483</v>
      </c>
      <c r="S11" s="111">
        <v>5.6985294117647056</v>
      </c>
      <c r="T11" s="111">
        <v>10.294117647058824</v>
      </c>
      <c r="U11" s="111">
        <v>5.7407407407407405</v>
      </c>
      <c r="V11" s="111">
        <v>12.384473197781885</v>
      </c>
      <c r="W11" s="111">
        <v>7.992565055762082</v>
      </c>
      <c r="X11" s="111">
        <v>7.7777777777777777</v>
      </c>
      <c r="Y11" s="111">
        <v>7.9482439926062849</v>
      </c>
      <c r="Z11" s="111">
        <v>3.5514018691588785</v>
      </c>
      <c r="AA11" s="111">
        <v>3.9179104477611939</v>
      </c>
      <c r="AB11" s="111">
        <v>4.2750929368029738</v>
      </c>
      <c r="AC11" s="111">
        <v>3.3644859813084111</v>
      </c>
      <c r="AD11" s="111">
        <v>24.954462659380692</v>
      </c>
      <c r="AE11" s="111">
        <v>67.317939609236234</v>
      </c>
      <c r="AF11" s="111">
        <v>57.321428571428569</v>
      </c>
      <c r="AG11" s="111">
        <v>47.163120567375884</v>
      </c>
      <c r="AH11" s="111">
        <v>5.0092764378478662</v>
      </c>
      <c r="AI11" s="111">
        <v>3.512014787430684</v>
      </c>
      <c r="AJ11" s="111">
        <v>4.0441176470588234</v>
      </c>
      <c r="AK11" s="111">
        <v>47.905282331511842</v>
      </c>
      <c r="AL11" s="111">
        <v>10.805860805860807</v>
      </c>
      <c r="AM11" s="111">
        <v>73.487544483985772</v>
      </c>
      <c r="AN11" s="111">
        <v>87.522281639928693</v>
      </c>
      <c r="AO11" s="119">
        <v>600</v>
      </c>
    </row>
    <row r="12" spans="1:41" x14ac:dyDescent="0.25">
      <c r="A12" s="119" t="s">
        <v>46</v>
      </c>
      <c r="B12" s="111">
        <v>81.379310344827587</v>
      </c>
      <c r="C12" s="111">
        <v>79.285714285714292</v>
      </c>
      <c r="D12" s="111">
        <v>61.702127659574465</v>
      </c>
      <c r="E12" s="111">
        <v>6.9230769230769234</v>
      </c>
      <c r="F12" s="111">
        <v>13.846153846153847</v>
      </c>
      <c r="G12" s="111">
        <v>22.627737226277372</v>
      </c>
      <c r="H12" s="111">
        <v>3.053435114503817</v>
      </c>
      <c r="I12" s="111">
        <v>13.333333333333334</v>
      </c>
      <c r="J12" s="111">
        <v>6.1538461538461542</v>
      </c>
      <c r="K12" s="111">
        <v>2.3076923076923075</v>
      </c>
      <c r="L12" s="111">
        <v>0.76923076923076927</v>
      </c>
      <c r="M12" s="111">
        <v>2.2727272727272729</v>
      </c>
      <c r="N12" s="111">
        <v>0.76923076923076927</v>
      </c>
      <c r="O12" s="111">
        <v>0.76923076923076927</v>
      </c>
      <c r="P12" s="111">
        <v>2.3076923076923075</v>
      </c>
      <c r="Q12" s="111">
        <v>3.0769230769230771</v>
      </c>
      <c r="R12" s="111">
        <v>0</v>
      </c>
      <c r="S12" s="111">
        <v>9.1603053435114496</v>
      </c>
      <c r="T12" s="111">
        <v>9.3023255813953494</v>
      </c>
      <c r="U12" s="111">
        <v>3.8759689922480618</v>
      </c>
      <c r="V12" s="111">
        <v>12.403100775193799</v>
      </c>
      <c r="W12" s="111">
        <v>6.9767441860465116</v>
      </c>
      <c r="X12" s="111">
        <v>4.6875</v>
      </c>
      <c r="Y12" s="111">
        <v>7.7519379844961236</v>
      </c>
      <c r="Z12" s="111">
        <v>3.125</v>
      </c>
      <c r="AA12" s="111">
        <v>6.9767441860465116</v>
      </c>
      <c r="AB12" s="111">
        <v>4.7244094488188972</v>
      </c>
      <c r="AC12" s="111">
        <v>7.7519379844961236</v>
      </c>
      <c r="AD12" s="111">
        <v>32.592592592592595</v>
      </c>
      <c r="AE12" s="111">
        <v>72.857142857142861</v>
      </c>
      <c r="AF12" s="111">
        <v>53.284671532846716</v>
      </c>
      <c r="AG12" s="111">
        <v>48.175182481751825</v>
      </c>
      <c r="AH12" s="111">
        <v>3.7593984962406015</v>
      </c>
      <c r="AI12" s="111">
        <v>13.636363636363637</v>
      </c>
      <c r="AJ12" s="111">
        <v>6.9230769230769234</v>
      </c>
      <c r="AK12" s="111">
        <v>21.969696969696969</v>
      </c>
      <c r="AL12" s="111">
        <v>29.770992366412212</v>
      </c>
      <c r="AM12" s="111">
        <v>87.050359712230218</v>
      </c>
      <c r="AN12" s="111">
        <v>90.070921985815602</v>
      </c>
      <c r="AO12" s="119">
        <v>148</v>
      </c>
    </row>
    <row r="13" spans="1:41" x14ac:dyDescent="0.25">
      <c r="A13" s="119" t="s">
        <v>5</v>
      </c>
      <c r="B13" s="111">
        <v>73.872472783825813</v>
      </c>
      <c r="C13" s="111">
        <v>63.549920760697304</v>
      </c>
      <c r="D13" s="111">
        <v>52.724358974358971</v>
      </c>
      <c r="E13" s="111">
        <v>13.705583756345177</v>
      </c>
      <c r="F13" s="111">
        <v>15.878378378378379</v>
      </c>
      <c r="G13" s="111">
        <v>34.098360655737707</v>
      </c>
      <c r="H13" s="111">
        <v>2.6845637583892619</v>
      </c>
      <c r="I13" s="111">
        <v>5.0167224080267561</v>
      </c>
      <c r="J13" s="111">
        <v>6.5326633165829149</v>
      </c>
      <c r="K13" s="111">
        <v>1.1513157894736843</v>
      </c>
      <c r="L13" s="111">
        <v>1.4754098360655739</v>
      </c>
      <c r="M13" s="111">
        <v>1.9736842105263157</v>
      </c>
      <c r="N13" s="111">
        <v>1.3157894736842106</v>
      </c>
      <c r="O13" s="111">
        <v>4.1390728476821188</v>
      </c>
      <c r="P13" s="111">
        <v>1.1532125205930808</v>
      </c>
      <c r="Q13" s="111">
        <v>2.4752475247524752</v>
      </c>
      <c r="R13" s="111">
        <v>0.98360655737704916</v>
      </c>
      <c r="S13" s="111">
        <v>5.9113300492610836</v>
      </c>
      <c r="T13" s="111">
        <v>9.9667774086378742</v>
      </c>
      <c r="U13" s="111">
        <v>4.4925124792013307</v>
      </c>
      <c r="V13" s="111">
        <v>12.520868113522537</v>
      </c>
      <c r="W13" s="111">
        <v>7.333333333333333</v>
      </c>
      <c r="X13" s="111">
        <v>7.2147651006711406</v>
      </c>
      <c r="Y13" s="111">
        <v>9.3333333333333339</v>
      </c>
      <c r="Z13" s="111">
        <v>3.3670033670033672</v>
      </c>
      <c r="AA13" s="111">
        <v>5.5649241146711637</v>
      </c>
      <c r="AB13" s="111">
        <v>2.6936026936026938</v>
      </c>
      <c r="AC13" s="111">
        <v>2.5167785234899327</v>
      </c>
      <c r="AD13" s="111">
        <v>22.69736842105263</v>
      </c>
      <c r="AE13" s="111">
        <v>70.645161290322577</v>
      </c>
      <c r="AF13" s="111">
        <v>54.918032786885249</v>
      </c>
      <c r="AG13" s="111">
        <v>57.679738562091501</v>
      </c>
      <c r="AH13" s="111">
        <v>4.5150501672240804</v>
      </c>
      <c r="AI13" s="111">
        <v>7.9601990049751246</v>
      </c>
      <c r="AJ13" s="111">
        <v>2.9900332225913622</v>
      </c>
      <c r="AK13" s="111">
        <v>70.483870967741936</v>
      </c>
      <c r="AL13" s="111">
        <v>13.90284757118928</v>
      </c>
      <c r="AM13" s="111">
        <v>82.067851373182549</v>
      </c>
      <c r="AN13" s="111">
        <v>89.516129032258064</v>
      </c>
      <c r="AO13" s="119">
        <v>650</v>
      </c>
    </row>
    <row r="14" spans="1:41" x14ac:dyDescent="0.25">
      <c r="A14" s="119" t="s">
        <v>48</v>
      </c>
      <c r="B14" s="111">
        <v>82.835820895522389</v>
      </c>
      <c r="C14" s="111">
        <v>70.161290322580641</v>
      </c>
      <c r="D14" s="111">
        <v>65.599999999999994</v>
      </c>
      <c r="E14" s="111">
        <v>10.434782608695652</v>
      </c>
      <c r="F14" s="111">
        <v>14.912280701754385</v>
      </c>
      <c r="G14" s="111">
        <v>22.033898305084747</v>
      </c>
      <c r="H14" s="111">
        <v>6.0344827586206895</v>
      </c>
      <c r="I14" s="111">
        <v>11.965811965811966</v>
      </c>
      <c r="J14" s="111">
        <v>6.9565217391304346</v>
      </c>
      <c r="K14" s="111">
        <v>2.6315789473684212</v>
      </c>
      <c r="L14" s="111">
        <v>1.7699115044247788</v>
      </c>
      <c r="M14" s="111">
        <v>6.0869565217391308</v>
      </c>
      <c r="N14" s="111">
        <v>0.8928571428571429</v>
      </c>
      <c r="O14" s="111">
        <v>4.3859649122807021</v>
      </c>
      <c r="P14" s="111">
        <v>4.3859649122807021</v>
      </c>
      <c r="Q14" s="111">
        <v>7.7586206896551726</v>
      </c>
      <c r="R14" s="111">
        <v>4.3478260869565215</v>
      </c>
      <c r="S14" s="111">
        <v>4.4247787610619467</v>
      </c>
      <c r="T14" s="111">
        <v>5.2631578947368425</v>
      </c>
      <c r="U14" s="111">
        <v>5.3097345132743365</v>
      </c>
      <c r="V14" s="111">
        <v>14.159292035398231</v>
      </c>
      <c r="W14" s="111">
        <v>7.0796460176991154</v>
      </c>
      <c r="X14" s="111">
        <v>8.0357142857142865</v>
      </c>
      <c r="Y14" s="111">
        <v>8.8495575221238933</v>
      </c>
      <c r="Z14" s="111">
        <v>4.4642857142857144</v>
      </c>
      <c r="AA14" s="111">
        <v>7.1428571428571432</v>
      </c>
      <c r="AB14" s="111">
        <v>3.5714285714285716</v>
      </c>
      <c r="AC14" s="111">
        <v>5.4545454545454541</v>
      </c>
      <c r="AD14" s="111">
        <v>22.314049586776861</v>
      </c>
      <c r="AE14" s="111">
        <v>54.918032786885249</v>
      </c>
      <c r="AF14" s="111">
        <v>46.666666666666664</v>
      </c>
      <c r="AG14" s="111">
        <v>63.414634146341463</v>
      </c>
      <c r="AH14" s="111">
        <v>4.3859649122807021</v>
      </c>
      <c r="AI14" s="111">
        <v>6.0344827586206895</v>
      </c>
      <c r="AJ14" s="111">
        <v>2.5641025641025643</v>
      </c>
      <c r="AK14" s="111">
        <v>17.796610169491526</v>
      </c>
      <c r="AL14" s="111">
        <v>20.869565217391305</v>
      </c>
      <c r="AM14" s="111">
        <v>86.507936507936506</v>
      </c>
      <c r="AN14" s="111">
        <v>89.256198347107443</v>
      </c>
      <c r="AO14" s="119">
        <v>135</v>
      </c>
    </row>
    <row r="15" spans="1:41" x14ac:dyDescent="0.25">
      <c r="A15" s="119" t="s">
        <v>49</v>
      </c>
      <c r="B15" s="111">
        <v>85.57692307692308</v>
      </c>
      <c r="C15" s="111">
        <v>77.227722772277232</v>
      </c>
      <c r="D15" s="111">
        <v>59.793814432989691</v>
      </c>
      <c r="E15" s="111">
        <v>10.989010989010989</v>
      </c>
      <c r="F15" s="111">
        <v>10</v>
      </c>
      <c r="G15" s="111">
        <v>16.129032258064516</v>
      </c>
      <c r="H15" s="111">
        <v>6.4516129032258061</v>
      </c>
      <c r="I15" s="111">
        <v>15.625</v>
      </c>
      <c r="J15" s="111">
        <v>5.3191489361702127</v>
      </c>
      <c r="K15" s="111">
        <v>6.5934065934065931</v>
      </c>
      <c r="L15" s="111">
        <v>1.098901098901099</v>
      </c>
      <c r="M15" s="111">
        <v>4.3478260869565215</v>
      </c>
      <c r="N15" s="111">
        <v>0</v>
      </c>
      <c r="O15" s="111">
        <v>2.2471910112359552</v>
      </c>
      <c r="P15" s="111">
        <v>0</v>
      </c>
      <c r="Q15" s="111">
        <v>4.4444444444444446</v>
      </c>
      <c r="R15" s="111">
        <v>1.1111111111111112</v>
      </c>
      <c r="S15" s="111">
        <v>3.3707865168539324</v>
      </c>
      <c r="T15" s="111">
        <v>12.222222222222221</v>
      </c>
      <c r="U15" s="111">
        <v>6.7415730337078648</v>
      </c>
      <c r="V15" s="111">
        <v>10</v>
      </c>
      <c r="W15" s="111">
        <v>7.8651685393258424</v>
      </c>
      <c r="X15" s="111">
        <v>4.4444444444444446</v>
      </c>
      <c r="Y15" s="111">
        <v>4.4444444444444446</v>
      </c>
      <c r="Z15" s="111">
        <v>3.3333333333333335</v>
      </c>
      <c r="AA15" s="111">
        <v>2.2222222222222223</v>
      </c>
      <c r="AB15" s="111">
        <v>6.666666666666667</v>
      </c>
      <c r="AC15" s="111">
        <v>10</v>
      </c>
      <c r="AD15" s="111">
        <v>33.333333333333336</v>
      </c>
      <c r="AE15" s="111">
        <v>69.072164948453604</v>
      </c>
      <c r="AF15" s="111">
        <v>42.10526315789474</v>
      </c>
      <c r="AG15" s="111">
        <v>57.446808510638299</v>
      </c>
      <c r="AH15" s="111">
        <v>9.7826086956521738</v>
      </c>
      <c r="AI15" s="111">
        <v>9.7826086956521738</v>
      </c>
      <c r="AJ15" s="111">
        <v>3.225806451612903</v>
      </c>
      <c r="AK15" s="111">
        <v>12.76595744680851</v>
      </c>
      <c r="AL15" s="111">
        <v>14.285714285714286</v>
      </c>
      <c r="AM15" s="111">
        <v>87.755102040816325</v>
      </c>
      <c r="AN15" s="111">
        <v>92.708333333333329</v>
      </c>
      <c r="AO15" s="119">
        <v>105</v>
      </c>
    </row>
    <row r="16" spans="1:41" x14ac:dyDescent="0.25">
      <c r="A16" s="119" t="s">
        <v>50</v>
      </c>
      <c r="B16" s="111">
        <v>83.597883597883595</v>
      </c>
      <c r="C16" s="111">
        <v>77.005347593582883</v>
      </c>
      <c r="D16" s="111">
        <v>63.783783783783782</v>
      </c>
      <c r="E16" s="111">
        <v>9.3023255813953494</v>
      </c>
      <c r="F16" s="111">
        <v>15.294117647058824</v>
      </c>
      <c r="G16" s="111">
        <v>19.298245614035089</v>
      </c>
      <c r="H16" s="111">
        <v>6.8965517241379306</v>
      </c>
      <c r="I16" s="111">
        <v>5.8139534883720927</v>
      </c>
      <c r="J16" s="111">
        <v>6.4327485380116958</v>
      </c>
      <c r="K16" s="111">
        <v>3.4285714285714284</v>
      </c>
      <c r="L16" s="111">
        <v>1.1428571428571428</v>
      </c>
      <c r="M16" s="111">
        <v>2.8735632183908044</v>
      </c>
      <c r="N16" s="111">
        <v>0.5714285714285714</v>
      </c>
      <c r="O16" s="111">
        <v>4.6242774566473992</v>
      </c>
      <c r="P16" s="111">
        <v>0.57471264367816088</v>
      </c>
      <c r="Q16" s="111">
        <v>4.5454545454545459</v>
      </c>
      <c r="R16" s="111">
        <v>0</v>
      </c>
      <c r="S16" s="111">
        <v>2.8409090909090908</v>
      </c>
      <c r="T16" s="111">
        <v>7.9545454545454541</v>
      </c>
      <c r="U16" s="111">
        <v>6.8571428571428568</v>
      </c>
      <c r="V16" s="111">
        <v>10.404624277456648</v>
      </c>
      <c r="W16" s="111">
        <v>7.4712643678160919</v>
      </c>
      <c r="X16" s="111">
        <v>5.8139534883720927</v>
      </c>
      <c r="Y16" s="111">
        <v>5.7471264367816088</v>
      </c>
      <c r="Z16" s="111">
        <v>3.4482758620689653</v>
      </c>
      <c r="AA16" s="111">
        <v>2.8901734104046244</v>
      </c>
      <c r="AB16" s="111">
        <v>5.202312138728324</v>
      </c>
      <c r="AC16" s="111">
        <v>13.218390804597702</v>
      </c>
      <c r="AD16" s="111">
        <v>39.77900552486188</v>
      </c>
      <c r="AE16" s="111">
        <v>69.230769230769226</v>
      </c>
      <c r="AF16" s="111">
        <v>52.272727272727273</v>
      </c>
      <c r="AG16" s="111">
        <v>60.674157303370784</v>
      </c>
      <c r="AH16" s="111">
        <v>9.7701149425287355</v>
      </c>
      <c r="AI16" s="111">
        <v>6.25</v>
      </c>
      <c r="AJ16" s="111">
        <v>2.8571428571428572</v>
      </c>
      <c r="AK16" s="111">
        <v>23.295454545454547</v>
      </c>
      <c r="AL16" s="111">
        <v>24.571428571428573</v>
      </c>
      <c r="AM16" s="111">
        <v>87.078651685393254</v>
      </c>
      <c r="AN16" s="111">
        <v>89.204545454545453</v>
      </c>
      <c r="AO16" s="119">
        <v>194</v>
      </c>
    </row>
    <row r="17" spans="1:41" x14ac:dyDescent="0.25">
      <c r="A17" s="119" t="s">
        <v>69</v>
      </c>
      <c r="B17" s="111">
        <v>77.058823529411768</v>
      </c>
      <c r="C17" s="111">
        <v>75.602409638554221</v>
      </c>
      <c r="D17" s="111">
        <v>60.436137071651089</v>
      </c>
      <c r="E17" s="111">
        <v>14.379084967320262</v>
      </c>
      <c r="F17" s="111">
        <v>18.360655737704917</v>
      </c>
      <c r="G17" s="111">
        <v>40.186915887850468</v>
      </c>
      <c r="H17" s="111">
        <v>6.7307692307692308</v>
      </c>
      <c r="I17" s="111">
        <v>7.6190476190476186</v>
      </c>
      <c r="J17" s="111">
        <v>6.752411575562701</v>
      </c>
      <c r="K17" s="111">
        <v>2.5641025641025643</v>
      </c>
      <c r="L17" s="111">
        <v>1.941747572815534</v>
      </c>
      <c r="M17" s="111">
        <v>5.7507987220447285</v>
      </c>
      <c r="N17" s="111">
        <v>0.32467532467532467</v>
      </c>
      <c r="O17" s="111">
        <v>4.5454545454545459</v>
      </c>
      <c r="P17" s="111">
        <v>1.941747572815534</v>
      </c>
      <c r="Q17" s="111">
        <v>2.9220779220779223</v>
      </c>
      <c r="R17" s="111">
        <v>1.935483870967742</v>
      </c>
      <c r="S17" s="111">
        <v>4.1533546325878596</v>
      </c>
      <c r="T17" s="111">
        <v>10.855263157894736</v>
      </c>
      <c r="U17" s="111">
        <v>9.2409240924092408</v>
      </c>
      <c r="V17" s="111">
        <v>16.393442622950818</v>
      </c>
      <c r="W17" s="111">
        <v>10.927152317880795</v>
      </c>
      <c r="X17" s="111">
        <v>10.561056105610561</v>
      </c>
      <c r="Y17" s="111">
        <v>10.231023102310232</v>
      </c>
      <c r="Z17" s="111">
        <v>3.9344262295081966</v>
      </c>
      <c r="AA17" s="111">
        <v>4.2763157894736841</v>
      </c>
      <c r="AB17" s="111">
        <v>4.6052631578947372</v>
      </c>
      <c r="AC17" s="111">
        <v>5.3156146179401995</v>
      </c>
      <c r="AD17" s="111">
        <v>26.397515527950311</v>
      </c>
      <c r="AE17" s="111">
        <v>72.644376899696056</v>
      </c>
      <c r="AF17" s="111">
        <v>53.894080996884732</v>
      </c>
      <c r="AG17" s="111">
        <v>60</v>
      </c>
      <c r="AH17" s="111">
        <v>2.903225806451613</v>
      </c>
      <c r="AI17" s="111">
        <v>4.823151125401929</v>
      </c>
      <c r="AJ17" s="111">
        <v>6.0509554140127388</v>
      </c>
      <c r="AK17" s="111">
        <v>13.015873015873016</v>
      </c>
      <c r="AL17" s="111">
        <v>15.654952076677317</v>
      </c>
      <c r="AM17" s="111">
        <v>87.020648967551622</v>
      </c>
      <c r="AN17" s="111">
        <v>92.682926829268297</v>
      </c>
      <c r="AO17" s="119">
        <v>350</v>
      </c>
    </row>
    <row r="18" spans="1:41" x14ac:dyDescent="0.25">
      <c r="A18" s="119" t="s">
        <v>6</v>
      </c>
      <c r="B18" s="111">
        <v>69.86666666666666</v>
      </c>
      <c r="C18" s="111">
        <v>67.213114754098356</v>
      </c>
      <c r="D18" s="111">
        <v>56.944444444444443</v>
      </c>
      <c r="E18" s="111">
        <v>10.294117647058824</v>
      </c>
      <c r="F18" s="111">
        <v>14.369501466275659</v>
      </c>
      <c r="G18" s="111">
        <v>40.455840455840459</v>
      </c>
      <c r="H18" s="111">
        <v>8.1632653061224492</v>
      </c>
      <c r="I18" s="111">
        <v>5.2941176470588234</v>
      </c>
      <c r="J18" s="111">
        <v>7.9178885630498534</v>
      </c>
      <c r="K18" s="111">
        <v>1.7391304347826086</v>
      </c>
      <c r="L18" s="111">
        <v>1.7441860465116279</v>
      </c>
      <c r="M18" s="111">
        <v>4.9132947976878611</v>
      </c>
      <c r="N18" s="111">
        <v>0.29239766081871343</v>
      </c>
      <c r="O18" s="111">
        <v>4.6920821114369504</v>
      </c>
      <c r="P18" s="111">
        <v>1.4705882352941178</v>
      </c>
      <c r="Q18" s="111">
        <v>3.5294117647058822</v>
      </c>
      <c r="R18" s="111">
        <v>0.8771929824561403</v>
      </c>
      <c r="S18" s="111">
        <v>8.235294117647058</v>
      </c>
      <c r="T18" s="111">
        <v>9.9706744868035191</v>
      </c>
      <c r="U18" s="111">
        <v>7.6696165191740411</v>
      </c>
      <c r="V18" s="111">
        <v>13.017751479289942</v>
      </c>
      <c r="W18" s="111">
        <v>9.7633136094674562</v>
      </c>
      <c r="X18" s="111">
        <v>8.6053412462908003</v>
      </c>
      <c r="Y18" s="111">
        <v>14.117647058823529</v>
      </c>
      <c r="Z18" s="111">
        <v>2.359882005899705</v>
      </c>
      <c r="AA18" s="111">
        <v>4.1297935103244834</v>
      </c>
      <c r="AB18" s="111">
        <v>3.5294117647058822</v>
      </c>
      <c r="AC18" s="111">
        <v>1.4792899408284024</v>
      </c>
      <c r="AD18" s="111">
        <v>24.571428571428573</v>
      </c>
      <c r="AE18" s="111">
        <v>67.671232876712324</v>
      </c>
      <c r="AF18" s="111">
        <v>51.714285714285715</v>
      </c>
      <c r="AG18" s="111">
        <v>49.572649572649574</v>
      </c>
      <c r="AH18" s="111">
        <v>4.4378698224852071</v>
      </c>
      <c r="AI18" s="111">
        <v>8.7463556851311957</v>
      </c>
      <c r="AJ18" s="111">
        <v>2.0527859237536656</v>
      </c>
      <c r="AK18" s="111">
        <v>57.584269662921351</v>
      </c>
      <c r="AL18" s="111">
        <v>10.882352941176471</v>
      </c>
      <c r="AM18" s="111">
        <v>82.739726027397253</v>
      </c>
      <c r="AN18" s="111">
        <v>85.154061624649856</v>
      </c>
      <c r="AO18" s="119">
        <v>389</v>
      </c>
    </row>
    <row r="19" spans="1:41" x14ac:dyDescent="0.25">
      <c r="A19" s="119" t="s">
        <v>70</v>
      </c>
      <c r="B19" s="111">
        <v>81.034482758620683</v>
      </c>
      <c r="C19" s="111">
        <v>74.336283185840713</v>
      </c>
      <c r="D19" s="111">
        <v>49.777777777777779</v>
      </c>
      <c r="E19" s="111">
        <v>8.5714285714285712</v>
      </c>
      <c r="F19" s="111">
        <v>13.333333333333334</v>
      </c>
      <c r="G19" s="111">
        <v>19.907407407407408</v>
      </c>
      <c r="H19" s="111">
        <v>6.9767441860465116</v>
      </c>
      <c r="I19" s="111">
        <v>8.8372093023255811</v>
      </c>
      <c r="J19" s="111">
        <v>4.2452830188679247</v>
      </c>
      <c r="K19" s="111">
        <v>2.7272727272727271</v>
      </c>
      <c r="L19" s="111">
        <v>3.6529680365296802</v>
      </c>
      <c r="M19" s="111">
        <v>5</v>
      </c>
      <c r="N19" s="111">
        <v>1.3824884792626728</v>
      </c>
      <c r="O19" s="111">
        <v>5.0458715596330279</v>
      </c>
      <c r="P19" s="111">
        <v>2.2935779816513762</v>
      </c>
      <c r="Q19" s="111">
        <v>5.9360730593607309</v>
      </c>
      <c r="R19" s="111">
        <v>1.3761467889908257</v>
      </c>
      <c r="S19" s="111">
        <v>4.5454545454545459</v>
      </c>
      <c r="T19" s="111">
        <v>7.9069767441860463</v>
      </c>
      <c r="U19" s="111">
        <v>5.1162790697674421</v>
      </c>
      <c r="V19" s="111">
        <v>17.209302325581394</v>
      </c>
      <c r="W19" s="111">
        <v>11.162790697674419</v>
      </c>
      <c r="X19" s="111">
        <v>5.6338028169014081</v>
      </c>
      <c r="Y19" s="111">
        <v>7.4766355140186915</v>
      </c>
      <c r="Z19" s="111">
        <v>3.755868544600939</v>
      </c>
      <c r="AA19" s="111">
        <v>4.7393364928909953</v>
      </c>
      <c r="AB19" s="111">
        <v>2.3364485981308412</v>
      </c>
      <c r="AC19" s="111">
        <v>10.7981220657277</v>
      </c>
      <c r="AD19" s="111">
        <v>30.316742081447963</v>
      </c>
      <c r="AE19" s="111">
        <v>64.25339366515837</v>
      </c>
      <c r="AF19" s="111">
        <v>34.246575342465754</v>
      </c>
      <c r="AG19" s="111">
        <v>46.97674418604651</v>
      </c>
      <c r="AH19" s="111">
        <v>9.8591549295774641</v>
      </c>
      <c r="AI19" s="111">
        <v>3.2863849765258215</v>
      </c>
      <c r="AJ19" s="111">
        <v>1.8691588785046729</v>
      </c>
      <c r="AK19" s="111">
        <v>8.8372093023255811</v>
      </c>
      <c r="AL19" s="111">
        <v>11.374407582938389</v>
      </c>
      <c r="AM19" s="111">
        <v>90.869565217391298</v>
      </c>
      <c r="AN19" s="111">
        <v>88.288288288288285</v>
      </c>
      <c r="AO19" s="119">
        <v>239</v>
      </c>
    </row>
    <row r="20" spans="1:41" x14ac:dyDescent="0.25">
      <c r="A20" s="119" t="s">
        <v>7</v>
      </c>
      <c r="B20" s="111">
        <v>88.622754491017957</v>
      </c>
      <c r="C20" s="111">
        <v>77.35849056603773</v>
      </c>
      <c r="D20" s="111">
        <v>63.694267515923563</v>
      </c>
      <c r="E20" s="111">
        <v>8.5714285714285712</v>
      </c>
      <c r="F20" s="111">
        <v>15.492957746478874</v>
      </c>
      <c r="G20" s="111">
        <v>24</v>
      </c>
      <c r="H20" s="111">
        <v>3.4482758620689653</v>
      </c>
      <c r="I20" s="111">
        <v>12.162162162162161</v>
      </c>
      <c r="J20" s="111">
        <v>6.25</v>
      </c>
      <c r="K20" s="111">
        <v>4.026845637583893</v>
      </c>
      <c r="L20" s="111">
        <v>3.3783783783783785</v>
      </c>
      <c r="M20" s="111">
        <v>5.3691275167785237</v>
      </c>
      <c r="N20" s="111">
        <v>1.3698630136986301</v>
      </c>
      <c r="O20" s="111">
        <v>3.4013605442176869</v>
      </c>
      <c r="P20" s="111">
        <v>3.4013605442176869</v>
      </c>
      <c r="Q20" s="111">
        <v>4.0816326530612246</v>
      </c>
      <c r="R20" s="111">
        <v>0</v>
      </c>
      <c r="S20" s="111">
        <v>4.7297297297297298</v>
      </c>
      <c r="T20" s="111">
        <v>6.1224489795918364</v>
      </c>
      <c r="U20" s="111">
        <v>4.1379310344827589</v>
      </c>
      <c r="V20" s="111">
        <v>13.013698630136986</v>
      </c>
      <c r="W20" s="111">
        <v>6.8965517241379306</v>
      </c>
      <c r="X20" s="111">
        <v>6.8965517241379306</v>
      </c>
      <c r="Y20" s="111">
        <v>9.5238095238095237</v>
      </c>
      <c r="Z20" s="111">
        <v>2.0689655172413794</v>
      </c>
      <c r="AA20" s="111">
        <v>4.7945205479452051</v>
      </c>
      <c r="AB20" s="111">
        <v>2.0689655172413794</v>
      </c>
      <c r="AC20" s="111">
        <v>7.5862068965517242</v>
      </c>
      <c r="AD20" s="111">
        <v>25.657894736842106</v>
      </c>
      <c r="AE20" s="111">
        <v>58.598726114649679</v>
      </c>
      <c r="AF20" s="111">
        <v>54.60526315789474</v>
      </c>
      <c r="AG20" s="111">
        <v>71.612903225806448</v>
      </c>
      <c r="AH20" s="111">
        <v>6.8493150684931505</v>
      </c>
      <c r="AI20" s="111">
        <v>6.8493150684931505</v>
      </c>
      <c r="AJ20" s="111">
        <v>1.3793103448275863</v>
      </c>
      <c r="AK20" s="111">
        <v>10.344827586206897</v>
      </c>
      <c r="AL20" s="111">
        <v>25</v>
      </c>
      <c r="AM20" s="111">
        <v>87.5</v>
      </c>
      <c r="AN20" s="111">
        <v>86.538461538461533</v>
      </c>
      <c r="AO20" s="119">
        <v>168</v>
      </c>
    </row>
    <row r="21" spans="1:41" x14ac:dyDescent="0.25">
      <c r="A21" s="119" t="s">
        <v>22</v>
      </c>
      <c r="B21" s="111">
        <v>86.931818181818187</v>
      </c>
      <c r="C21" s="111">
        <v>75.449101796407192</v>
      </c>
      <c r="D21" s="111">
        <v>56.441717791411044</v>
      </c>
      <c r="E21" s="111">
        <v>11.184210526315789</v>
      </c>
      <c r="F21" s="111">
        <v>15.231788079470199</v>
      </c>
      <c r="G21" s="111">
        <v>25</v>
      </c>
      <c r="H21" s="111">
        <v>5</v>
      </c>
      <c r="I21" s="111">
        <v>9.433962264150944</v>
      </c>
      <c r="J21" s="111">
        <v>7.6433121019108281</v>
      </c>
      <c r="K21" s="111">
        <v>2.5316455696202533</v>
      </c>
      <c r="L21" s="111">
        <v>3.7735849056603774</v>
      </c>
      <c r="M21" s="111">
        <v>3.1645569620253164</v>
      </c>
      <c r="N21" s="111">
        <v>0.64102564102564108</v>
      </c>
      <c r="O21" s="111">
        <v>4.4303797468354427</v>
      </c>
      <c r="P21" s="111">
        <v>1.9230769230769231</v>
      </c>
      <c r="Q21" s="111">
        <v>3.7974683544303796</v>
      </c>
      <c r="R21" s="111">
        <v>1.2658227848101267</v>
      </c>
      <c r="S21" s="111">
        <v>3.7974683544303796</v>
      </c>
      <c r="T21" s="111">
        <v>10.457516339869281</v>
      </c>
      <c r="U21" s="111">
        <v>7.1895424836601309</v>
      </c>
      <c r="V21" s="111">
        <v>13.815789473684211</v>
      </c>
      <c r="W21" s="111">
        <v>14.193548387096774</v>
      </c>
      <c r="X21" s="111">
        <v>7.1895424836601309</v>
      </c>
      <c r="Y21" s="111">
        <v>4.5751633986928102</v>
      </c>
      <c r="Z21" s="111">
        <v>4.5751633986928102</v>
      </c>
      <c r="AA21" s="111">
        <v>5.9210526315789478</v>
      </c>
      <c r="AB21" s="111">
        <v>3.2679738562091503</v>
      </c>
      <c r="AC21" s="111">
        <v>15.032679738562091</v>
      </c>
      <c r="AD21" s="111">
        <v>32.727272727272727</v>
      </c>
      <c r="AE21" s="111">
        <v>52.121212121212125</v>
      </c>
      <c r="AF21" s="111">
        <v>38.650306748466257</v>
      </c>
      <c r="AG21" s="111">
        <v>26.086956521739129</v>
      </c>
      <c r="AH21" s="111">
        <v>11.25</v>
      </c>
      <c r="AI21" s="111">
        <v>4.4585987261146496</v>
      </c>
      <c r="AJ21" s="111">
        <v>3.1645569620253164</v>
      </c>
      <c r="AK21" s="111">
        <v>29.375</v>
      </c>
      <c r="AL21" s="111">
        <v>17.088607594936708</v>
      </c>
      <c r="AM21" s="111">
        <v>91.358024691358025</v>
      </c>
      <c r="AN21" s="111">
        <v>91.463414634146346</v>
      </c>
      <c r="AO21" s="119">
        <v>177</v>
      </c>
    </row>
    <row r="22" spans="1:41" x14ac:dyDescent="0.25">
      <c r="A22" s="119" t="s">
        <v>8</v>
      </c>
      <c r="B22" s="111">
        <v>70.769230769230774</v>
      </c>
      <c r="C22" s="111">
        <v>71.6796875</v>
      </c>
      <c r="D22" s="111">
        <v>52.191235059760956</v>
      </c>
      <c r="E22" s="111">
        <v>11.974789915966387</v>
      </c>
      <c r="F22" s="111">
        <v>18.816067653276956</v>
      </c>
      <c r="G22" s="111">
        <v>39.714867617107942</v>
      </c>
      <c r="H22" s="111">
        <v>3.1512605042016806</v>
      </c>
      <c r="I22" s="111">
        <v>3.1185031185031185</v>
      </c>
      <c r="J22" s="111">
        <v>6.4989517819706499</v>
      </c>
      <c r="K22" s="111">
        <v>2.8985507246376812</v>
      </c>
      <c r="L22" s="111">
        <v>2.0790020790020791</v>
      </c>
      <c r="M22" s="111">
        <v>3.5196687370600412</v>
      </c>
      <c r="N22" s="111">
        <v>0.83682008368200833</v>
      </c>
      <c r="O22" s="111">
        <v>3.7735849056603774</v>
      </c>
      <c r="P22" s="111">
        <v>2.0920502092050208</v>
      </c>
      <c r="Q22" s="111">
        <v>3.5343035343035343</v>
      </c>
      <c r="R22" s="111">
        <v>1.2578616352201257</v>
      </c>
      <c r="S22" s="111">
        <v>6.485355648535565</v>
      </c>
      <c r="T22" s="111">
        <v>9.3023255813953494</v>
      </c>
      <c r="U22" s="111">
        <v>5.4852320675105481</v>
      </c>
      <c r="V22" s="111">
        <v>12.738853503184714</v>
      </c>
      <c r="W22" s="111">
        <v>7.249466950959488</v>
      </c>
      <c r="X22" s="111">
        <v>6.8376068376068373</v>
      </c>
      <c r="Y22" s="111">
        <v>9.3220338983050848</v>
      </c>
      <c r="Z22" s="111">
        <v>2.7659574468085109</v>
      </c>
      <c r="AA22" s="111">
        <v>4.4776119402985071</v>
      </c>
      <c r="AB22" s="111">
        <v>4.042553191489362</v>
      </c>
      <c r="AC22" s="111">
        <v>3.010752688172043</v>
      </c>
      <c r="AD22" s="111">
        <v>22.84569138276553</v>
      </c>
      <c r="AE22" s="111">
        <v>66.732673267326732</v>
      </c>
      <c r="AF22" s="111">
        <v>53.280318091451292</v>
      </c>
      <c r="AG22" s="111">
        <v>53.118712273641854</v>
      </c>
      <c r="AH22" s="111">
        <v>3.9337474120082816</v>
      </c>
      <c r="AI22" s="111">
        <v>6.6115702479338845</v>
      </c>
      <c r="AJ22" s="111">
        <v>2.6970954356846475</v>
      </c>
      <c r="AK22" s="111">
        <v>52.129817444219064</v>
      </c>
      <c r="AL22" s="111">
        <v>11.680327868852459</v>
      </c>
      <c r="AM22" s="111">
        <v>87.033398821218071</v>
      </c>
      <c r="AN22" s="111">
        <v>89.607843137254903</v>
      </c>
      <c r="AO22" s="119">
        <v>533</v>
      </c>
    </row>
    <row r="23" spans="1:41" x14ac:dyDescent="0.25">
      <c r="A23" s="119" t="s">
        <v>9</v>
      </c>
      <c r="B23" s="111">
        <v>71.875</v>
      </c>
      <c r="C23" s="111">
        <v>67.450980392156865</v>
      </c>
      <c r="D23" s="111">
        <v>55.294117647058826</v>
      </c>
      <c r="E23" s="111">
        <v>16.460905349794238</v>
      </c>
      <c r="F23" s="111">
        <v>23.673469387755102</v>
      </c>
      <c r="G23" s="111">
        <v>17.813765182186234</v>
      </c>
      <c r="H23" s="111">
        <v>3.2520325203252032</v>
      </c>
      <c r="I23" s="111">
        <v>4.8780487804878048</v>
      </c>
      <c r="J23" s="111">
        <v>2.8571428571428572</v>
      </c>
      <c r="K23" s="111">
        <v>0.40160642570281124</v>
      </c>
      <c r="L23" s="111">
        <v>0</v>
      </c>
      <c r="M23" s="111">
        <v>0.80971659919028338</v>
      </c>
      <c r="N23" s="111">
        <v>2.834008097165992</v>
      </c>
      <c r="O23" s="111">
        <v>6.0975609756097562</v>
      </c>
      <c r="P23" s="111">
        <v>2.0325203252032522</v>
      </c>
      <c r="Q23" s="111">
        <v>4.8582995951417001</v>
      </c>
      <c r="R23" s="111">
        <v>0.40485829959514169</v>
      </c>
      <c r="S23" s="111">
        <v>3.2520325203252032</v>
      </c>
      <c r="T23" s="111">
        <v>14.634146341463415</v>
      </c>
      <c r="U23" s="111">
        <v>8.1300813008130088</v>
      </c>
      <c r="V23" s="111">
        <v>20.242914979757085</v>
      </c>
      <c r="W23" s="111">
        <v>14.574898785425102</v>
      </c>
      <c r="X23" s="111">
        <v>5.668016194331984</v>
      </c>
      <c r="Y23" s="111">
        <v>1.6460905349794239</v>
      </c>
      <c r="Z23" s="111">
        <v>4.9382716049382713</v>
      </c>
      <c r="AA23" s="111">
        <v>3.6437246963562755</v>
      </c>
      <c r="AB23" s="111">
        <v>7.3469387755102042</v>
      </c>
      <c r="AC23" s="111">
        <v>7.3770491803278686</v>
      </c>
      <c r="AD23" s="111">
        <v>29.317269076305219</v>
      </c>
      <c r="AE23" s="111">
        <v>65.748031496062993</v>
      </c>
      <c r="AF23" s="111">
        <v>30.487804878048781</v>
      </c>
      <c r="AG23" s="111">
        <v>53.359683794466406</v>
      </c>
      <c r="AH23" s="111">
        <v>8.2644628099173545</v>
      </c>
      <c r="AI23" s="111">
        <v>6.557377049180328</v>
      </c>
      <c r="AJ23" s="111">
        <v>3.2653061224489797</v>
      </c>
      <c r="AK23" s="111">
        <v>58.775510204081634</v>
      </c>
      <c r="AL23" s="111">
        <v>19.834710743801654</v>
      </c>
      <c r="AM23" s="111">
        <v>84.8</v>
      </c>
      <c r="AN23" s="111">
        <v>93.495934959349597</v>
      </c>
      <c r="AO23" s="119">
        <v>262</v>
      </c>
    </row>
    <row r="24" spans="1:41" x14ac:dyDescent="0.25">
      <c r="A24" s="119" t="s">
        <v>54</v>
      </c>
      <c r="B24" s="111">
        <v>70.303030303030297</v>
      </c>
      <c r="C24" s="111">
        <v>62.820512820512818</v>
      </c>
      <c r="D24" s="111">
        <v>60.645161290322584</v>
      </c>
      <c r="E24" s="111">
        <v>14</v>
      </c>
      <c r="F24" s="111">
        <v>17.333333333333332</v>
      </c>
      <c r="G24" s="111">
        <v>22.929936305732483</v>
      </c>
      <c r="H24" s="111">
        <v>1.9607843137254901</v>
      </c>
      <c r="I24" s="111">
        <v>7.1428571428571432</v>
      </c>
      <c r="J24" s="111">
        <v>11.842105263157896</v>
      </c>
      <c r="K24" s="111">
        <v>3.9215686274509802</v>
      </c>
      <c r="L24" s="111">
        <v>0.66225165562913912</v>
      </c>
      <c r="M24" s="111">
        <v>2.6143790849673203</v>
      </c>
      <c r="N24" s="111">
        <v>1.9736842105263157</v>
      </c>
      <c r="O24" s="111">
        <v>5.2631578947368425</v>
      </c>
      <c r="P24" s="111">
        <v>1.9736842105263157</v>
      </c>
      <c r="Q24" s="111">
        <v>2.6315789473684212</v>
      </c>
      <c r="R24" s="111">
        <v>1.9736842105263157</v>
      </c>
      <c r="S24" s="111">
        <v>7.8431372549019605</v>
      </c>
      <c r="T24" s="111">
        <v>8.5526315789473681</v>
      </c>
      <c r="U24" s="111">
        <v>4.6357615894039732</v>
      </c>
      <c r="V24" s="111">
        <v>15.894039735099337</v>
      </c>
      <c r="W24" s="111">
        <v>13.157894736842104</v>
      </c>
      <c r="X24" s="111">
        <v>3.3112582781456954</v>
      </c>
      <c r="Y24" s="111">
        <v>5.298013245033113</v>
      </c>
      <c r="Z24" s="111">
        <v>2.6490066225165565</v>
      </c>
      <c r="AA24" s="111">
        <v>3.9735099337748343</v>
      </c>
      <c r="AB24" s="111">
        <v>3.9735099337748343</v>
      </c>
      <c r="AC24" s="111">
        <v>15.894039735099337</v>
      </c>
      <c r="AD24" s="111">
        <v>18.181818181818183</v>
      </c>
      <c r="AE24" s="111">
        <v>55.194805194805198</v>
      </c>
      <c r="AF24" s="111">
        <v>26.143790849673202</v>
      </c>
      <c r="AG24" s="111">
        <v>38.562091503267972</v>
      </c>
      <c r="AH24" s="111">
        <v>7.2847682119205297</v>
      </c>
      <c r="AI24" s="111">
        <v>10.884353741496598</v>
      </c>
      <c r="AJ24" s="111">
        <v>4.0816326530612246</v>
      </c>
      <c r="AK24" s="111">
        <v>34.899328859060404</v>
      </c>
      <c r="AL24" s="111">
        <v>23.333333333333332</v>
      </c>
      <c r="AM24" s="111">
        <v>91.139240506329116</v>
      </c>
      <c r="AN24" s="111">
        <v>91.558441558441558</v>
      </c>
      <c r="AO24" s="119">
        <v>168</v>
      </c>
    </row>
    <row r="25" spans="1:41" x14ac:dyDescent="0.25">
      <c r="A25" s="119" t="s">
        <v>71</v>
      </c>
      <c r="B25" s="111">
        <v>66.745843230403807</v>
      </c>
      <c r="C25" s="111">
        <v>67.082294264339154</v>
      </c>
      <c r="D25" s="111">
        <v>48.872180451127818</v>
      </c>
      <c r="E25" s="111">
        <v>9.4594594594594597</v>
      </c>
      <c r="F25" s="111">
        <v>17.914438502673796</v>
      </c>
      <c r="G25" s="111">
        <v>38.501291989664082</v>
      </c>
      <c r="H25" s="111">
        <v>4.2553191489361701</v>
      </c>
      <c r="I25" s="111">
        <v>3.9787798408488064</v>
      </c>
      <c r="J25" s="111">
        <v>6.9518716577540109</v>
      </c>
      <c r="K25" s="111">
        <v>2.8720626631853787</v>
      </c>
      <c r="L25" s="111">
        <v>1.5748031496062993</v>
      </c>
      <c r="M25" s="111">
        <v>3.133159268929504</v>
      </c>
      <c r="N25" s="111">
        <v>0.52631578947368418</v>
      </c>
      <c r="O25" s="111">
        <v>1.8469656992084433</v>
      </c>
      <c r="P25" s="111">
        <v>1.0526315789473684</v>
      </c>
      <c r="Q25" s="111">
        <v>3.1578947368421053</v>
      </c>
      <c r="R25" s="111">
        <v>1.0526315789473684</v>
      </c>
      <c r="S25" s="111">
        <v>2.6455026455026456</v>
      </c>
      <c r="T25" s="111">
        <v>6.182795698924731</v>
      </c>
      <c r="U25" s="111">
        <v>4.5576407506702417</v>
      </c>
      <c r="V25" s="111">
        <v>11.924119241192411</v>
      </c>
      <c r="W25" s="111">
        <v>6.989247311827957</v>
      </c>
      <c r="X25" s="111">
        <v>7.258064516129032</v>
      </c>
      <c r="Y25" s="111">
        <v>10.75268817204301</v>
      </c>
      <c r="Z25" s="111">
        <v>2.9729729729729728</v>
      </c>
      <c r="AA25" s="111">
        <v>5.1212938005390836</v>
      </c>
      <c r="AB25" s="111">
        <v>4.0431266846361185</v>
      </c>
      <c r="AC25" s="111">
        <v>4.395604395604396</v>
      </c>
      <c r="AD25" s="111">
        <v>27.10997442455243</v>
      </c>
      <c r="AE25" s="111">
        <v>67.647058823529406</v>
      </c>
      <c r="AF25" s="111">
        <v>55.102040816326529</v>
      </c>
      <c r="AG25" s="111">
        <v>51.262626262626263</v>
      </c>
      <c r="AH25" s="111">
        <v>4.6997389033942563</v>
      </c>
      <c r="AI25" s="111">
        <v>5.7591623036649215</v>
      </c>
      <c r="AJ25" s="111">
        <v>3.1496062992125986</v>
      </c>
      <c r="AK25" s="111">
        <v>37.662337662337663</v>
      </c>
      <c r="AL25" s="111">
        <v>15.223097112860893</v>
      </c>
      <c r="AM25" s="111">
        <v>84.878048780487802</v>
      </c>
      <c r="AN25" s="111">
        <v>89.950980392156865</v>
      </c>
      <c r="AO25" s="119">
        <v>437</v>
      </c>
    </row>
    <row r="26" spans="1:41" x14ac:dyDescent="0.25">
      <c r="A26" s="119" t="s">
        <v>10</v>
      </c>
      <c r="B26" s="111">
        <v>72.558139534883722</v>
      </c>
      <c r="C26" s="111">
        <v>73.205741626794264</v>
      </c>
      <c r="D26" s="111">
        <v>45.226130653266331</v>
      </c>
      <c r="E26" s="111">
        <v>17.277486910994764</v>
      </c>
      <c r="F26" s="111">
        <v>25.396825396825395</v>
      </c>
      <c r="G26" s="111">
        <v>34.848484848484851</v>
      </c>
      <c r="H26" s="111">
        <v>6.7010309278350517</v>
      </c>
      <c r="I26" s="111">
        <v>6.770833333333333</v>
      </c>
      <c r="J26" s="111">
        <v>1.5789473684210527</v>
      </c>
      <c r="K26" s="111">
        <v>4.1025641025641022</v>
      </c>
      <c r="L26" s="111">
        <v>4.615384615384615</v>
      </c>
      <c r="M26" s="111">
        <v>4.591836734693878</v>
      </c>
      <c r="N26" s="111">
        <v>0.52356020942408377</v>
      </c>
      <c r="O26" s="111">
        <v>6.8062827225130889</v>
      </c>
      <c r="P26" s="111">
        <v>1.0526315789473684</v>
      </c>
      <c r="Q26" s="111">
        <v>3.1088082901554404</v>
      </c>
      <c r="R26" s="111">
        <v>1.0416666666666667</v>
      </c>
      <c r="S26" s="111">
        <v>1.0471204188481675</v>
      </c>
      <c r="T26" s="111">
        <v>14.285714285714286</v>
      </c>
      <c r="U26" s="111">
        <v>9.5744680851063837</v>
      </c>
      <c r="V26" s="111">
        <v>22.105263157894736</v>
      </c>
      <c r="W26" s="111">
        <v>10.526315789473685</v>
      </c>
      <c r="X26" s="111">
        <v>5.8201058201058204</v>
      </c>
      <c r="Y26" s="111">
        <v>5.2631578947368425</v>
      </c>
      <c r="Z26" s="111">
        <v>2.6595744680851063</v>
      </c>
      <c r="AA26" s="111">
        <v>5.8201058201058204</v>
      </c>
      <c r="AB26" s="111">
        <v>5.2910052910052912</v>
      </c>
      <c r="AC26" s="111">
        <v>12.299465240641711</v>
      </c>
      <c r="AD26" s="111">
        <v>39.303482587064678</v>
      </c>
      <c r="AE26" s="111">
        <v>62.311557788944725</v>
      </c>
      <c r="AF26" s="111">
        <v>27</v>
      </c>
      <c r="AG26" s="111">
        <v>31.313131313131311</v>
      </c>
      <c r="AH26" s="111">
        <v>6.2176165803108807</v>
      </c>
      <c r="AI26" s="111">
        <v>1.5625</v>
      </c>
      <c r="AJ26" s="111">
        <v>4.1884816753926701</v>
      </c>
      <c r="AK26" s="111">
        <v>9.8445595854922274</v>
      </c>
      <c r="AL26" s="111">
        <v>18.32460732984293</v>
      </c>
      <c r="AM26" s="111">
        <v>87.5</v>
      </c>
      <c r="AN26" s="111">
        <v>89.85507246376811</v>
      </c>
      <c r="AO26" s="119">
        <v>219</v>
      </c>
    </row>
    <row r="27" spans="1:41" x14ac:dyDescent="0.25">
      <c r="A27" s="119" t="s">
        <v>56</v>
      </c>
      <c r="B27" s="111">
        <v>79.651162790697668</v>
      </c>
      <c r="C27" s="111">
        <v>80.813953488372093</v>
      </c>
      <c r="D27" s="111">
        <v>66.081871345029242</v>
      </c>
      <c r="E27" s="111">
        <v>19.753086419753085</v>
      </c>
      <c r="F27" s="111">
        <v>20.987654320987655</v>
      </c>
      <c r="G27" s="111">
        <v>19.760479041916167</v>
      </c>
      <c r="H27" s="111">
        <v>7.8787878787878789</v>
      </c>
      <c r="I27" s="111">
        <v>11.445783132530121</v>
      </c>
      <c r="J27" s="111">
        <v>9.6969696969696972</v>
      </c>
      <c r="K27" s="111">
        <v>6.024096385542169</v>
      </c>
      <c r="L27" s="111">
        <v>2.4691358024691357</v>
      </c>
      <c r="M27" s="111">
        <v>6.6265060240963853</v>
      </c>
      <c r="N27" s="111">
        <v>0</v>
      </c>
      <c r="O27" s="111">
        <v>5.4878048780487809</v>
      </c>
      <c r="P27" s="111">
        <v>1.2121212121212122</v>
      </c>
      <c r="Q27" s="111">
        <v>1.8292682926829269</v>
      </c>
      <c r="R27" s="111">
        <v>0.60606060606060608</v>
      </c>
      <c r="S27" s="111">
        <v>4.2424242424242422</v>
      </c>
      <c r="T27" s="111">
        <v>12.121212121212121</v>
      </c>
      <c r="U27" s="111">
        <v>10.303030303030303</v>
      </c>
      <c r="V27" s="111">
        <v>17.073170731707318</v>
      </c>
      <c r="W27" s="111">
        <v>10.303030303030303</v>
      </c>
      <c r="X27" s="111">
        <v>9.0909090909090917</v>
      </c>
      <c r="Y27" s="111">
        <v>15.151515151515152</v>
      </c>
      <c r="Z27" s="111">
        <v>3.0487804878048781</v>
      </c>
      <c r="AA27" s="111">
        <v>6.7073170731707314</v>
      </c>
      <c r="AB27" s="111">
        <v>3.6809815950920246</v>
      </c>
      <c r="AC27" s="111">
        <v>7.3619631901840492</v>
      </c>
      <c r="AD27" s="111">
        <v>40.718562874251496</v>
      </c>
      <c r="AE27" s="111">
        <v>69.186046511627907</v>
      </c>
      <c r="AF27" s="111">
        <v>36.30952380952381</v>
      </c>
      <c r="AG27" s="111">
        <v>68.452380952380949</v>
      </c>
      <c r="AH27" s="111">
        <v>8.4848484848484844</v>
      </c>
      <c r="AI27" s="111">
        <v>6.6265060240963853</v>
      </c>
      <c r="AJ27" s="111">
        <v>3.5928143712574849</v>
      </c>
      <c r="AK27" s="111">
        <v>13.855421686746988</v>
      </c>
      <c r="AL27" s="111">
        <v>21.08433734939759</v>
      </c>
      <c r="AM27" s="111">
        <v>87.719298245614041</v>
      </c>
      <c r="AN27" s="111">
        <v>88.304093567251456</v>
      </c>
      <c r="AO27" s="119">
        <v>179</v>
      </c>
    </row>
    <row r="28" spans="1:41" x14ac:dyDescent="0.25">
      <c r="A28" s="119" t="s">
        <v>11</v>
      </c>
      <c r="B28" s="111">
        <v>63.68</v>
      </c>
      <c r="C28" s="111">
        <v>64.390243902439025</v>
      </c>
      <c r="D28" s="111">
        <v>49.835526315789473</v>
      </c>
      <c r="E28" s="111">
        <v>12.207357859531772</v>
      </c>
      <c r="F28" s="111">
        <v>15.939597315436242</v>
      </c>
      <c r="G28" s="111">
        <v>33.278418451400327</v>
      </c>
      <c r="H28" s="111">
        <v>4.026845637583893</v>
      </c>
      <c r="I28" s="111">
        <v>4.1876046901172526</v>
      </c>
      <c r="J28" s="111">
        <v>5.0167224080267561</v>
      </c>
      <c r="K28" s="111">
        <v>2.1452145214521452</v>
      </c>
      <c r="L28" s="111">
        <v>1.1627906976744187</v>
      </c>
      <c r="M28" s="111">
        <v>3.1456953642384105</v>
      </c>
      <c r="N28" s="111">
        <v>0.99502487562189057</v>
      </c>
      <c r="O28" s="111">
        <v>1.9867549668874172</v>
      </c>
      <c r="P28" s="111">
        <v>1.9933554817275747</v>
      </c>
      <c r="Q28" s="111">
        <v>3.3167495854063018</v>
      </c>
      <c r="R28" s="111">
        <v>0.16722408026755853</v>
      </c>
      <c r="S28" s="111">
        <v>5.4908485856905154</v>
      </c>
      <c r="T28" s="111">
        <v>10.720268006700168</v>
      </c>
      <c r="U28" s="111">
        <v>7.3578595317725757</v>
      </c>
      <c r="V28" s="111">
        <v>11.129848229342327</v>
      </c>
      <c r="W28" s="111">
        <v>8.6294416243654819</v>
      </c>
      <c r="X28" s="111">
        <v>7.9796264855687609</v>
      </c>
      <c r="Y28" s="111">
        <v>7.9124579124579126</v>
      </c>
      <c r="Z28" s="111">
        <v>1.8487394957983194</v>
      </c>
      <c r="AA28" s="111">
        <v>4.5608108108108105</v>
      </c>
      <c r="AB28" s="111">
        <v>2.7027027027027026</v>
      </c>
      <c r="AC28" s="111">
        <v>2.030456852791878</v>
      </c>
      <c r="AD28" s="111">
        <v>17.733990147783253</v>
      </c>
      <c r="AE28" s="111">
        <v>72.859450726978991</v>
      </c>
      <c r="AF28" s="111">
        <v>55.721393034825873</v>
      </c>
      <c r="AG28" s="111">
        <v>57.980456026058633</v>
      </c>
      <c r="AH28" s="111">
        <v>4.2016806722689077</v>
      </c>
      <c r="AI28" s="111">
        <v>5.8724832214765099</v>
      </c>
      <c r="AJ28" s="111">
        <v>2.6936026936026938</v>
      </c>
      <c r="AK28" s="111">
        <v>66.33499170812604</v>
      </c>
      <c r="AL28" s="111">
        <v>12.227805695142379</v>
      </c>
      <c r="AM28" s="111">
        <v>80.952380952380949</v>
      </c>
      <c r="AN28" s="111">
        <v>88.177339901477836</v>
      </c>
      <c r="AO28" s="119">
        <v>639</v>
      </c>
    </row>
    <row r="29" spans="1:41" x14ac:dyDescent="0.25">
      <c r="A29" s="119" t="s">
        <v>58</v>
      </c>
      <c r="B29" s="111">
        <v>70.909090909090907</v>
      </c>
      <c r="C29" s="111">
        <v>78.378378378378372</v>
      </c>
      <c r="D29" s="111">
        <v>63.20754716981132</v>
      </c>
      <c r="E29" s="111">
        <v>16.50485436893204</v>
      </c>
      <c r="F29" s="111">
        <v>12.621359223300971</v>
      </c>
      <c r="G29" s="111">
        <v>31.428571428571427</v>
      </c>
      <c r="H29" s="111">
        <v>5.6603773584905657</v>
      </c>
      <c r="I29" s="111">
        <v>2.8571428571428572</v>
      </c>
      <c r="J29" s="111">
        <v>6.666666666666667</v>
      </c>
      <c r="K29" s="111">
        <v>1.9230769230769231</v>
      </c>
      <c r="L29" s="111">
        <v>1.9230769230769231</v>
      </c>
      <c r="M29" s="111">
        <v>1.941747572815534</v>
      </c>
      <c r="N29" s="111">
        <v>0.970873786407767</v>
      </c>
      <c r="O29" s="111">
        <v>6.7961165048543686</v>
      </c>
      <c r="P29" s="111">
        <v>2.912621359223301</v>
      </c>
      <c r="Q29" s="111">
        <v>4.7619047619047619</v>
      </c>
      <c r="R29" s="111">
        <v>0</v>
      </c>
      <c r="S29" s="111">
        <v>2.8301886792452828</v>
      </c>
      <c r="T29" s="111">
        <v>9.615384615384615</v>
      </c>
      <c r="U29" s="111">
        <v>4.8543689320388346</v>
      </c>
      <c r="V29" s="111">
        <v>8.8235294117647065</v>
      </c>
      <c r="W29" s="111">
        <v>5.882352941176471</v>
      </c>
      <c r="X29" s="111">
        <v>3.883495145631068</v>
      </c>
      <c r="Y29" s="111">
        <v>3.883495145631068</v>
      </c>
      <c r="Z29" s="111">
        <v>0.970873786407767</v>
      </c>
      <c r="AA29" s="111">
        <v>3.883495145631068</v>
      </c>
      <c r="AB29" s="111">
        <v>6.7961165048543686</v>
      </c>
      <c r="AC29" s="111">
        <v>6.7961165048543686</v>
      </c>
      <c r="AD29" s="111">
        <v>41.509433962264154</v>
      </c>
      <c r="AE29" s="111">
        <v>66.666666666666671</v>
      </c>
      <c r="AF29" s="111">
        <v>31.73076923076923</v>
      </c>
      <c r="AG29" s="111">
        <v>34.615384615384613</v>
      </c>
      <c r="AH29" s="111">
        <v>4.9504950495049505</v>
      </c>
      <c r="AI29" s="111">
        <v>10.679611650485437</v>
      </c>
      <c r="AJ29" s="111">
        <v>1.9607843137254901</v>
      </c>
      <c r="AK29" s="111">
        <v>19.607843137254903</v>
      </c>
      <c r="AL29" s="111">
        <v>12.745098039215685</v>
      </c>
      <c r="AM29" s="111">
        <v>80.373831775700936</v>
      </c>
      <c r="AN29" s="111">
        <v>83.65384615384616</v>
      </c>
      <c r="AO29" s="119">
        <v>114</v>
      </c>
    </row>
    <row r="30" spans="1:41" x14ac:dyDescent="0.25">
      <c r="A30" s="119" t="s">
        <v>59</v>
      </c>
      <c r="B30" s="111">
        <v>88.489208633093526</v>
      </c>
      <c r="C30" s="111">
        <v>73.484848484848484</v>
      </c>
      <c r="D30" s="111">
        <v>55.639097744360903</v>
      </c>
      <c r="E30" s="111">
        <v>9.67741935483871</v>
      </c>
      <c r="F30" s="111">
        <v>11.290322580645162</v>
      </c>
      <c r="G30" s="111">
        <v>25.396825396825395</v>
      </c>
      <c r="H30" s="111">
        <v>4.8</v>
      </c>
      <c r="I30" s="111">
        <v>17.460317460317459</v>
      </c>
      <c r="J30" s="111">
        <v>4.8</v>
      </c>
      <c r="K30" s="111">
        <v>2.3076923076923075</v>
      </c>
      <c r="L30" s="111">
        <v>1.5503875968992249</v>
      </c>
      <c r="M30" s="111">
        <v>4.6875</v>
      </c>
      <c r="N30" s="111">
        <v>0.77519379844961245</v>
      </c>
      <c r="O30" s="111">
        <v>3.8759689922480618</v>
      </c>
      <c r="P30" s="111">
        <v>0</v>
      </c>
      <c r="Q30" s="111">
        <v>4.7244094488188972</v>
      </c>
      <c r="R30" s="111">
        <v>0</v>
      </c>
      <c r="S30" s="111">
        <v>2.34375</v>
      </c>
      <c r="T30" s="111">
        <v>10.317460317460318</v>
      </c>
      <c r="U30" s="111">
        <v>3.9370078740157481</v>
      </c>
      <c r="V30" s="111">
        <v>11.111111111111111</v>
      </c>
      <c r="W30" s="111">
        <v>7.8740157480314963</v>
      </c>
      <c r="X30" s="111">
        <v>4.838709677419355</v>
      </c>
      <c r="Y30" s="111">
        <v>3.9370078740157481</v>
      </c>
      <c r="Z30" s="111">
        <v>1.6</v>
      </c>
      <c r="AA30" s="111">
        <v>2.4390243902439024</v>
      </c>
      <c r="AB30" s="111">
        <v>4.0650406504065044</v>
      </c>
      <c r="AC30" s="111">
        <v>6.4516129032258061</v>
      </c>
      <c r="AD30" s="111">
        <v>25</v>
      </c>
      <c r="AE30" s="111">
        <v>60.902255639097746</v>
      </c>
      <c r="AF30" s="111">
        <v>37.209302325581397</v>
      </c>
      <c r="AG30" s="111">
        <v>39.393939393939391</v>
      </c>
      <c r="AH30" s="111">
        <v>5.645161290322581</v>
      </c>
      <c r="AI30" s="111">
        <v>4.7619047619047619</v>
      </c>
      <c r="AJ30" s="111">
        <v>4</v>
      </c>
      <c r="AK30" s="111">
        <v>17.1875</v>
      </c>
      <c r="AL30" s="111">
        <v>18.110236220472441</v>
      </c>
      <c r="AM30" s="111">
        <v>83.703703703703709</v>
      </c>
      <c r="AN30" s="111">
        <v>85.074626865671647</v>
      </c>
      <c r="AO30" s="119">
        <v>143</v>
      </c>
    </row>
    <row r="31" spans="1:41" x14ac:dyDescent="0.25">
      <c r="A31" s="119" t="s">
        <v>60</v>
      </c>
      <c r="B31" s="111">
        <v>86.619718309859152</v>
      </c>
      <c r="C31" s="111">
        <v>79.856115107913666</v>
      </c>
      <c r="D31" s="111">
        <v>65.18518518518519</v>
      </c>
      <c r="E31" s="111">
        <v>14.17910447761194</v>
      </c>
      <c r="F31" s="111">
        <v>20.895522388059703</v>
      </c>
      <c r="G31" s="111">
        <v>20.149253731343283</v>
      </c>
      <c r="H31" s="111">
        <v>6.2015503875968996</v>
      </c>
      <c r="I31" s="111">
        <v>3.7878787878787881</v>
      </c>
      <c r="J31" s="111">
        <v>3.7593984962406015</v>
      </c>
      <c r="K31" s="111">
        <v>2.9850746268656718</v>
      </c>
      <c r="L31" s="111">
        <v>1.4925373134328359</v>
      </c>
      <c r="M31" s="111">
        <v>2.255639097744361</v>
      </c>
      <c r="N31" s="111">
        <v>0</v>
      </c>
      <c r="O31" s="111">
        <v>2.9850746268656718</v>
      </c>
      <c r="P31" s="111">
        <v>3.7313432835820897</v>
      </c>
      <c r="Q31" s="111">
        <v>2.2388059701492535</v>
      </c>
      <c r="R31" s="111">
        <v>0</v>
      </c>
      <c r="S31" s="111">
        <v>4.4776119402985071</v>
      </c>
      <c r="T31" s="111">
        <v>11.278195488721805</v>
      </c>
      <c r="U31" s="111">
        <v>8.2706766917293226</v>
      </c>
      <c r="V31" s="111">
        <v>18.939393939393938</v>
      </c>
      <c r="W31" s="111">
        <v>13.636363636363637</v>
      </c>
      <c r="X31" s="111">
        <v>7.5757575757575761</v>
      </c>
      <c r="Y31" s="111">
        <v>3.7878787878787881</v>
      </c>
      <c r="Z31" s="111">
        <v>5.343511450381679</v>
      </c>
      <c r="AA31" s="111">
        <v>9.1603053435114496</v>
      </c>
      <c r="AB31" s="111">
        <v>10.077519379844961</v>
      </c>
      <c r="AC31" s="111">
        <v>16.03053435114504</v>
      </c>
      <c r="AD31" s="111">
        <v>28.057553956834532</v>
      </c>
      <c r="AE31" s="111">
        <v>55.79710144927536</v>
      </c>
      <c r="AF31" s="111">
        <v>51.470588235294116</v>
      </c>
      <c r="AG31" s="111">
        <v>53.333333333333336</v>
      </c>
      <c r="AH31" s="111">
        <v>11.194029850746269</v>
      </c>
      <c r="AI31" s="111">
        <v>7.2992700729927007</v>
      </c>
      <c r="AJ31" s="111">
        <v>6.666666666666667</v>
      </c>
      <c r="AK31" s="111">
        <v>32.352941176470587</v>
      </c>
      <c r="AL31" s="111">
        <v>27.819548872180452</v>
      </c>
      <c r="AM31" s="111">
        <v>85.507246376811594</v>
      </c>
      <c r="AN31" s="111">
        <v>84.558823529411768</v>
      </c>
      <c r="AO31" s="119">
        <v>144</v>
      </c>
    </row>
    <row r="32" spans="1:41" x14ac:dyDescent="0.25">
      <c r="A32" s="119" t="s">
        <v>12</v>
      </c>
      <c r="B32" s="111">
        <v>75.939849624060145</v>
      </c>
      <c r="C32" s="111">
        <v>72.65625</v>
      </c>
      <c r="D32" s="111">
        <v>52.459016393442624</v>
      </c>
      <c r="E32" s="111">
        <v>10.434782608695652</v>
      </c>
      <c r="F32" s="111">
        <v>17.241379310344829</v>
      </c>
      <c r="G32" s="111">
        <v>23.529411764705884</v>
      </c>
      <c r="H32" s="111">
        <v>3.4188034188034186</v>
      </c>
      <c r="I32" s="111">
        <v>8.4033613445378155</v>
      </c>
      <c r="J32" s="111">
        <v>5.1724137931034484</v>
      </c>
      <c r="K32" s="111">
        <v>3.225806451612903</v>
      </c>
      <c r="L32" s="111">
        <v>1.680672268907563</v>
      </c>
      <c r="M32" s="111">
        <v>2.4793388429752068</v>
      </c>
      <c r="N32" s="111">
        <v>0.84745762711864403</v>
      </c>
      <c r="O32" s="111">
        <v>4.2735042735042734</v>
      </c>
      <c r="P32" s="111">
        <v>1.7094017094017093</v>
      </c>
      <c r="Q32" s="111">
        <v>4.2016806722689077</v>
      </c>
      <c r="R32" s="111">
        <v>1.7241379310344827</v>
      </c>
      <c r="S32" s="111">
        <v>4.2016806722689077</v>
      </c>
      <c r="T32" s="111">
        <v>5.982905982905983</v>
      </c>
      <c r="U32" s="111">
        <v>6.0344827586206895</v>
      </c>
      <c r="V32" s="111">
        <v>15.384615384615385</v>
      </c>
      <c r="W32" s="111">
        <v>12.068965517241379</v>
      </c>
      <c r="X32" s="111">
        <v>7.6923076923076925</v>
      </c>
      <c r="Y32" s="111">
        <v>5.1282051282051286</v>
      </c>
      <c r="Z32" s="111">
        <v>1.7241379310344827</v>
      </c>
      <c r="AA32" s="111">
        <v>0.8771929824561403</v>
      </c>
      <c r="AB32" s="111">
        <v>3.4188034188034186</v>
      </c>
      <c r="AC32" s="111">
        <v>14.655172413793103</v>
      </c>
      <c r="AD32" s="111">
        <v>28.925619834710744</v>
      </c>
      <c r="AE32" s="111">
        <v>54.918032786885249</v>
      </c>
      <c r="AF32" s="111">
        <v>31.092436974789916</v>
      </c>
      <c r="AG32" s="111">
        <v>38.983050847457626</v>
      </c>
      <c r="AH32" s="111">
        <v>10.92436974789916</v>
      </c>
      <c r="AI32" s="111">
        <v>7.6271186440677967</v>
      </c>
      <c r="AJ32" s="111">
        <v>0.86206896551724133</v>
      </c>
      <c r="AK32" s="111">
        <v>17.948717948717949</v>
      </c>
      <c r="AL32" s="111">
        <v>22.222222222222221</v>
      </c>
      <c r="AM32" s="111">
        <v>85.950413223140501</v>
      </c>
      <c r="AN32" s="111">
        <v>87.394957983193279</v>
      </c>
      <c r="AO32" s="119">
        <v>135</v>
      </c>
    </row>
    <row r="33" spans="1:41" x14ac:dyDescent="0.25">
      <c r="A33" s="119" t="s">
        <v>61</v>
      </c>
      <c r="B33" s="111">
        <v>68.979591836734699</v>
      </c>
      <c r="C33" s="111">
        <v>59.915611814345993</v>
      </c>
      <c r="D33" s="111">
        <v>54.273504273504273</v>
      </c>
      <c r="E33" s="111">
        <v>9.8654708520179373</v>
      </c>
      <c r="F33" s="111">
        <v>16.071428571428573</v>
      </c>
      <c r="G33" s="111">
        <v>14.601769911504425</v>
      </c>
      <c r="H33" s="111">
        <v>4</v>
      </c>
      <c r="I33" s="111">
        <v>3.0973451327433628</v>
      </c>
      <c r="J33" s="111">
        <v>6.666666666666667</v>
      </c>
      <c r="K33" s="111">
        <v>1.3215859030837005</v>
      </c>
      <c r="L33" s="111">
        <v>0.88495575221238942</v>
      </c>
      <c r="M33" s="111">
        <v>1.3215859030837005</v>
      </c>
      <c r="N33" s="111">
        <v>0.88888888888888884</v>
      </c>
      <c r="O33" s="111">
        <v>3.0837004405286343</v>
      </c>
      <c r="P33" s="111">
        <v>1.3215859030837005</v>
      </c>
      <c r="Q33" s="111">
        <v>3.5398230088495577</v>
      </c>
      <c r="R33" s="111">
        <v>0.44247787610619471</v>
      </c>
      <c r="S33" s="111">
        <v>2.643171806167401</v>
      </c>
      <c r="T33" s="111">
        <v>8.4821428571428577</v>
      </c>
      <c r="U33" s="111">
        <v>7.2398190045248869</v>
      </c>
      <c r="V33" s="111">
        <v>14.864864864864865</v>
      </c>
      <c r="W33" s="111">
        <v>11.261261261261261</v>
      </c>
      <c r="X33" s="111">
        <v>5.8558558558558556</v>
      </c>
      <c r="Y33" s="111">
        <v>4.0178571428571432</v>
      </c>
      <c r="Z33" s="111">
        <v>3.5874439461883409</v>
      </c>
      <c r="AA33" s="111">
        <v>3.6036036036036037</v>
      </c>
      <c r="AB33" s="111">
        <v>3.5874439461883409</v>
      </c>
      <c r="AC33" s="111">
        <v>3.6199095022624435</v>
      </c>
      <c r="AD33" s="111">
        <v>22.368421052631579</v>
      </c>
      <c r="AE33" s="111">
        <v>72.457627118644069</v>
      </c>
      <c r="AF33" s="111">
        <v>23.245614035087719</v>
      </c>
      <c r="AG33" s="111">
        <v>46.288209606986896</v>
      </c>
      <c r="AH33" s="111">
        <v>2.6905829596412558</v>
      </c>
      <c r="AI33" s="111">
        <v>4.4247787610619467</v>
      </c>
      <c r="AJ33" s="111">
        <v>5.3811659192825116</v>
      </c>
      <c r="AK33" s="111">
        <v>65.367965367965368</v>
      </c>
      <c r="AL33" s="111">
        <v>13.636363636363637</v>
      </c>
      <c r="AM33" s="111">
        <v>87.234042553191486</v>
      </c>
      <c r="AN33" s="111">
        <v>90.212765957446805</v>
      </c>
      <c r="AO33" s="119">
        <v>248</v>
      </c>
    </row>
    <row r="34" spans="1:41" x14ac:dyDescent="0.25">
      <c r="A34" s="119" t="s">
        <v>62</v>
      </c>
      <c r="B34" s="111">
        <v>84.070796460176993</v>
      </c>
      <c r="C34" s="111">
        <v>72.89719626168224</v>
      </c>
      <c r="D34" s="111">
        <v>64.15094339622641</v>
      </c>
      <c r="E34" s="111">
        <v>13.402061855670103</v>
      </c>
      <c r="F34" s="111">
        <v>16.666666666666668</v>
      </c>
      <c r="G34" s="111">
        <v>15.463917525773196</v>
      </c>
      <c r="H34" s="111">
        <v>8.2474226804123703</v>
      </c>
      <c r="I34" s="111">
        <v>4.1237113402061851</v>
      </c>
      <c r="J34" s="111">
        <v>12.371134020618557</v>
      </c>
      <c r="K34" s="111">
        <v>1.0309278350515463</v>
      </c>
      <c r="L34" s="111">
        <v>2.0408163265306123</v>
      </c>
      <c r="M34" s="111">
        <v>3.0612244897959182</v>
      </c>
      <c r="N34" s="111">
        <v>0</v>
      </c>
      <c r="O34" s="111">
        <v>6.25</v>
      </c>
      <c r="P34" s="111">
        <v>3.125</v>
      </c>
      <c r="Q34" s="111">
        <v>3.1578947368421053</v>
      </c>
      <c r="R34" s="111">
        <v>0</v>
      </c>
      <c r="S34" s="111">
        <v>2.1276595744680851</v>
      </c>
      <c r="T34" s="111">
        <v>10.416666666666666</v>
      </c>
      <c r="U34" s="111">
        <v>6.3157894736842106</v>
      </c>
      <c r="V34" s="111">
        <v>17.021276595744681</v>
      </c>
      <c r="W34" s="111">
        <v>10.75268817204301</v>
      </c>
      <c r="X34" s="111">
        <v>10.638297872340425</v>
      </c>
      <c r="Y34" s="111">
        <v>6.3829787234042552</v>
      </c>
      <c r="Z34" s="111">
        <v>7.5268817204301079</v>
      </c>
      <c r="AA34" s="111">
        <v>4.301075268817204</v>
      </c>
      <c r="AB34" s="111">
        <v>2.1276595744680851</v>
      </c>
      <c r="AC34" s="111">
        <v>17.894736842105264</v>
      </c>
      <c r="AD34" s="111">
        <v>40.196078431372548</v>
      </c>
      <c r="AE34" s="111">
        <v>65.420560747663558</v>
      </c>
      <c r="AF34" s="111">
        <v>50</v>
      </c>
      <c r="AG34" s="111">
        <v>59.047619047619051</v>
      </c>
      <c r="AH34" s="111">
        <v>14.43298969072165</v>
      </c>
      <c r="AI34" s="111">
        <v>13</v>
      </c>
      <c r="AJ34" s="111">
        <v>4.0404040404040407</v>
      </c>
      <c r="AK34" s="111">
        <v>20.388349514563107</v>
      </c>
      <c r="AL34" s="111">
        <v>31.683168316831683</v>
      </c>
      <c r="AM34" s="111">
        <v>90</v>
      </c>
      <c r="AN34" s="111">
        <v>89.622641509433961</v>
      </c>
      <c r="AO34" s="119">
        <v>115</v>
      </c>
    </row>
    <row r="35" spans="1:41" x14ac:dyDescent="0.25">
      <c r="A35" s="119" t="s">
        <v>23</v>
      </c>
      <c r="B35" s="111">
        <v>67.062314540059347</v>
      </c>
      <c r="C35" s="111">
        <v>58.409785932721711</v>
      </c>
      <c r="D35" s="111">
        <v>58.358662613981764</v>
      </c>
      <c r="E35" s="111">
        <v>10.927152317880795</v>
      </c>
      <c r="F35" s="111">
        <v>16.279069767441861</v>
      </c>
      <c r="G35" s="111">
        <v>39.616613418530349</v>
      </c>
      <c r="H35" s="111">
        <v>4.6052631578947372</v>
      </c>
      <c r="I35" s="111">
        <v>2.9411764705882355</v>
      </c>
      <c r="J35" s="111">
        <v>9.5081967213114762</v>
      </c>
      <c r="K35" s="111">
        <v>1.607717041800643</v>
      </c>
      <c r="L35" s="111">
        <v>1.6025641025641026</v>
      </c>
      <c r="M35" s="111">
        <v>3.8461538461538463</v>
      </c>
      <c r="N35" s="111">
        <v>0.32258064516129031</v>
      </c>
      <c r="O35" s="111">
        <v>1.935483870967742</v>
      </c>
      <c r="P35" s="111">
        <v>0.967741935483871</v>
      </c>
      <c r="Q35" s="111">
        <v>2.5806451612903225</v>
      </c>
      <c r="R35" s="111">
        <v>0</v>
      </c>
      <c r="S35" s="111">
        <v>4.838709677419355</v>
      </c>
      <c r="T35" s="111">
        <v>9.477124183006536</v>
      </c>
      <c r="U35" s="111">
        <v>7.4918566775244297</v>
      </c>
      <c r="V35" s="111">
        <v>13.770491803278688</v>
      </c>
      <c r="W35" s="111">
        <v>11.400651465798045</v>
      </c>
      <c r="X35" s="111">
        <v>6.5789473684210522</v>
      </c>
      <c r="Y35" s="111">
        <v>8.7662337662337659</v>
      </c>
      <c r="Z35" s="111">
        <v>1.3245033112582782</v>
      </c>
      <c r="AA35" s="111">
        <v>3.654485049833887</v>
      </c>
      <c r="AB35" s="111">
        <v>4.3046357615894042</v>
      </c>
      <c r="AC35" s="111">
        <v>8.8815789473684212</v>
      </c>
      <c r="AD35" s="111">
        <v>32.608695652173914</v>
      </c>
      <c r="AE35" s="111">
        <v>57.975460122699388</v>
      </c>
      <c r="AF35" s="111">
        <v>38.064516129032256</v>
      </c>
      <c r="AG35" s="111">
        <v>36.858974358974358</v>
      </c>
      <c r="AH35" s="111">
        <v>8.2508250825082516</v>
      </c>
      <c r="AI35" s="111">
        <v>3.3333333333333335</v>
      </c>
      <c r="AJ35" s="111">
        <v>3.0100334448160537</v>
      </c>
      <c r="AK35" s="111">
        <v>32.247557003257327</v>
      </c>
      <c r="AL35" s="111">
        <v>17.549668874172184</v>
      </c>
      <c r="AM35" s="111">
        <v>82.769230769230774</v>
      </c>
      <c r="AN35" s="111">
        <v>86.544342507645254</v>
      </c>
      <c r="AO35" s="119">
        <v>348</v>
      </c>
    </row>
    <row r="36" spans="1:41" x14ac:dyDescent="0.25">
      <c r="A36" s="119" t="s">
        <v>13</v>
      </c>
      <c r="B36" s="111">
        <v>77.799607072691558</v>
      </c>
      <c r="C36" s="111">
        <v>68.115942028985501</v>
      </c>
      <c r="D36" s="111">
        <v>55.942622950819676</v>
      </c>
      <c r="E36" s="111">
        <v>10.503282275711159</v>
      </c>
      <c r="F36" s="111">
        <v>14.442013129102845</v>
      </c>
      <c r="G36" s="111">
        <v>31.210191082802549</v>
      </c>
      <c r="H36" s="111">
        <v>6.7099567099567103</v>
      </c>
      <c r="I36" s="111">
        <v>6.0869565217391308</v>
      </c>
      <c r="J36" s="111">
        <v>4.3478260869565215</v>
      </c>
      <c r="K36" s="111">
        <v>1.4989293361884368</v>
      </c>
      <c r="L36" s="111">
        <v>2.1367521367521367</v>
      </c>
      <c r="M36" s="111">
        <v>4.042553191489362</v>
      </c>
      <c r="N36" s="111">
        <v>0.43010752688172044</v>
      </c>
      <c r="O36" s="111">
        <v>2.5862068965517242</v>
      </c>
      <c r="P36" s="111">
        <v>1.5053763440860215</v>
      </c>
      <c r="Q36" s="111">
        <v>4.7109207708779444</v>
      </c>
      <c r="R36" s="111">
        <v>1.2903225806451613</v>
      </c>
      <c r="S36" s="111">
        <v>2.795698924731183</v>
      </c>
      <c r="T36" s="111">
        <v>8.8744588744588739</v>
      </c>
      <c r="U36" s="111">
        <v>5.4466230936819171</v>
      </c>
      <c r="V36" s="111">
        <v>9.9567099567099575</v>
      </c>
      <c r="W36" s="111">
        <v>8.4967320261437909</v>
      </c>
      <c r="X36" s="111">
        <v>4.8034934497816595</v>
      </c>
      <c r="Y36" s="111">
        <v>7.6252723311546839</v>
      </c>
      <c r="Z36" s="111">
        <v>2.3913043478260869</v>
      </c>
      <c r="AA36" s="111">
        <v>3.9130434782608696</v>
      </c>
      <c r="AB36" s="111">
        <v>3.4934497816593888</v>
      </c>
      <c r="AC36" s="111">
        <v>6.1135371179039302</v>
      </c>
      <c r="AD36" s="111">
        <v>26.793248945147678</v>
      </c>
      <c r="AE36" s="111">
        <v>65.18218623481782</v>
      </c>
      <c r="AF36" s="111">
        <v>43.49680170575693</v>
      </c>
      <c r="AG36" s="111">
        <v>51.759834368530022</v>
      </c>
      <c r="AH36" s="111">
        <v>5.3879310344827589</v>
      </c>
      <c r="AI36" s="111">
        <v>3.225806451612903</v>
      </c>
      <c r="AJ36" s="111">
        <v>1.7316017316017316</v>
      </c>
      <c r="AK36" s="111">
        <v>28.936170212765958</v>
      </c>
      <c r="AL36" s="111">
        <v>11.879049676025918</v>
      </c>
      <c r="AM36" s="111">
        <v>87.704918032786878</v>
      </c>
      <c r="AN36" s="111">
        <v>88.729508196721312</v>
      </c>
      <c r="AO36" s="119">
        <v>525</v>
      </c>
    </row>
    <row r="37" spans="1:41" x14ac:dyDescent="0.25">
      <c r="A37" s="119" t="s">
        <v>14</v>
      </c>
      <c r="B37" s="111">
        <v>71.974522292993626</v>
      </c>
      <c r="C37" s="111">
        <v>64.189189189189193</v>
      </c>
      <c r="D37" s="111">
        <v>54.193548387096776</v>
      </c>
      <c r="E37" s="111">
        <v>13.103448275862069</v>
      </c>
      <c r="F37" s="111">
        <v>18.620689655172413</v>
      </c>
      <c r="G37" s="111">
        <v>24.832214765100669</v>
      </c>
      <c r="H37" s="111">
        <v>4.1095890410958908</v>
      </c>
      <c r="I37" s="111">
        <v>6.0810810810810807</v>
      </c>
      <c r="J37" s="111">
        <v>3.4722222222222223</v>
      </c>
      <c r="K37" s="111">
        <v>2.7027027027027026</v>
      </c>
      <c r="L37" s="111">
        <v>2.0408163265306123</v>
      </c>
      <c r="M37" s="111">
        <v>4.026845637583893</v>
      </c>
      <c r="N37" s="111">
        <v>2.0547945205479454</v>
      </c>
      <c r="O37" s="111">
        <v>5.4054054054054053</v>
      </c>
      <c r="P37" s="111">
        <v>3.3783783783783785</v>
      </c>
      <c r="Q37" s="111">
        <v>2.0134228187919465</v>
      </c>
      <c r="R37" s="111">
        <v>1.3513513513513513</v>
      </c>
      <c r="S37" s="111">
        <v>1.3605442176870748</v>
      </c>
      <c r="T37" s="111">
        <v>11.486486486486486</v>
      </c>
      <c r="U37" s="111">
        <v>9.4594594594594597</v>
      </c>
      <c r="V37" s="111">
        <v>14.189189189189189</v>
      </c>
      <c r="W37" s="111">
        <v>10.810810810810811</v>
      </c>
      <c r="X37" s="111">
        <v>7.333333333333333</v>
      </c>
      <c r="Y37" s="111">
        <v>4.026845637583893</v>
      </c>
      <c r="Z37" s="111">
        <v>4.0540540540540544</v>
      </c>
      <c r="AA37" s="111">
        <v>6.756756756756757</v>
      </c>
      <c r="AB37" s="111">
        <v>7.4324324324324325</v>
      </c>
      <c r="AC37" s="111">
        <v>8.1081081081081088</v>
      </c>
      <c r="AD37" s="111">
        <v>28.476821192052981</v>
      </c>
      <c r="AE37" s="111">
        <v>66.666666666666671</v>
      </c>
      <c r="AF37" s="111">
        <v>35.810810810810814</v>
      </c>
      <c r="AG37" s="111">
        <v>40.816326530612244</v>
      </c>
      <c r="AH37" s="111">
        <v>9.6551724137931032</v>
      </c>
      <c r="AI37" s="111">
        <v>4.7619047619047619</v>
      </c>
      <c r="AJ37" s="111">
        <v>2.7210884353741496</v>
      </c>
      <c r="AK37" s="111">
        <v>61.486486486486484</v>
      </c>
      <c r="AL37" s="111">
        <v>17.241379310344829</v>
      </c>
      <c r="AM37" s="111">
        <v>92.20779220779221</v>
      </c>
      <c r="AN37" s="111">
        <v>91.275167785234899</v>
      </c>
      <c r="AO37" s="119">
        <v>158</v>
      </c>
    </row>
    <row r="38" spans="1:41" x14ac:dyDescent="0.25">
      <c r="A38" s="119" t="s">
        <v>64</v>
      </c>
      <c r="B38" s="111">
        <v>88.554216867469876</v>
      </c>
      <c r="C38" s="111">
        <v>75.925925925925924</v>
      </c>
      <c r="D38" s="111">
        <v>65.384615384615387</v>
      </c>
      <c r="E38" s="111">
        <v>11.842105263157896</v>
      </c>
      <c r="F38" s="111">
        <v>12.5</v>
      </c>
      <c r="G38" s="111">
        <v>20.915032679738562</v>
      </c>
      <c r="H38" s="111">
        <v>12.337662337662337</v>
      </c>
      <c r="I38" s="111">
        <v>9.67741935483871</v>
      </c>
      <c r="J38" s="111">
        <v>6.5359477124183005</v>
      </c>
      <c r="K38" s="111">
        <v>4.4303797468354427</v>
      </c>
      <c r="L38" s="111">
        <v>1.2820512820512822</v>
      </c>
      <c r="M38" s="111">
        <v>3.2051282051282053</v>
      </c>
      <c r="N38" s="111">
        <v>0.64516129032258063</v>
      </c>
      <c r="O38" s="111">
        <v>3.225806451612903</v>
      </c>
      <c r="P38" s="111">
        <v>1.2903225806451613</v>
      </c>
      <c r="Q38" s="111">
        <v>0.64516129032258063</v>
      </c>
      <c r="R38" s="111">
        <v>0.64935064935064934</v>
      </c>
      <c r="S38" s="111">
        <v>4.5161290322580649</v>
      </c>
      <c r="T38" s="111">
        <v>7.1895424836601309</v>
      </c>
      <c r="U38" s="111">
        <v>5.9210526315789478</v>
      </c>
      <c r="V38" s="111">
        <v>11.920529801324504</v>
      </c>
      <c r="W38" s="111">
        <v>8.6666666666666661</v>
      </c>
      <c r="X38" s="111">
        <v>8.5526315789473681</v>
      </c>
      <c r="Y38" s="111">
        <v>1.9867549668874172</v>
      </c>
      <c r="Z38" s="111">
        <v>1.3157894736842106</v>
      </c>
      <c r="AA38" s="111">
        <v>1.3157894736842106</v>
      </c>
      <c r="AB38" s="111">
        <v>1.9736842105263157</v>
      </c>
      <c r="AC38" s="111">
        <v>10</v>
      </c>
      <c r="AD38" s="111">
        <v>38.216560509554142</v>
      </c>
      <c r="AE38" s="111">
        <v>62.820512820512818</v>
      </c>
      <c r="AF38" s="111">
        <v>33.548387096774192</v>
      </c>
      <c r="AG38" s="111">
        <v>51.282051282051285</v>
      </c>
      <c r="AH38" s="111">
        <v>5.882352941176471</v>
      </c>
      <c r="AI38" s="111">
        <v>6.4516129032258061</v>
      </c>
      <c r="AJ38" s="111">
        <v>3.870967741935484</v>
      </c>
      <c r="AK38" s="111">
        <v>10.96774193548387</v>
      </c>
      <c r="AL38" s="111">
        <v>16.774193548387096</v>
      </c>
      <c r="AM38" s="111">
        <v>88.050314465408803</v>
      </c>
      <c r="AN38" s="111">
        <v>90.384615384615387</v>
      </c>
      <c r="AO38" s="119">
        <v>167</v>
      </c>
    </row>
    <row r="39" spans="1:41" x14ac:dyDescent="0.25">
      <c r="A39" s="119" t="s">
        <v>65</v>
      </c>
      <c r="B39" s="111">
        <v>62.002945508100147</v>
      </c>
      <c r="C39" s="111">
        <v>58.35820895522388</v>
      </c>
      <c r="D39" s="111">
        <v>48.493975903614455</v>
      </c>
      <c r="E39" s="111">
        <v>10.078740157480315</v>
      </c>
      <c r="F39" s="111">
        <v>13.8801261829653</v>
      </c>
      <c r="G39" s="111">
        <v>36.238532110091747</v>
      </c>
      <c r="H39" s="111">
        <v>3.7854889589905363</v>
      </c>
      <c r="I39" s="111">
        <v>4.7095761381475665</v>
      </c>
      <c r="J39" s="111">
        <v>6.2695924764890281</v>
      </c>
      <c r="K39" s="111">
        <v>3.0816640986132513</v>
      </c>
      <c r="L39" s="111">
        <v>1.5552099533437014</v>
      </c>
      <c r="M39" s="111">
        <v>3.4108527131782944</v>
      </c>
      <c r="N39" s="111">
        <v>1.4040561622464898</v>
      </c>
      <c r="O39" s="111">
        <v>3.1104199066874028</v>
      </c>
      <c r="P39" s="111">
        <v>1.7133956386292835</v>
      </c>
      <c r="Q39" s="111">
        <v>3.7325038880248833</v>
      </c>
      <c r="R39" s="111">
        <v>0.93603744149765988</v>
      </c>
      <c r="S39" s="111">
        <v>6.8857589984350547</v>
      </c>
      <c r="T39" s="111">
        <v>7.2868217054263562</v>
      </c>
      <c r="U39" s="111">
        <v>5.4517133956386292</v>
      </c>
      <c r="V39" s="111">
        <v>9.8283931357254293</v>
      </c>
      <c r="W39" s="111">
        <v>7.4766355140186915</v>
      </c>
      <c r="X39" s="111">
        <v>6.6037735849056602</v>
      </c>
      <c r="Y39" s="111">
        <v>7.7881619937694708</v>
      </c>
      <c r="Z39" s="111">
        <v>1.8808777429467085</v>
      </c>
      <c r="AA39" s="111">
        <v>5.3375196232339093</v>
      </c>
      <c r="AB39" s="111">
        <v>4.5383411580594677</v>
      </c>
      <c r="AC39" s="111">
        <v>1.4106583072100314</v>
      </c>
      <c r="AD39" s="111">
        <v>22.374429223744293</v>
      </c>
      <c r="AE39" s="111">
        <v>69.701492537313428</v>
      </c>
      <c r="AF39" s="111">
        <v>61.09422492401216</v>
      </c>
      <c r="AG39" s="111">
        <v>47.692307692307693</v>
      </c>
      <c r="AH39" s="111">
        <v>4.2121684867394693</v>
      </c>
      <c r="AI39" s="111">
        <v>6.9767441860465116</v>
      </c>
      <c r="AJ39" s="111">
        <v>2.65625</v>
      </c>
      <c r="AK39" s="111">
        <v>89.473684210526315</v>
      </c>
      <c r="AL39" s="111">
        <v>7.2555205047318614</v>
      </c>
      <c r="AM39" s="111">
        <v>81.694402420574889</v>
      </c>
      <c r="AN39" s="111">
        <v>89.006024096385545</v>
      </c>
      <c r="AO39" s="119">
        <v>692</v>
      </c>
    </row>
    <row r="40" spans="1:41" x14ac:dyDescent="0.25">
      <c r="A40" s="119" t="s">
        <v>66</v>
      </c>
      <c r="B40" s="111">
        <v>69</v>
      </c>
      <c r="C40" s="111">
        <v>66.321243523316056</v>
      </c>
      <c r="D40" s="111">
        <v>55.497382198952877</v>
      </c>
      <c r="E40" s="111">
        <v>10.43956043956044</v>
      </c>
      <c r="F40" s="111">
        <v>18.131868131868131</v>
      </c>
      <c r="G40" s="111">
        <v>28.877005347593585</v>
      </c>
      <c r="H40" s="111">
        <v>2.7173913043478262</v>
      </c>
      <c r="I40" s="111">
        <v>4.838709677419355</v>
      </c>
      <c r="J40" s="111">
        <v>5.4347826086956523</v>
      </c>
      <c r="K40" s="111">
        <v>1.6216216216216217</v>
      </c>
      <c r="L40" s="111">
        <v>1.0810810810810811</v>
      </c>
      <c r="M40" s="111">
        <v>2.150537634408602</v>
      </c>
      <c r="N40" s="111">
        <v>0.54347826086956519</v>
      </c>
      <c r="O40" s="111">
        <v>2.7173913043478262</v>
      </c>
      <c r="P40" s="111">
        <v>1.6304347826086956</v>
      </c>
      <c r="Q40" s="111">
        <v>2.7322404371584699</v>
      </c>
      <c r="R40" s="111">
        <v>0.54347826086956519</v>
      </c>
      <c r="S40" s="111">
        <v>2.1739130434782608</v>
      </c>
      <c r="T40" s="111">
        <v>9.8901098901098905</v>
      </c>
      <c r="U40" s="111">
        <v>7.0652173913043477</v>
      </c>
      <c r="V40" s="111">
        <v>13.66120218579235</v>
      </c>
      <c r="W40" s="111">
        <v>9.3406593406593412</v>
      </c>
      <c r="X40" s="111">
        <v>7.1038251366120218</v>
      </c>
      <c r="Y40" s="111">
        <v>8.695652173913043</v>
      </c>
      <c r="Z40" s="111">
        <v>6.0439560439560438</v>
      </c>
      <c r="AA40" s="111">
        <v>2.1857923497267762</v>
      </c>
      <c r="AB40" s="111">
        <v>4.395604395604396</v>
      </c>
      <c r="AC40" s="111">
        <v>9.4972067039106154</v>
      </c>
      <c r="AD40" s="111">
        <v>22.580645161290324</v>
      </c>
      <c r="AE40" s="111">
        <v>60.317460317460316</v>
      </c>
      <c r="AF40" s="111">
        <v>44.086021505376344</v>
      </c>
      <c r="AG40" s="111">
        <v>49.197860962566843</v>
      </c>
      <c r="AH40" s="111">
        <v>6.666666666666667</v>
      </c>
      <c r="AI40" s="111">
        <v>9.1397849462365599</v>
      </c>
      <c r="AJ40" s="111">
        <v>2.7173913043478262</v>
      </c>
      <c r="AK40" s="111">
        <v>25.945945945945947</v>
      </c>
      <c r="AL40" s="111">
        <v>9.8901098901098905</v>
      </c>
      <c r="AM40" s="111">
        <v>83.854166666666671</v>
      </c>
      <c r="AN40" s="111">
        <v>90.476190476190482</v>
      </c>
      <c r="AO40" s="119">
        <v>202</v>
      </c>
    </row>
    <row r="41" spans="1:41" x14ac:dyDescent="0.25">
      <c r="A41" s="119" t="s">
        <v>15</v>
      </c>
      <c r="B41" s="111">
        <v>65</v>
      </c>
      <c r="C41" s="111">
        <v>57.64119601328904</v>
      </c>
      <c r="D41" s="111">
        <v>46.779661016949156</v>
      </c>
      <c r="E41" s="111">
        <v>8.2456140350877192</v>
      </c>
      <c r="F41" s="111">
        <v>14.235500878734623</v>
      </c>
      <c r="G41" s="111">
        <v>30.689655172413794</v>
      </c>
      <c r="H41" s="111">
        <v>3.3101045296167246</v>
      </c>
      <c r="I41" s="111">
        <v>2.2608695652173911</v>
      </c>
      <c r="J41" s="111">
        <v>5.7491289198606275</v>
      </c>
      <c r="K41" s="111">
        <v>1.559792027729636</v>
      </c>
      <c r="L41" s="111">
        <v>1.9163763066202091</v>
      </c>
      <c r="M41" s="111">
        <v>2.7874564459930316</v>
      </c>
      <c r="N41" s="111">
        <v>0.17482517482517482</v>
      </c>
      <c r="O41" s="111">
        <v>2.6223776223776225</v>
      </c>
      <c r="P41" s="111">
        <v>1.5734265734265733</v>
      </c>
      <c r="Q41" s="111">
        <v>2.9668411867364748</v>
      </c>
      <c r="R41" s="111">
        <v>0.52356020942408377</v>
      </c>
      <c r="S41" s="111">
        <v>5.4290718038528896</v>
      </c>
      <c r="T41" s="111">
        <v>6.3268892794376095</v>
      </c>
      <c r="U41" s="111">
        <v>3.3509700176366843</v>
      </c>
      <c r="V41" s="111">
        <v>9.4306049822064058</v>
      </c>
      <c r="W41" s="111">
        <v>6.571936056838366</v>
      </c>
      <c r="X41" s="111">
        <v>6.205673758865248</v>
      </c>
      <c r="Y41" s="111">
        <v>5.8407079646017701</v>
      </c>
      <c r="Z41" s="111">
        <v>1.9538188277087034</v>
      </c>
      <c r="AA41" s="111">
        <v>3.9007092198581561</v>
      </c>
      <c r="AB41" s="111">
        <v>4.2628774422735347</v>
      </c>
      <c r="AC41" s="111">
        <v>1.9538188277087034</v>
      </c>
      <c r="AD41" s="111">
        <v>17.443868739205527</v>
      </c>
      <c r="AE41" s="111">
        <v>69.217687074829925</v>
      </c>
      <c r="AF41" s="111">
        <v>60.913705583756347</v>
      </c>
      <c r="AG41" s="111">
        <v>49.072512647554809</v>
      </c>
      <c r="AH41" s="111">
        <v>3.8732394366197185</v>
      </c>
      <c r="AI41" s="111">
        <v>7.5993091537132988</v>
      </c>
      <c r="AJ41" s="111">
        <v>1.0471204188481675</v>
      </c>
      <c r="AK41" s="111">
        <v>84.653465346534659</v>
      </c>
      <c r="AL41" s="111">
        <v>8.5814360770577931</v>
      </c>
      <c r="AM41" s="111">
        <v>74.539363484087104</v>
      </c>
      <c r="AN41" s="111">
        <v>87.817258883248726</v>
      </c>
      <c r="AO41" s="119">
        <v>627</v>
      </c>
    </row>
    <row r="42" spans="1:41" x14ac:dyDescent="0.25">
      <c r="A42" s="119" t="s">
        <v>16</v>
      </c>
      <c r="B42" s="111">
        <v>69.841269841269835</v>
      </c>
      <c r="C42" s="111">
        <v>70.731707317073173</v>
      </c>
      <c r="D42" s="111">
        <v>48.633879781420767</v>
      </c>
      <c r="E42" s="111">
        <v>14.647887323943662</v>
      </c>
      <c r="F42" s="111">
        <v>23.098591549295776</v>
      </c>
      <c r="G42" s="111">
        <v>36.81318681318681</v>
      </c>
      <c r="H42" s="111">
        <v>5.3370786516853936</v>
      </c>
      <c r="I42" s="111">
        <v>3.0985915492957745</v>
      </c>
      <c r="J42" s="111">
        <v>5.3370786516853936</v>
      </c>
      <c r="K42" s="111">
        <v>3.081232492997199</v>
      </c>
      <c r="L42" s="111">
        <v>1.7094017094017093</v>
      </c>
      <c r="M42" s="111">
        <v>3.4090909090909092</v>
      </c>
      <c r="N42" s="111">
        <v>1.1396011396011396</v>
      </c>
      <c r="O42" s="111">
        <v>3.3994334277620397</v>
      </c>
      <c r="P42" s="111">
        <v>0.56818181818181823</v>
      </c>
      <c r="Q42" s="111">
        <v>2.2598870056497176</v>
      </c>
      <c r="R42" s="111">
        <v>1.1331444759206799</v>
      </c>
      <c r="S42" s="111">
        <v>3.943661971830986</v>
      </c>
      <c r="T42" s="111">
        <v>13.031161473087819</v>
      </c>
      <c r="U42" s="111">
        <v>7.3863636363636367</v>
      </c>
      <c r="V42" s="111">
        <v>14.772727272727273</v>
      </c>
      <c r="W42" s="111">
        <v>10.76487252124646</v>
      </c>
      <c r="X42" s="111">
        <v>7.3654390934844196</v>
      </c>
      <c r="Y42" s="111">
        <v>11.048158640226628</v>
      </c>
      <c r="Z42" s="111">
        <v>3.6827195467422098</v>
      </c>
      <c r="AA42" s="111">
        <v>5.6657223796033991</v>
      </c>
      <c r="AB42" s="111">
        <v>6.2322946175637393</v>
      </c>
      <c r="AC42" s="111">
        <v>4.2735042735042734</v>
      </c>
      <c r="AD42" s="111">
        <v>26.592797783933516</v>
      </c>
      <c r="AE42" s="111">
        <v>70.731707317073173</v>
      </c>
      <c r="AF42" s="111">
        <v>57.063711911357338</v>
      </c>
      <c r="AG42" s="111">
        <v>53.296703296703299</v>
      </c>
      <c r="AH42" s="111">
        <v>5.617977528089888</v>
      </c>
      <c r="AI42" s="111">
        <v>5.070422535211268</v>
      </c>
      <c r="AJ42" s="111">
        <v>4.8158640226628897</v>
      </c>
      <c r="AK42" s="111">
        <v>38.055555555555557</v>
      </c>
      <c r="AL42" s="111">
        <v>13.559322033898304</v>
      </c>
      <c r="AM42" s="111">
        <v>79.356568364611263</v>
      </c>
      <c r="AN42" s="111">
        <v>85.67493112947659</v>
      </c>
      <c r="AO42" s="119">
        <v>387</v>
      </c>
    </row>
    <row r="43" spans="1:41" x14ac:dyDescent="0.25">
      <c r="A43" s="119" t="s">
        <v>17</v>
      </c>
      <c r="B43" s="111">
        <v>66.666666666666671</v>
      </c>
      <c r="C43" s="111">
        <v>71.111111111111114</v>
      </c>
      <c r="D43" s="111">
        <v>45.348837209302324</v>
      </c>
      <c r="E43" s="111">
        <v>9.7560975609756095</v>
      </c>
      <c r="F43" s="111">
        <v>22.222222222222221</v>
      </c>
      <c r="G43" s="111">
        <v>22.352941176470587</v>
      </c>
      <c r="H43" s="111">
        <v>3.6144578313253013</v>
      </c>
      <c r="I43" s="111">
        <v>3.5714285714285716</v>
      </c>
      <c r="J43" s="111">
        <v>2.4096385542168677</v>
      </c>
      <c r="K43" s="111">
        <v>2.3809523809523809</v>
      </c>
      <c r="L43" s="111">
        <v>2.3809523809523809</v>
      </c>
      <c r="M43" s="111">
        <v>3.5714285714285716</v>
      </c>
      <c r="N43" s="111">
        <v>1.1904761904761905</v>
      </c>
      <c r="O43" s="111">
        <v>7.2289156626506026</v>
      </c>
      <c r="P43" s="111">
        <v>2.3809523809523809</v>
      </c>
      <c r="Q43" s="111">
        <v>5.882352941176471</v>
      </c>
      <c r="R43" s="111">
        <v>1.1904761904761905</v>
      </c>
      <c r="S43" s="111">
        <v>4.7058823529411766</v>
      </c>
      <c r="T43" s="111">
        <v>9.6385542168674707</v>
      </c>
      <c r="U43" s="111">
        <v>7.2289156626506026</v>
      </c>
      <c r="V43" s="111">
        <v>20.481927710843372</v>
      </c>
      <c r="W43" s="111">
        <v>18.072289156626507</v>
      </c>
      <c r="X43" s="111">
        <v>14.457831325301205</v>
      </c>
      <c r="Y43" s="111">
        <v>9.6385542168674707</v>
      </c>
      <c r="Z43" s="111">
        <v>8.4337349397590362</v>
      </c>
      <c r="AA43" s="111">
        <v>6.024096385542169</v>
      </c>
      <c r="AB43" s="111">
        <v>8.4337349397590362</v>
      </c>
      <c r="AC43" s="111">
        <v>8.4337349397590362</v>
      </c>
      <c r="AD43" s="111">
        <v>26.666666666666668</v>
      </c>
      <c r="AE43" s="111">
        <v>66.315789473684205</v>
      </c>
      <c r="AF43" s="111">
        <v>33.333333333333336</v>
      </c>
      <c r="AG43" s="111">
        <v>61.111111111111114</v>
      </c>
      <c r="AH43" s="111">
        <v>14.285714285714286</v>
      </c>
      <c r="AI43" s="111">
        <v>12.5</v>
      </c>
      <c r="AJ43" s="111">
        <v>6.8965517241379306</v>
      </c>
      <c r="AK43" s="111">
        <v>3.4090909090909092</v>
      </c>
      <c r="AL43" s="111">
        <v>17.045454545454547</v>
      </c>
      <c r="AM43" s="111">
        <v>90.425531914893611</v>
      </c>
      <c r="AN43" s="111">
        <v>95.604395604395606</v>
      </c>
      <c r="AO43" s="119">
        <v>99</v>
      </c>
    </row>
    <row r="44" spans="1:41" x14ac:dyDescent="0.25">
      <c r="A44" s="119" t="s">
        <v>24</v>
      </c>
      <c r="B44" s="111">
        <v>87.292817679558013</v>
      </c>
      <c r="C44" s="111">
        <v>82.38636363636364</v>
      </c>
      <c r="D44" s="111">
        <v>57.803468208092482</v>
      </c>
      <c r="E44" s="111">
        <v>15.24390243902439</v>
      </c>
      <c r="F44" s="111">
        <v>17.177914110429448</v>
      </c>
      <c r="G44" s="111">
        <v>41.666666666666664</v>
      </c>
      <c r="H44" s="111">
        <v>6.0975609756097562</v>
      </c>
      <c r="I44" s="111">
        <v>7.9268292682926829</v>
      </c>
      <c r="J44" s="111">
        <v>1.8518518518518519</v>
      </c>
      <c r="K44" s="111">
        <v>4.2424242424242422</v>
      </c>
      <c r="L44" s="111">
        <v>5.4216867469879517</v>
      </c>
      <c r="M44" s="111">
        <v>7.7380952380952381</v>
      </c>
      <c r="N44" s="111">
        <v>0.61728395061728392</v>
      </c>
      <c r="O44" s="111">
        <v>1.8518518518518519</v>
      </c>
      <c r="P44" s="111">
        <v>1.2269938650306749</v>
      </c>
      <c r="Q44" s="111">
        <v>6.0606060606060606</v>
      </c>
      <c r="R44" s="111">
        <v>0</v>
      </c>
      <c r="S44" s="111">
        <v>3.6585365853658538</v>
      </c>
      <c r="T44" s="111">
        <v>16.666666666666668</v>
      </c>
      <c r="U44" s="111">
        <v>9.9378881987577632</v>
      </c>
      <c r="V44" s="111">
        <v>17.391304347826086</v>
      </c>
      <c r="W44" s="111">
        <v>14.814814814814815</v>
      </c>
      <c r="X44" s="111">
        <v>6.1728395061728394</v>
      </c>
      <c r="Y44" s="111">
        <v>7.831325301204819</v>
      </c>
      <c r="Z44" s="111">
        <v>4.3209876543209873</v>
      </c>
      <c r="AA44" s="111">
        <v>3.7267080745341614</v>
      </c>
      <c r="AB44" s="111">
        <v>6.7484662576687118</v>
      </c>
      <c r="AC44" s="111">
        <v>13.664596273291925</v>
      </c>
      <c r="AD44" s="111">
        <v>45.977011494252871</v>
      </c>
      <c r="AE44" s="111">
        <v>51.724137931034484</v>
      </c>
      <c r="AF44" s="111">
        <v>26.060606060606062</v>
      </c>
      <c r="AG44" s="111">
        <v>35.502958579881657</v>
      </c>
      <c r="AH44" s="111">
        <v>9.1463414634146343</v>
      </c>
      <c r="AI44" s="111">
        <v>8.125</v>
      </c>
      <c r="AJ44" s="111">
        <v>2.5316455696202533</v>
      </c>
      <c r="AK44" s="111">
        <v>7.5471698113207548</v>
      </c>
      <c r="AL44" s="111">
        <v>20</v>
      </c>
      <c r="AM44" s="111">
        <v>90.804597701149419</v>
      </c>
      <c r="AN44" s="111">
        <v>91.228070175438603</v>
      </c>
      <c r="AO44" s="119">
        <v>185</v>
      </c>
    </row>
    <row r="47" spans="1:41" ht="13" x14ac:dyDescent="0.3">
      <c r="A47" s="106" t="s">
        <v>253</v>
      </c>
    </row>
    <row r="49" spans="1:41" ht="13" x14ac:dyDescent="0.3">
      <c r="A49" s="109" t="s">
        <v>254</v>
      </c>
      <c r="B49" s="117" t="s">
        <v>214</v>
      </c>
      <c r="C49" s="117" t="s">
        <v>215</v>
      </c>
      <c r="D49" s="117" t="s">
        <v>216</v>
      </c>
      <c r="E49" s="117" t="s">
        <v>217</v>
      </c>
      <c r="F49" s="117" t="s">
        <v>218</v>
      </c>
      <c r="G49" s="117" t="s">
        <v>219</v>
      </c>
      <c r="H49" s="117" t="s">
        <v>220</v>
      </c>
      <c r="I49" s="117" t="s">
        <v>221</v>
      </c>
      <c r="J49" s="117" t="s">
        <v>222</v>
      </c>
      <c r="K49" s="117" t="s">
        <v>223</v>
      </c>
      <c r="L49" s="117" t="s">
        <v>224</v>
      </c>
      <c r="M49" s="117" t="s">
        <v>225</v>
      </c>
      <c r="N49" s="117" t="s">
        <v>226</v>
      </c>
      <c r="O49" s="117" t="s">
        <v>227</v>
      </c>
      <c r="P49" s="117" t="s">
        <v>228</v>
      </c>
      <c r="Q49" s="117" t="s">
        <v>229</v>
      </c>
      <c r="R49" s="117" t="s">
        <v>230</v>
      </c>
      <c r="S49" s="117" t="s">
        <v>231</v>
      </c>
      <c r="T49" s="117" t="s">
        <v>232</v>
      </c>
      <c r="U49" s="117" t="s">
        <v>233</v>
      </c>
      <c r="V49" s="117" t="s">
        <v>234</v>
      </c>
      <c r="W49" s="117" t="s">
        <v>235</v>
      </c>
      <c r="X49" s="117" t="s">
        <v>236</v>
      </c>
      <c r="Y49" s="117" t="s">
        <v>237</v>
      </c>
      <c r="Z49" s="117" t="s">
        <v>238</v>
      </c>
      <c r="AA49" s="117" t="s">
        <v>239</v>
      </c>
      <c r="AB49" s="117" t="s">
        <v>240</v>
      </c>
      <c r="AC49" s="117" t="s">
        <v>241</v>
      </c>
      <c r="AD49" s="117" t="s">
        <v>242</v>
      </c>
      <c r="AE49" s="117" t="s">
        <v>243</v>
      </c>
      <c r="AF49" s="117" t="s">
        <v>244</v>
      </c>
      <c r="AG49" s="117" t="s">
        <v>245</v>
      </c>
      <c r="AH49" s="117" t="s">
        <v>246</v>
      </c>
      <c r="AI49" s="117" t="s">
        <v>247</v>
      </c>
      <c r="AJ49" s="117" t="s">
        <v>248</v>
      </c>
      <c r="AK49" s="117" t="s">
        <v>249</v>
      </c>
      <c r="AL49" s="117" t="s">
        <v>250</v>
      </c>
      <c r="AM49" s="117" t="s">
        <v>251</v>
      </c>
      <c r="AN49" s="117" t="s">
        <v>252</v>
      </c>
      <c r="AO49" s="108" t="s">
        <v>98</v>
      </c>
    </row>
    <row r="50" spans="1:41" x14ac:dyDescent="0.25">
      <c r="A50" s="113" t="s">
        <v>74</v>
      </c>
      <c r="B50" s="111">
        <v>77.541729893778452</v>
      </c>
      <c r="C50" s="111">
        <v>74.21875</v>
      </c>
      <c r="D50" s="111">
        <v>56.612903225806448</v>
      </c>
      <c r="E50" s="111">
        <v>12.478920741989882</v>
      </c>
      <c r="F50" s="111">
        <v>15.397631133671743</v>
      </c>
      <c r="G50" s="111">
        <v>21.428571428571427</v>
      </c>
      <c r="H50" s="111">
        <v>6.3865546218487399</v>
      </c>
      <c r="I50" s="111">
        <v>5.8236272878535775</v>
      </c>
      <c r="J50" s="111">
        <v>6.0200668896321075</v>
      </c>
      <c r="K50" s="111">
        <v>2.8428093645484949</v>
      </c>
      <c r="L50" s="111">
        <v>2.0066889632107023</v>
      </c>
      <c r="M50" s="111">
        <v>3.1825795644891124</v>
      </c>
      <c r="N50" s="111">
        <v>0.50761421319796951</v>
      </c>
      <c r="O50" s="111">
        <v>4.5608108108108105</v>
      </c>
      <c r="P50" s="111">
        <v>2.1959459459459461</v>
      </c>
      <c r="Q50" s="111">
        <v>3.523489932885906</v>
      </c>
      <c r="R50" s="111">
        <v>0.50505050505050508</v>
      </c>
      <c r="S50" s="111">
        <v>3.1932773109243699</v>
      </c>
      <c r="T50" s="111">
        <v>10.641891891891891</v>
      </c>
      <c r="U50" s="111">
        <v>6.7911714770797964</v>
      </c>
      <c r="V50" s="111">
        <v>13.969335604770016</v>
      </c>
      <c r="W50" s="111">
        <v>10.256410256410257</v>
      </c>
      <c r="X50" s="111">
        <v>7.3129251700680271</v>
      </c>
      <c r="Y50" s="111">
        <v>5.2721088435374153</v>
      </c>
      <c r="Z50" s="111">
        <v>4.4444444444444446</v>
      </c>
      <c r="AA50" s="111">
        <v>5.1282051282051286</v>
      </c>
      <c r="AB50" s="111">
        <v>6.6895368782161233</v>
      </c>
      <c r="AC50" s="111">
        <v>11.754684838160136</v>
      </c>
      <c r="AD50" s="111">
        <v>32.689210950080515</v>
      </c>
      <c r="AE50" s="111">
        <v>62.757527733755943</v>
      </c>
      <c r="AF50" s="111">
        <v>40.165289256198349</v>
      </c>
      <c r="AG50" s="111">
        <v>50.243902439024389</v>
      </c>
      <c r="AH50" s="111">
        <v>9.6121416526138272</v>
      </c>
      <c r="AI50" s="111">
        <v>9.7199341021416803</v>
      </c>
      <c r="AJ50" s="111">
        <v>4.1390728476821188</v>
      </c>
      <c r="AK50" s="111">
        <v>20.0652528548124</v>
      </c>
      <c r="AL50" s="111">
        <v>21.983471074380166</v>
      </c>
      <c r="AM50" s="111">
        <v>86.760124610591902</v>
      </c>
      <c r="AN50" s="111">
        <v>88.33865814696486</v>
      </c>
      <c r="AO50" s="119">
        <v>676</v>
      </c>
    </row>
    <row r="51" spans="1:41" x14ac:dyDescent="0.25">
      <c r="A51" s="110" t="s">
        <v>75</v>
      </c>
      <c r="B51" s="111">
        <v>82.594417077175692</v>
      </c>
      <c r="C51" s="111">
        <v>75.169491525423723</v>
      </c>
      <c r="D51" s="111">
        <v>59.552495697074008</v>
      </c>
      <c r="E51" s="111">
        <v>11.668185961713764</v>
      </c>
      <c r="F51" s="111">
        <v>15.391621129326047</v>
      </c>
      <c r="G51" s="111">
        <v>29.537366548042705</v>
      </c>
      <c r="H51" s="111">
        <v>5.913978494623656</v>
      </c>
      <c r="I51" s="111">
        <v>9.0017825311942961</v>
      </c>
      <c r="J51" s="111">
        <v>5.1583710407239822</v>
      </c>
      <c r="K51" s="111">
        <v>2.6572187776793621</v>
      </c>
      <c r="L51" s="111">
        <v>2.6666666666666665</v>
      </c>
      <c r="M51" s="111">
        <v>3.9752650176678443</v>
      </c>
      <c r="N51" s="111">
        <v>0.71748878923766812</v>
      </c>
      <c r="O51" s="111">
        <v>3.3154121863799282</v>
      </c>
      <c r="P51" s="111">
        <v>1.7937219730941705</v>
      </c>
      <c r="Q51" s="111">
        <v>3.5778175313059033</v>
      </c>
      <c r="R51" s="111">
        <v>0.44802867383512546</v>
      </c>
      <c r="S51" s="111">
        <v>4.2076991942703668</v>
      </c>
      <c r="T51" s="111">
        <v>9.7914777878513153</v>
      </c>
      <c r="U51" s="111">
        <v>6.3578564940962758</v>
      </c>
      <c r="V51" s="111">
        <v>13.363636363636363</v>
      </c>
      <c r="W51" s="111">
        <v>11.15140525838622</v>
      </c>
      <c r="X51" s="111">
        <v>6.6484517304189437</v>
      </c>
      <c r="Y51" s="111">
        <v>4.7016274864376131</v>
      </c>
      <c r="Z51" s="111">
        <v>3.1818181818181817</v>
      </c>
      <c r="AA51" s="111">
        <v>4.1058394160583944</v>
      </c>
      <c r="AB51" s="111">
        <v>3.9126478616924478</v>
      </c>
      <c r="AC51" s="111">
        <v>10.200364298724955</v>
      </c>
      <c r="AD51" s="111">
        <v>31.130434782608695</v>
      </c>
      <c r="AE51" s="111">
        <v>59.879206212251944</v>
      </c>
      <c r="AF51" s="111">
        <v>32.597173144876322</v>
      </c>
      <c r="AG51" s="111">
        <v>37.664618086040385</v>
      </c>
      <c r="AH51" s="111">
        <v>7.4439461883408073</v>
      </c>
      <c r="AI51" s="111">
        <v>6.3119927862939589</v>
      </c>
      <c r="AJ51" s="111">
        <v>3.2697547683923704</v>
      </c>
      <c r="AK51" s="111">
        <v>20.863309352517987</v>
      </c>
      <c r="AL51" s="111">
        <v>20.018034265103697</v>
      </c>
      <c r="AM51" s="111">
        <v>86.941580756013749</v>
      </c>
      <c r="AN51" s="111">
        <v>89.482758620689651</v>
      </c>
      <c r="AO51" s="119">
        <v>1238</v>
      </c>
    </row>
    <row r="52" spans="1:41" x14ac:dyDescent="0.25">
      <c r="A52" s="110" t="s">
        <v>76</v>
      </c>
      <c r="B52" s="111">
        <v>78.184845961698599</v>
      </c>
      <c r="C52" s="111">
        <v>72.515125324114095</v>
      </c>
      <c r="D52" s="111">
        <v>59.268929503916446</v>
      </c>
      <c r="E52" s="111">
        <v>13.463324048282265</v>
      </c>
      <c r="F52" s="111">
        <v>18.6219739292365</v>
      </c>
      <c r="G52" s="111">
        <v>24.280575539568346</v>
      </c>
      <c r="H52" s="111">
        <v>5.3881278538812785</v>
      </c>
      <c r="I52" s="111">
        <v>8.5532302092811641</v>
      </c>
      <c r="J52" s="111">
        <v>6.4635272391505074</v>
      </c>
      <c r="K52" s="111">
        <v>3.9019963702359348</v>
      </c>
      <c r="L52" s="111">
        <v>2.3787740164684354</v>
      </c>
      <c r="M52" s="111">
        <v>4.5289855072463769</v>
      </c>
      <c r="N52" s="111">
        <v>1.0110294117647058</v>
      </c>
      <c r="O52" s="111">
        <v>5.1329055912007329</v>
      </c>
      <c r="P52" s="111">
        <v>2.1062271062271063</v>
      </c>
      <c r="Q52" s="111">
        <v>3.5486806187443132</v>
      </c>
      <c r="R52" s="111">
        <v>1.1861313868613139</v>
      </c>
      <c r="S52" s="111">
        <v>3.6529680365296802</v>
      </c>
      <c r="T52" s="111">
        <v>9.6980786825251606</v>
      </c>
      <c r="U52" s="111">
        <v>7.3597056117755288</v>
      </c>
      <c r="V52" s="111">
        <v>15.45538178472861</v>
      </c>
      <c r="W52" s="111">
        <v>9.5500459136822773</v>
      </c>
      <c r="X52" s="111">
        <v>6.5377532228360957</v>
      </c>
      <c r="Y52" s="111">
        <v>7.6076993583868013</v>
      </c>
      <c r="Z52" s="111">
        <v>3.1365313653136533</v>
      </c>
      <c r="AA52" s="111">
        <v>5.3456221198156681</v>
      </c>
      <c r="AB52" s="111">
        <v>4.5244690674053558</v>
      </c>
      <c r="AC52" s="111">
        <v>10.277777777777779</v>
      </c>
      <c r="AD52" s="111">
        <v>31.532329495128433</v>
      </c>
      <c r="AE52" s="111">
        <v>62.75197195442594</v>
      </c>
      <c r="AF52" s="111">
        <v>39.231456657730114</v>
      </c>
      <c r="AG52" s="111">
        <v>52.846975088967973</v>
      </c>
      <c r="AH52" s="111">
        <v>7.6146788990825689</v>
      </c>
      <c r="AI52" s="111">
        <v>6.0439560439560438</v>
      </c>
      <c r="AJ52" s="111">
        <v>3.2080659945004584</v>
      </c>
      <c r="AK52" s="111">
        <v>23.974475843208751</v>
      </c>
      <c r="AL52" s="111">
        <v>21.520146520146522</v>
      </c>
      <c r="AM52" s="111">
        <v>88.504753673292996</v>
      </c>
      <c r="AN52" s="111">
        <v>89.436619718309856</v>
      </c>
      <c r="AO52" s="119">
        <v>1223</v>
      </c>
    </row>
    <row r="53" spans="1:41" x14ac:dyDescent="0.25">
      <c r="A53" s="110" t="s">
        <v>77</v>
      </c>
      <c r="B53" s="111">
        <v>73.518615626638706</v>
      </c>
      <c r="C53" s="111">
        <v>67.686527106816968</v>
      </c>
      <c r="D53" s="111">
        <v>56.639566395663955</v>
      </c>
      <c r="E53" s="111">
        <v>11.818703384968446</v>
      </c>
      <c r="F53" s="111">
        <v>17.613310384394723</v>
      </c>
      <c r="G53" s="111">
        <v>29.82652490207051</v>
      </c>
      <c r="H53" s="111">
        <v>4.9403747870528107</v>
      </c>
      <c r="I53" s="111">
        <v>5.0282485875706211</v>
      </c>
      <c r="J53" s="111">
        <v>6.1363636363636367</v>
      </c>
      <c r="K53" s="111">
        <v>1.79472798653954</v>
      </c>
      <c r="L53" s="111">
        <v>1.4076576576576576</v>
      </c>
      <c r="M53" s="111">
        <v>3.3053221288515404</v>
      </c>
      <c r="N53" s="111">
        <v>1.1312217194570136</v>
      </c>
      <c r="O53" s="111">
        <v>3.8439796495195027</v>
      </c>
      <c r="P53" s="111">
        <v>1.8068887634105026</v>
      </c>
      <c r="Q53" s="111">
        <v>3.7288135593220337</v>
      </c>
      <c r="R53" s="111">
        <v>0.95882684715172029</v>
      </c>
      <c r="S53" s="111">
        <v>3.6557930258717661</v>
      </c>
      <c r="T53" s="111">
        <v>10.079726651480637</v>
      </c>
      <c r="U53" s="111">
        <v>7.4116305587229192</v>
      </c>
      <c r="V53" s="111">
        <v>15.954415954415955</v>
      </c>
      <c r="W53" s="111">
        <v>11.542857142857143</v>
      </c>
      <c r="X53" s="111">
        <v>6.7621776504297992</v>
      </c>
      <c r="Y53" s="111">
        <v>6.332002281802624</v>
      </c>
      <c r="Z53" s="111">
        <v>3.9564220183486238</v>
      </c>
      <c r="AA53" s="111">
        <v>4.1284403669724767</v>
      </c>
      <c r="AB53" s="111">
        <v>4.5819014891179837</v>
      </c>
      <c r="AC53" s="111">
        <v>7.8250863060989646</v>
      </c>
      <c r="AD53" s="111">
        <v>27.172108467072494</v>
      </c>
      <c r="AE53" s="111">
        <v>65.835140997830806</v>
      </c>
      <c r="AF53" s="111">
        <v>35.997764114030183</v>
      </c>
      <c r="AG53" s="111">
        <v>48.530227398779815</v>
      </c>
      <c r="AH53" s="111">
        <v>6.1212814645308926</v>
      </c>
      <c r="AI53" s="111">
        <v>4.9516220830961863</v>
      </c>
      <c r="AJ53" s="111">
        <v>4.0455840455840457</v>
      </c>
      <c r="AK53" s="111">
        <v>36.164229471316084</v>
      </c>
      <c r="AL53" s="111">
        <v>15.503432494279176</v>
      </c>
      <c r="AM53" s="111">
        <v>84.784946236559136</v>
      </c>
      <c r="AN53" s="111">
        <v>89.416257501363887</v>
      </c>
      <c r="AO53" s="119">
        <v>1950</v>
      </c>
    </row>
    <row r="54" spans="1:41" x14ac:dyDescent="0.25">
      <c r="A54" s="110" t="s">
        <v>78</v>
      </c>
      <c r="B54" s="111">
        <v>72.068841878809607</v>
      </c>
      <c r="C54" s="111">
        <v>69.056463595839531</v>
      </c>
      <c r="D54" s="111">
        <v>53.380649981322378</v>
      </c>
      <c r="E54" s="111">
        <v>11.260371394705651</v>
      </c>
      <c r="F54" s="111">
        <v>17.351778656126481</v>
      </c>
      <c r="G54" s="111">
        <v>37.514384349827388</v>
      </c>
      <c r="H54" s="111">
        <v>5.0960407683261471</v>
      </c>
      <c r="I54" s="111">
        <v>4.3137254901960782</v>
      </c>
      <c r="J54" s="111">
        <v>6.5380070894052773</v>
      </c>
      <c r="K54" s="111">
        <v>2.5968992248062017</v>
      </c>
      <c r="L54" s="111">
        <v>1.9440124416796267</v>
      </c>
      <c r="M54" s="111">
        <v>3.7180480247869867</v>
      </c>
      <c r="N54" s="111">
        <v>0.93859992178333984</v>
      </c>
      <c r="O54" s="111">
        <v>3.2093933463796476</v>
      </c>
      <c r="P54" s="111">
        <v>1.6823161189358373</v>
      </c>
      <c r="Q54" s="111">
        <v>3.3112582781456954</v>
      </c>
      <c r="R54" s="111">
        <v>1.249024199843872</v>
      </c>
      <c r="S54" s="111">
        <v>4.9628761234857368</v>
      </c>
      <c r="T54" s="111">
        <v>9.5911949685534594</v>
      </c>
      <c r="U54" s="111">
        <v>5.9542586750788642</v>
      </c>
      <c r="V54" s="111">
        <v>12.361769352290679</v>
      </c>
      <c r="W54" s="111">
        <v>8.4256329113924053</v>
      </c>
      <c r="X54" s="111">
        <v>7.0439256034823901</v>
      </c>
      <c r="Y54" s="111">
        <v>9.8186119873817042</v>
      </c>
      <c r="Z54" s="111">
        <v>2.9691211401425179</v>
      </c>
      <c r="AA54" s="111">
        <v>4.4717055797388205</v>
      </c>
      <c r="AB54" s="111">
        <v>4.230921312771847</v>
      </c>
      <c r="AC54" s="111">
        <v>3.8247011952191237</v>
      </c>
      <c r="AD54" s="111">
        <v>25.390773922988945</v>
      </c>
      <c r="AE54" s="111">
        <v>67.369589345172031</v>
      </c>
      <c r="AF54" s="111">
        <v>52.961275626423692</v>
      </c>
      <c r="AG54" s="111">
        <v>50.904295403165037</v>
      </c>
      <c r="AH54" s="111">
        <v>4.8399687743950039</v>
      </c>
      <c r="AI54" s="111">
        <v>5.2938886726352665</v>
      </c>
      <c r="AJ54" s="111">
        <v>3.0835284933645588</v>
      </c>
      <c r="AK54" s="111">
        <v>43.759571209800917</v>
      </c>
      <c r="AL54" s="111">
        <v>12.174251264099572</v>
      </c>
      <c r="AM54" s="111">
        <v>82.372505543237253</v>
      </c>
      <c r="AN54" s="111">
        <v>87.937453462397613</v>
      </c>
      <c r="AO54" s="119">
        <v>2870</v>
      </c>
    </row>
    <row r="55" spans="1:41" x14ac:dyDescent="0.25">
      <c r="A55" s="110" t="s">
        <v>79</v>
      </c>
      <c r="B55" s="111">
        <v>65.625813166796775</v>
      </c>
      <c r="C55" s="111">
        <v>60.26015396867534</v>
      </c>
      <c r="D55" s="111">
        <v>49.65184788430637</v>
      </c>
      <c r="E55" s="111">
        <v>11.519198664440735</v>
      </c>
      <c r="F55" s="111">
        <v>15.427457532720691</v>
      </c>
      <c r="G55" s="111">
        <v>32.289681459297576</v>
      </c>
      <c r="H55" s="111">
        <v>3.6267995570321152</v>
      </c>
      <c r="I55" s="111">
        <v>3.4883720930232558</v>
      </c>
      <c r="J55" s="111">
        <v>5.4248546913921949</v>
      </c>
      <c r="K55" s="111">
        <v>1.8291018291018291</v>
      </c>
      <c r="L55" s="111">
        <v>1.4524527267744587</v>
      </c>
      <c r="M55" s="111">
        <v>2.4911032028469751</v>
      </c>
      <c r="N55" s="111">
        <v>0.98846787479406917</v>
      </c>
      <c r="O55" s="111">
        <v>3.5203520352035205</v>
      </c>
      <c r="P55" s="111">
        <v>1.5650741350906097</v>
      </c>
      <c r="Q55" s="111">
        <v>3.1567389514136699</v>
      </c>
      <c r="R55" s="111">
        <v>0.87912087912087911</v>
      </c>
      <c r="S55" s="111">
        <v>5.4425508521165478</v>
      </c>
      <c r="T55" s="111">
        <v>9.0206896551724132</v>
      </c>
      <c r="U55" s="111">
        <v>5.4957194145263744</v>
      </c>
      <c r="V55" s="111">
        <v>12.077562326869806</v>
      </c>
      <c r="W55" s="111">
        <v>8.3217753120665741</v>
      </c>
      <c r="X55" s="111">
        <v>7.260083449235049</v>
      </c>
      <c r="Y55" s="111">
        <v>6.7515218594355284</v>
      </c>
      <c r="Z55" s="111">
        <v>2.3902167871039466</v>
      </c>
      <c r="AA55" s="111">
        <v>4.3127434613244295</v>
      </c>
      <c r="AB55" s="111">
        <v>4.1724617524339358</v>
      </c>
      <c r="AC55" s="111">
        <v>1.6958576591604115</v>
      </c>
      <c r="AD55" s="111">
        <v>20.554649265905383</v>
      </c>
      <c r="AE55" s="111">
        <v>71.249332621462898</v>
      </c>
      <c r="AF55" s="111">
        <v>52.440347071583517</v>
      </c>
      <c r="AG55" s="111">
        <v>52.533692722371967</v>
      </c>
      <c r="AH55" s="111">
        <v>4.097452934662237</v>
      </c>
      <c r="AI55" s="111">
        <v>6.8081587651598676</v>
      </c>
      <c r="AJ55" s="111">
        <v>2.0521353300055463</v>
      </c>
      <c r="AK55" s="111">
        <v>81.968967362225783</v>
      </c>
      <c r="AL55" s="111">
        <v>9.8442714126807562</v>
      </c>
      <c r="AM55" s="111">
        <v>80.788838207673734</v>
      </c>
      <c r="AN55" s="111">
        <v>88.228970706799245</v>
      </c>
      <c r="AO55" s="119">
        <v>3899</v>
      </c>
    </row>
    <row r="56" spans="1:41" x14ac:dyDescent="0.25">
      <c r="A56" s="110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9"/>
    </row>
    <row r="57" spans="1:41" ht="12.5" customHeight="1" x14ac:dyDescent="0.3">
      <c r="A57" s="109" t="s">
        <v>255</v>
      </c>
      <c r="B57" s="111">
        <v>72.221743995868124</v>
      </c>
      <c r="C57" s="111">
        <v>67.182936543056911</v>
      </c>
      <c r="D57" s="111">
        <v>54.098507195852328</v>
      </c>
      <c r="E57" s="111">
        <v>11.772449459332393</v>
      </c>
      <c r="F57" s="111">
        <v>16.561588406888117</v>
      </c>
      <c r="G57" s="111">
        <v>31.435121503897296</v>
      </c>
      <c r="H57" s="111">
        <v>4.7623485554520038</v>
      </c>
      <c r="I57" s="111">
        <v>5.1608703738143946</v>
      </c>
      <c r="J57" s="111">
        <v>5.9169938306225465</v>
      </c>
      <c r="K57" s="111">
        <v>2.3583602026715798</v>
      </c>
      <c r="L57" s="111">
        <v>1.8126329418292795</v>
      </c>
      <c r="M57" s="111">
        <v>3.3170551921127798</v>
      </c>
      <c r="N57" s="111">
        <v>0.94786729857819907</v>
      </c>
      <c r="O57" s="111">
        <v>3.6992285528394833</v>
      </c>
      <c r="P57" s="111">
        <v>1.7459138187221397</v>
      </c>
      <c r="Q57" s="111">
        <v>3.3910868155285834</v>
      </c>
      <c r="R57" s="111">
        <v>0.9461088952787311</v>
      </c>
      <c r="S57" s="111">
        <v>4.6002596920793914</v>
      </c>
      <c r="T57" s="111">
        <v>9.5678148044432003</v>
      </c>
      <c r="U57" s="111">
        <v>6.2687125748502996</v>
      </c>
      <c r="V57" s="111">
        <v>13.363321150782495</v>
      </c>
      <c r="W57" s="111">
        <v>9.3996247654784248</v>
      </c>
      <c r="X57" s="111">
        <v>6.9931384528621114</v>
      </c>
      <c r="Y57" s="111">
        <v>7.2043413173652695</v>
      </c>
      <c r="Z57" s="111">
        <v>3.055372755476168</v>
      </c>
      <c r="AA57" s="111">
        <v>4.4492521870002824</v>
      </c>
      <c r="AB57" s="111">
        <v>4.4005641748942175</v>
      </c>
      <c r="AC57" s="111">
        <v>5.5136663524976441</v>
      </c>
      <c r="AD57" s="111">
        <v>25.708575581395348</v>
      </c>
      <c r="AE57" s="111">
        <v>66.910192444761222</v>
      </c>
      <c r="AF57" s="111">
        <v>45.810157745965171</v>
      </c>
      <c r="AG57" s="111">
        <v>49.859665006790401</v>
      </c>
      <c r="AH57" s="111">
        <v>5.6156716417910451</v>
      </c>
      <c r="AI57" s="111">
        <v>6.1791488570897606</v>
      </c>
      <c r="AJ57" s="111">
        <v>2.9853531112976959</v>
      </c>
      <c r="AK57" s="111">
        <v>49.93607305936073</v>
      </c>
      <c r="AL57" s="111">
        <v>14.252401828187669</v>
      </c>
      <c r="AM57" s="111">
        <v>83.599857853589199</v>
      </c>
      <c r="AN57" s="111">
        <v>88.61315176491668</v>
      </c>
      <c r="AO57" s="119">
        <v>11856</v>
      </c>
    </row>
    <row r="60" spans="1:41" x14ac:dyDescent="0.25">
      <c r="B60" s="111">
        <v>72.221743995868124</v>
      </c>
      <c r="C60" s="111">
        <v>67.182936543056911</v>
      </c>
      <c r="D60" s="111">
        <v>54.098507195852328</v>
      </c>
      <c r="E60" s="111">
        <v>11.772449459332393</v>
      </c>
      <c r="F60" s="111">
        <v>16.561588406888117</v>
      </c>
      <c r="G60" s="111">
        <v>31.435121503897296</v>
      </c>
      <c r="H60" s="111">
        <v>4.7623485554520038</v>
      </c>
      <c r="I60" s="111">
        <v>5.1608703738143946</v>
      </c>
      <c r="J60" s="111">
        <v>5.9169938306225465</v>
      </c>
      <c r="K60" s="111">
        <v>2.3583602026715798</v>
      </c>
      <c r="L60" s="111">
        <v>1.8126329418292795</v>
      </c>
      <c r="M60" s="114">
        <v>3.3</v>
      </c>
      <c r="N60" s="114">
        <v>0.9</v>
      </c>
      <c r="O60" s="114">
        <v>3.7</v>
      </c>
      <c r="P60" s="114">
        <v>1.7</v>
      </c>
      <c r="Q60" s="111">
        <v>3.3910868155285834</v>
      </c>
      <c r="R60" s="111">
        <v>0.9461088952787311</v>
      </c>
      <c r="S60" s="111">
        <v>4.6002596920793914</v>
      </c>
      <c r="T60" s="111">
        <v>9.5678148044432003</v>
      </c>
      <c r="U60" s="111">
        <v>6.2687125748502996</v>
      </c>
      <c r="V60" s="111">
        <v>13.363321150782495</v>
      </c>
      <c r="W60" s="111">
        <v>9.3996247654784248</v>
      </c>
      <c r="X60" s="111">
        <v>6.9931384528621114</v>
      </c>
      <c r="Y60" s="111">
        <v>7.2043413173652695</v>
      </c>
      <c r="Z60" s="111">
        <v>3.055372755476168</v>
      </c>
      <c r="AA60" s="111">
        <v>4.4492521870002824</v>
      </c>
      <c r="AB60" s="111">
        <v>4.4005641748942175</v>
      </c>
      <c r="AC60" s="111">
        <v>5.5136663524976441</v>
      </c>
      <c r="AD60" s="111">
        <v>25.708575581395348</v>
      </c>
      <c r="AE60" s="111">
        <v>66.910192444761222</v>
      </c>
      <c r="AF60" s="111">
        <v>45.810157745965171</v>
      </c>
      <c r="AG60" s="111">
        <v>49.859665006790401</v>
      </c>
      <c r="AH60" s="111">
        <v>5.6156716417910451</v>
      </c>
      <c r="AI60" s="111">
        <v>6.1791488570897606</v>
      </c>
      <c r="AJ60" s="111">
        <v>2.9853531112976959</v>
      </c>
      <c r="AK60" s="111">
        <v>49.93607305936073</v>
      </c>
      <c r="AL60" s="111">
        <v>14.252401828187669</v>
      </c>
      <c r="AM60" s="111">
        <v>83.599857853589199</v>
      </c>
      <c r="AN60" s="111">
        <v>88.61315176491668</v>
      </c>
    </row>
    <row r="62" spans="1:41" ht="13" x14ac:dyDescent="0.3">
      <c r="A62" s="109" t="s">
        <v>256</v>
      </c>
      <c r="B62" s="110"/>
    </row>
    <row r="63" spans="1:41" ht="13" x14ac:dyDescent="0.3">
      <c r="A63" s="109"/>
    </row>
    <row r="64" spans="1:41" ht="13" x14ac:dyDescent="0.3">
      <c r="A64" s="109"/>
      <c r="B64" s="106" t="s">
        <v>257</v>
      </c>
    </row>
    <row r="65" spans="1:3" ht="13" x14ac:dyDescent="0.3">
      <c r="A65" s="117" t="s">
        <v>214</v>
      </c>
      <c r="B65" s="107" t="s">
        <v>258</v>
      </c>
      <c r="C65" s="111">
        <v>72.221743995868124</v>
      </c>
    </row>
    <row r="66" spans="1:3" ht="13" x14ac:dyDescent="0.3">
      <c r="A66" s="117" t="s">
        <v>215</v>
      </c>
      <c r="B66" s="107" t="s">
        <v>259</v>
      </c>
      <c r="C66" s="111">
        <v>67.182936543056911</v>
      </c>
    </row>
    <row r="67" spans="1:3" ht="13" x14ac:dyDescent="0.3">
      <c r="A67" s="117" t="s">
        <v>216</v>
      </c>
      <c r="B67" s="107" t="s">
        <v>260</v>
      </c>
      <c r="C67" s="111">
        <v>54.098507195852328</v>
      </c>
    </row>
    <row r="68" spans="1:3" ht="13" x14ac:dyDescent="0.3">
      <c r="A68" s="117" t="s">
        <v>217</v>
      </c>
      <c r="B68" s="107" t="s">
        <v>261</v>
      </c>
      <c r="C68" s="111">
        <v>11.772449459332393</v>
      </c>
    </row>
    <row r="69" spans="1:3" ht="13" x14ac:dyDescent="0.3">
      <c r="A69" s="117" t="s">
        <v>218</v>
      </c>
      <c r="B69" s="107" t="s">
        <v>262</v>
      </c>
      <c r="C69" s="111">
        <v>16.561588406888117</v>
      </c>
    </row>
    <row r="70" spans="1:3" ht="13" x14ac:dyDescent="0.3">
      <c r="A70" s="117" t="s">
        <v>219</v>
      </c>
      <c r="B70" s="107" t="s">
        <v>263</v>
      </c>
      <c r="C70" s="111">
        <v>31.435121503897296</v>
      </c>
    </row>
    <row r="71" spans="1:3" ht="13" x14ac:dyDescent="0.3">
      <c r="A71" s="117" t="s">
        <v>220</v>
      </c>
      <c r="B71" s="107" t="s">
        <v>264</v>
      </c>
      <c r="C71" s="111">
        <v>4.7623485554520038</v>
      </c>
    </row>
    <row r="72" spans="1:3" ht="13" x14ac:dyDescent="0.3">
      <c r="A72" s="117" t="s">
        <v>221</v>
      </c>
      <c r="B72" s="107" t="s">
        <v>265</v>
      </c>
      <c r="C72" s="111">
        <v>5.1608703738143946</v>
      </c>
    </row>
    <row r="73" spans="1:3" ht="13" x14ac:dyDescent="0.3">
      <c r="A73" s="117" t="s">
        <v>222</v>
      </c>
      <c r="B73" s="107" t="s">
        <v>266</v>
      </c>
      <c r="C73" s="111">
        <v>5.9169938306225465</v>
      </c>
    </row>
    <row r="74" spans="1:3" ht="13" x14ac:dyDescent="0.3">
      <c r="A74" s="117"/>
      <c r="B74" s="106" t="s">
        <v>267</v>
      </c>
      <c r="C74" s="111"/>
    </row>
    <row r="75" spans="1:3" ht="13" x14ac:dyDescent="0.3">
      <c r="A75" s="117" t="s">
        <v>223</v>
      </c>
      <c r="B75" s="107" t="s">
        <v>268</v>
      </c>
      <c r="C75" s="111">
        <v>2.3583602026715798</v>
      </c>
    </row>
    <row r="76" spans="1:3" ht="13" x14ac:dyDescent="0.3">
      <c r="A76" s="117" t="s">
        <v>224</v>
      </c>
      <c r="B76" s="107" t="s">
        <v>269</v>
      </c>
      <c r="C76" s="111">
        <v>1.8126329418292795</v>
      </c>
    </row>
    <row r="77" spans="1:3" ht="13" x14ac:dyDescent="0.3">
      <c r="A77" s="117" t="s">
        <v>225</v>
      </c>
      <c r="B77" s="107" t="s">
        <v>270</v>
      </c>
      <c r="C77" s="114">
        <v>3.3</v>
      </c>
    </row>
    <row r="78" spans="1:3" ht="13" x14ac:dyDescent="0.3">
      <c r="A78" s="117" t="s">
        <v>226</v>
      </c>
      <c r="B78" s="107" t="s">
        <v>271</v>
      </c>
      <c r="C78" s="114">
        <v>0.9</v>
      </c>
    </row>
    <row r="79" spans="1:3" ht="13" x14ac:dyDescent="0.3">
      <c r="A79" s="117" t="s">
        <v>227</v>
      </c>
      <c r="B79" s="107" t="s">
        <v>272</v>
      </c>
      <c r="C79" s="114">
        <v>3.7</v>
      </c>
    </row>
    <row r="80" spans="1:3" ht="13" x14ac:dyDescent="0.3">
      <c r="A80" s="117" t="s">
        <v>228</v>
      </c>
      <c r="B80" s="107" t="s">
        <v>273</v>
      </c>
      <c r="C80" s="114">
        <v>1.7</v>
      </c>
    </row>
    <row r="81" spans="1:3" ht="13" x14ac:dyDescent="0.3">
      <c r="A81" s="117" t="s">
        <v>274</v>
      </c>
      <c r="B81" s="107" t="s">
        <v>275</v>
      </c>
      <c r="C81" s="111">
        <v>3.3910868155285834</v>
      </c>
    </row>
    <row r="82" spans="1:3" ht="13" x14ac:dyDescent="0.3">
      <c r="A82" s="117" t="s">
        <v>230</v>
      </c>
      <c r="B82" s="107" t="s">
        <v>276</v>
      </c>
      <c r="C82" s="111">
        <v>0.9461088952787311</v>
      </c>
    </row>
    <row r="83" spans="1:3" ht="13" x14ac:dyDescent="0.3">
      <c r="A83" s="117" t="s">
        <v>231</v>
      </c>
      <c r="B83" s="107" t="s">
        <v>277</v>
      </c>
      <c r="C83" s="111">
        <v>4.6002596920793914</v>
      </c>
    </row>
    <row r="84" spans="1:3" ht="13" x14ac:dyDescent="0.3">
      <c r="A84" s="117"/>
      <c r="B84" s="106" t="s">
        <v>278</v>
      </c>
      <c r="C84" s="111"/>
    </row>
    <row r="85" spans="1:3" ht="13" x14ac:dyDescent="0.3">
      <c r="A85" s="117" t="s">
        <v>232</v>
      </c>
      <c r="B85" s="107" t="s">
        <v>279</v>
      </c>
      <c r="C85" s="111">
        <v>9.5678148044432003</v>
      </c>
    </row>
    <row r="86" spans="1:3" ht="13" x14ac:dyDescent="0.3">
      <c r="A86" s="117" t="s">
        <v>233</v>
      </c>
      <c r="B86" s="107" t="s">
        <v>280</v>
      </c>
      <c r="C86" s="111">
        <v>6.2687125748502996</v>
      </c>
    </row>
    <row r="87" spans="1:3" ht="13" x14ac:dyDescent="0.3">
      <c r="A87" s="117" t="s">
        <v>234</v>
      </c>
      <c r="B87" s="107" t="s">
        <v>281</v>
      </c>
      <c r="C87" s="111">
        <v>13.363321150782495</v>
      </c>
    </row>
    <row r="88" spans="1:3" ht="13" x14ac:dyDescent="0.3">
      <c r="A88" s="117" t="s">
        <v>235</v>
      </c>
      <c r="B88" s="107" t="s">
        <v>282</v>
      </c>
      <c r="C88" s="111">
        <v>9.3996247654784248</v>
      </c>
    </row>
    <row r="89" spans="1:3" ht="13" x14ac:dyDescent="0.3">
      <c r="A89" s="117" t="s">
        <v>236</v>
      </c>
      <c r="B89" s="107" t="s">
        <v>283</v>
      </c>
      <c r="C89" s="111">
        <v>6.9931384528621114</v>
      </c>
    </row>
    <row r="90" spans="1:3" ht="13" x14ac:dyDescent="0.3">
      <c r="A90" s="117" t="s">
        <v>237</v>
      </c>
      <c r="B90" s="107" t="s">
        <v>284</v>
      </c>
      <c r="C90" s="111">
        <v>7.2043413173652695</v>
      </c>
    </row>
    <row r="91" spans="1:3" ht="13" x14ac:dyDescent="0.3">
      <c r="A91" s="117" t="s">
        <v>238</v>
      </c>
      <c r="B91" s="107" t="s">
        <v>285</v>
      </c>
      <c r="C91" s="111">
        <v>3.055372755476168</v>
      </c>
    </row>
    <row r="92" spans="1:3" ht="13" x14ac:dyDescent="0.3">
      <c r="A92" s="117" t="s">
        <v>239</v>
      </c>
      <c r="B92" s="107" t="s">
        <v>286</v>
      </c>
      <c r="C92" s="111">
        <v>4.4492521870002824</v>
      </c>
    </row>
    <row r="93" spans="1:3" ht="13" x14ac:dyDescent="0.3">
      <c r="A93" s="117" t="s">
        <v>240</v>
      </c>
      <c r="B93" s="107" t="s">
        <v>287</v>
      </c>
      <c r="C93" s="111">
        <v>4.4005641748942175</v>
      </c>
    </row>
    <row r="94" spans="1:3" ht="13" x14ac:dyDescent="0.3">
      <c r="A94" s="117" t="s">
        <v>241</v>
      </c>
      <c r="B94" s="107" t="s">
        <v>288</v>
      </c>
      <c r="C94" s="111">
        <v>5.5136663524976441</v>
      </c>
    </row>
    <row r="95" spans="1:3" ht="13" x14ac:dyDescent="0.3">
      <c r="A95" s="117" t="s">
        <v>242</v>
      </c>
      <c r="B95" s="107" t="s">
        <v>289</v>
      </c>
      <c r="C95" s="111">
        <v>25.708575581395348</v>
      </c>
    </row>
    <row r="96" spans="1:3" ht="13" x14ac:dyDescent="0.3">
      <c r="A96" s="117" t="s">
        <v>243</v>
      </c>
      <c r="B96" s="107" t="s">
        <v>290</v>
      </c>
      <c r="C96" s="111">
        <v>66.910192444761222</v>
      </c>
    </row>
    <row r="97" spans="1:3" ht="13" x14ac:dyDescent="0.3">
      <c r="A97" s="117" t="s">
        <v>244</v>
      </c>
      <c r="B97" s="107" t="s">
        <v>291</v>
      </c>
      <c r="C97" s="111">
        <v>45.810157745965171</v>
      </c>
    </row>
    <row r="98" spans="1:3" ht="13" x14ac:dyDescent="0.3">
      <c r="A98" s="117" t="s">
        <v>245</v>
      </c>
      <c r="B98" s="107" t="s">
        <v>292</v>
      </c>
      <c r="C98" s="111">
        <v>49.859665006790401</v>
      </c>
    </row>
    <row r="99" spans="1:3" ht="13" x14ac:dyDescent="0.3">
      <c r="A99" s="117" t="s">
        <v>246</v>
      </c>
      <c r="B99" s="107" t="s">
        <v>293</v>
      </c>
      <c r="C99" s="111">
        <v>5.6156716417910451</v>
      </c>
    </row>
    <row r="100" spans="1:3" ht="13" x14ac:dyDescent="0.3">
      <c r="A100" s="117"/>
      <c r="B100" s="106" t="s">
        <v>294</v>
      </c>
      <c r="C100" s="111"/>
    </row>
    <row r="101" spans="1:3" ht="13" x14ac:dyDescent="0.3">
      <c r="A101" s="117" t="s">
        <v>247</v>
      </c>
      <c r="B101" s="107" t="s">
        <v>295</v>
      </c>
      <c r="C101" s="111">
        <v>6.1791488570897606</v>
      </c>
    </row>
    <row r="102" spans="1:3" ht="13" x14ac:dyDescent="0.3">
      <c r="A102" s="117" t="s">
        <v>248</v>
      </c>
      <c r="B102" s="107" t="s">
        <v>296</v>
      </c>
      <c r="C102" s="111">
        <v>2.9853531112976959</v>
      </c>
    </row>
    <row r="103" spans="1:3" ht="13" x14ac:dyDescent="0.3">
      <c r="A103" s="117" t="s">
        <v>249</v>
      </c>
      <c r="B103" s="107" t="s">
        <v>297</v>
      </c>
      <c r="C103" s="111">
        <v>49.93607305936073</v>
      </c>
    </row>
    <row r="104" spans="1:3" ht="13" x14ac:dyDescent="0.3">
      <c r="A104" s="117" t="s">
        <v>250</v>
      </c>
      <c r="B104" s="107" t="s">
        <v>298</v>
      </c>
      <c r="C104" s="111">
        <v>14.252401828187669</v>
      </c>
    </row>
    <row r="105" spans="1:3" ht="13" x14ac:dyDescent="0.3">
      <c r="A105" s="117" t="s">
        <v>251</v>
      </c>
      <c r="B105" s="107" t="s">
        <v>299</v>
      </c>
      <c r="C105" s="111">
        <v>83.599857853589199</v>
      </c>
    </row>
    <row r="106" spans="1:3" ht="13" x14ac:dyDescent="0.3">
      <c r="A106" s="117" t="s">
        <v>252</v>
      </c>
      <c r="B106" s="107" t="s">
        <v>300</v>
      </c>
      <c r="C106" s="111">
        <v>88.61315176491668</v>
      </c>
    </row>
  </sheetData>
  <pageMargins left="0.75" right="0.75" top="1" bottom="1" header="0.5" footer="0.5"/>
  <pageSetup paperSize="9" orientation="portrait" horizontalDpi="360" verticalDpi="360" r:id="rId1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8"/>
  <sheetViews>
    <sheetView topLeftCell="A10" workbookViewId="0">
      <selection activeCell="N217" sqref="N217"/>
    </sheetView>
  </sheetViews>
  <sheetFormatPr defaultRowHeight="12.5" x14ac:dyDescent="0.25"/>
  <cols>
    <col min="1" max="1" width="25.7109375" style="107" customWidth="1"/>
    <col min="2" max="41" width="9" style="107" customWidth="1"/>
    <col min="42" max="255" width="8.7109375" style="107"/>
    <col min="256" max="256" width="19.35546875" style="107" customWidth="1"/>
    <col min="257" max="257" width="25.7109375" style="107" customWidth="1"/>
    <col min="258" max="297" width="9" style="107" customWidth="1"/>
    <col min="298" max="511" width="8.7109375" style="107"/>
    <col min="512" max="512" width="19.35546875" style="107" customWidth="1"/>
    <col min="513" max="513" width="25.7109375" style="107" customWidth="1"/>
    <col min="514" max="553" width="9" style="107" customWidth="1"/>
    <col min="554" max="767" width="8.7109375" style="107"/>
    <col min="768" max="768" width="19.35546875" style="107" customWidth="1"/>
    <col min="769" max="769" width="25.7109375" style="107" customWidth="1"/>
    <col min="770" max="809" width="9" style="107" customWidth="1"/>
    <col min="810" max="1023" width="8.7109375" style="107"/>
    <col min="1024" max="1024" width="19.35546875" style="107" customWidth="1"/>
    <col min="1025" max="1025" width="25.7109375" style="107" customWidth="1"/>
    <col min="1026" max="1065" width="9" style="107" customWidth="1"/>
    <col min="1066" max="1279" width="8.7109375" style="107"/>
    <col min="1280" max="1280" width="19.35546875" style="107" customWidth="1"/>
    <col min="1281" max="1281" width="25.7109375" style="107" customWidth="1"/>
    <col min="1282" max="1321" width="9" style="107" customWidth="1"/>
    <col min="1322" max="1535" width="8.7109375" style="107"/>
    <col min="1536" max="1536" width="19.35546875" style="107" customWidth="1"/>
    <col min="1537" max="1537" width="25.7109375" style="107" customWidth="1"/>
    <col min="1538" max="1577" width="9" style="107" customWidth="1"/>
    <col min="1578" max="1791" width="8.7109375" style="107"/>
    <col min="1792" max="1792" width="19.35546875" style="107" customWidth="1"/>
    <col min="1793" max="1793" width="25.7109375" style="107" customWidth="1"/>
    <col min="1794" max="1833" width="9" style="107" customWidth="1"/>
    <col min="1834" max="2047" width="8.7109375" style="107"/>
    <col min="2048" max="2048" width="19.35546875" style="107" customWidth="1"/>
    <col min="2049" max="2049" width="25.7109375" style="107" customWidth="1"/>
    <col min="2050" max="2089" width="9" style="107" customWidth="1"/>
    <col min="2090" max="2303" width="8.7109375" style="107"/>
    <col min="2304" max="2304" width="19.35546875" style="107" customWidth="1"/>
    <col min="2305" max="2305" width="25.7109375" style="107" customWidth="1"/>
    <col min="2306" max="2345" width="9" style="107" customWidth="1"/>
    <col min="2346" max="2559" width="8.7109375" style="107"/>
    <col min="2560" max="2560" width="19.35546875" style="107" customWidth="1"/>
    <col min="2561" max="2561" width="25.7109375" style="107" customWidth="1"/>
    <col min="2562" max="2601" width="9" style="107" customWidth="1"/>
    <col min="2602" max="2815" width="8.7109375" style="107"/>
    <col min="2816" max="2816" width="19.35546875" style="107" customWidth="1"/>
    <col min="2817" max="2817" width="25.7109375" style="107" customWidth="1"/>
    <col min="2818" max="2857" width="9" style="107" customWidth="1"/>
    <col min="2858" max="3071" width="8.7109375" style="107"/>
    <col min="3072" max="3072" width="19.35546875" style="107" customWidth="1"/>
    <col min="3073" max="3073" width="25.7109375" style="107" customWidth="1"/>
    <col min="3074" max="3113" width="9" style="107" customWidth="1"/>
    <col min="3114" max="3327" width="8.7109375" style="107"/>
    <col min="3328" max="3328" width="19.35546875" style="107" customWidth="1"/>
    <col min="3329" max="3329" width="25.7109375" style="107" customWidth="1"/>
    <col min="3330" max="3369" width="9" style="107" customWidth="1"/>
    <col min="3370" max="3583" width="8.7109375" style="107"/>
    <col min="3584" max="3584" width="19.35546875" style="107" customWidth="1"/>
    <col min="3585" max="3585" width="25.7109375" style="107" customWidth="1"/>
    <col min="3586" max="3625" width="9" style="107" customWidth="1"/>
    <col min="3626" max="3839" width="8.7109375" style="107"/>
    <col min="3840" max="3840" width="19.35546875" style="107" customWidth="1"/>
    <col min="3841" max="3841" width="25.7109375" style="107" customWidth="1"/>
    <col min="3842" max="3881" width="9" style="107" customWidth="1"/>
    <col min="3882" max="4095" width="8.7109375" style="107"/>
    <col min="4096" max="4096" width="19.35546875" style="107" customWidth="1"/>
    <col min="4097" max="4097" width="25.7109375" style="107" customWidth="1"/>
    <col min="4098" max="4137" width="9" style="107" customWidth="1"/>
    <col min="4138" max="4351" width="8.7109375" style="107"/>
    <col min="4352" max="4352" width="19.35546875" style="107" customWidth="1"/>
    <col min="4353" max="4353" width="25.7109375" style="107" customWidth="1"/>
    <col min="4354" max="4393" width="9" style="107" customWidth="1"/>
    <col min="4394" max="4607" width="8.7109375" style="107"/>
    <col min="4608" max="4608" width="19.35546875" style="107" customWidth="1"/>
    <col min="4609" max="4609" width="25.7109375" style="107" customWidth="1"/>
    <col min="4610" max="4649" width="9" style="107" customWidth="1"/>
    <col min="4650" max="4863" width="8.7109375" style="107"/>
    <col min="4864" max="4864" width="19.35546875" style="107" customWidth="1"/>
    <col min="4865" max="4865" width="25.7109375" style="107" customWidth="1"/>
    <col min="4866" max="4905" width="9" style="107" customWidth="1"/>
    <col min="4906" max="5119" width="8.7109375" style="107"/>
    <col min="5120" max="5120" width="19.35546875" style="107" customWidth="1"/>
    <col min="5121" max="5121" width="25.7109375" style="107" customWidth="1"/>
    <col min="5122" max="5161" width="9" style="107" customWidth="1"/>
    <col min="5162" max="5375" width="8.7109375" style="107"/>
    <col min="5376" max="5376" width="19.35546875" style="107" customWidth="1"/>
    <col min="5377" max="5377" width="25.7109375" style="107" customWidth="1"/>
    <col min="5378" max="5417" width="9" style="107" customWidth="1"/>
    <col min="5418" max="5631" width="8.7109375" style="107"/>
    <col min="5632" max="5632" width="19.35546875" style="107" customWidth="1"/>
    <col min="5633" max="5633" width="25.7109375" style="107" customWidth="1"/>
    <col min="5634" max="5673" width="9" style="107" customWidth="1"/>
    <col min="5674" max="5887" width="8.7109375" style="107"/>
    <col min="5888" max="5888" width="19.35546875" style="107" customWidth="1"/>
    <col min="5889" max="5889" width="25.7109375" style="107" customWidth="1"/>
    <col min="5890" max="5929" width="9" style="107" customWidth="1"/>
    <col min="5930" max="6143" width="8.7109375" style="107"/>
    <col min="6144" max="6144" width="19.35546875" style="107" customWidth="1"/>
    <col min="6145" max="6145" width="25.7109375" style="107" customWidth="1"/>
    <col min="6146" max="6185" width="9" style="107" customWidth="1"/>
    <col min="6186" max="6399" width="8.7109375" style="107"/>
    <col min="6400" max="6400" width="19.35546875" style="107" customWidth="1"/>
    <col min="6401" max="6401" width="25.7109375" style="107" customWidth="1"/>
    <col min="6402" max="6441" width="9" style="107" customWidth="1"/>
    <col min="6442" max="6655" width="8.7109375" style="107"/>
    <col min="6656" max="6656" width="19.35546875" style="107" customWidth="1"/>
    <col min="6657" max="6657" width="25.7109375" style="107" customWidth="1"/>
    <col min="6658" max="6697" width="9" style="107" customWidth="1"/>
    <col min="6698" max="6911" width="8.7109375" style="107"/>
    <col min="6912" max="6912" width="19.35546875" style="107" customWidth="1"/>
    <col min="6913" max="6913" width="25.7109375" style="107" customWidth="1"/>
    <col min="6914" max="6953" width="9" style="107" customWidth="1"/>
    <col min="6954" max="7167" width="8.7109375" style="107"/>
    <col min="7168" max="7168" width="19.35546875" style="107" customWidth="1"/>
    <col min="7169" max="7169" width="25.7109375" style="107" customWidth="1"/>
    <col min="7170" max="7209" width="9" style="107" customWidth="1"/>
    <col min="7210" max="7423" width="8.7109375" style="107"/>
    <col min="7424" max="7424" width="19.35546875" style="107" customWidth="1"/>
    <col min="7425" max="7425" width="25.7109375" style="107" customWidth="1"/>
    <col min="7426" max="7465" width="9" style="107" customWidth="1"/>
    <col min="7466" max="7679" width="8.7109375" style="107"/>
    <col min="7680" max="7680" width="19.35546875" style="107" customWidth="1"/>
    <col min="7681" max="7681" width="25.7109375" style="107" customWidth="1"/>
    <col min="7682" max="7721" width="9" style="107" customWidth="1"/>
    <col min="7722" max="7935" width="8.7109375" style="107"/>
    <col min="7936" max="7936" width="19.35546875" style="107" customWidth="1"/>
    <col min="7937" max="7937" width="25.7109375" style="107" customWidth="1"/>
    <col min="7938" max="7977" width="9" style="107" customWidth="1"/>
    <col min="7978" max="8191" width="8.7109375" style="107"/>
    <col min="8192" max="8192" width="19.35546875" style="107" customWidth="1"/>
    <col min="8193" max="8193" width="25.7109375" style="107" customWidth="1"/>
    <col min="8194" max="8233" width="9" style="107" customWidth="1"/>
    <col min="8234" max="8447" width="8.7109375" style="107"/>
    <col min="8448" max="8448" width="19.35546875" style="107" customWidth="1"/>
    <col min="8449" max="8449" width="25.7109375" style="107" customWidth="1"/>
    <col min="8450" max="8489" width="9" style="107" customWidth="1"/>
    <col min="8490" max="8703" width="8.7109375" style="107"/>
    <col min="8704" max="8704" width="19.35546875" style="107" customWidth="1"/>
    <col min="8705" max="8705" width="25.7109375" style="107" customWidth="1"/>
    <col min="8706" max="8745" width="9" style="107" customWidth="1"/>
    <col min="8746" max="8959" width="8.7109375" style="107"/>
    <col min="8960" max="8960" width="19.35546875" style="107" customWidth="1"/>
    <col min="8961" max="8961" width="25.7109375" style="107" customWidth="1"/>
    <col min="8962" max="9001" width="9" style="107" customWidth="1"/>
    <col min="9002" max="9215" width="8.7109375" style="107"/>
    <col min="9216" max="9216" width="19.35546875" style="107" customWidth="1"/>
    <col min="9217" max="9217" width="25.7109375" style="107" customWidth="1"/>
    <col min="9218" max="9257" width="9" style="107" customWidth="1"/>
    <col min="9258" max="9471" width="8.7109375" style="107"/>
    <col min="9472" max="9472" width="19.35546875" style="107" customWidth="1"/>
    <col min="9473" max="9473" width="25.7109375" style="107" customWidth="1"/>
    <col min="9474" max="9513" width="9" style="107" customWidth="1"/>
    <col min="9514" max="9727" width="8.7109375" style="107"/>
    <col min="9728" max="9728" width="19.35546875" style="107" customWidth="1"/>
    <col min="9729" max="9729" width="25.7109375" style="107" customWidth="1"/>
    <col min="9730" max="9769" width="9" style="107" customWidth="1"/>
    <col min="9770" max="9983" width="8.7109375" style="107"/>
    <col min="9984" max="9984" width="19.35546875" style="107" customWidth="1"/>
    <col min="9985" max="9985" width="25.7109375" style="107" customWidth="1"/>
    <col min="9986" max="10025" width="9" style="107" customWidth="1"/>
    <col min="10026" max="10239" width="8.7109375" style="107"/>
    <col min="10240" max="10240" width="19.35546875" style="107" customWidth="1"/>
    <col min="10241" max="10241" width="25.7109375" style="107" customWidth="1"/>
    <col min="10242" max="10281" width="9" style="107" customWidth="1"/>
    <col min="10282" max="10495" width="8.7109375" style="107"/>
    <col min="10496" max="10496" width="19.35546875" style="107" customWidth="1"/>
    <col min="10497" max="10497" width="25.7109375" style="107" customWidth="1"/>
    <col min="10498" max="10537" width="9" style="107" customWidth="1"/>
    <col min="10538" max="10751" width="8.7109375" style="107"/>
    <col min="10752" max="10752" width="19.35546875" style="107" customWidth="1"/>
    <col min="10753" max="10753" width="25.7109375" style="107" customWidth="1"/>
    <col min="10754" max="10793" width="9" style="107" customWidth="1"/>
    <col min="10794" max="11007" width="8.7109375" style="107"/>
    <col min="11008" max="11008" width="19.35546875" style="107" customWidth="1"/>
    <col min="11009" max="11009" width="25.7109375" style="107" customWidth="1"/>
    <col min="11010" max="11049" width="9" style="107" customWidth="1"/>
    <col min="11050" max="11263" width="8.7109375" style="107"/>
    <col min="11264" max="11264" width="19.35546875" style="107" customWidth="1"/>
    <col min="11265" max="11265" width="25.7109375" style="107" customWidth="1"/>
    <col min="11266" max="11305" width="9" style="107" customWidth="1"/>
    <col min="11306" max="11519" width="8.7109375" style="107"/>
    <col min="11520" max="11520" width="19.35546875" style="107" customWidth="1"/>
    <col min="11521" max="11521" width="25.7109375" style="107" customWidth="1"/>
    <col min="11522" max="11561" width="9" style="107" customWidth="1"/>
    <col min="11562" max="11775" width="8.7109375" style="107"/>
    <col min="11776" max="11776" width="19.35546875" style="107" customWidth="1"/>
    <col min="11777" max="11777" width="25.7109375" style="107" customWidth="1"/>
    <col min="11778" max="11817" width="9" style="107" customWidth="1"/>
    <col min="11818" max="12031" width="8.7109375" style="107"/>
    <col min="12032" max="12032" width="19.35546875" style="107" customWidth="1"/>
    <col min="12033" max="12033" width="25.7109375" style="107" customWidth="1"/>
    <col min="12034" max="12073" width="9" style="107" customWidth="1"/>
    <col min="12074" max="12287" width="8.7109375" style="107"/>
    <col min="12288" max="12288" width="19.35546875" style="107" customWidth="1"/>
    <col min="12289" max="12289" width="25.7109375" style="107" customWidth="1"/>
    <col min="12290" max="12329" width="9" style="107" customWidth="1"/>
    <col min="12330" max="12543" width="8.7109375" style="107"/>
    <col min="12544" max="12544" width="19.35546875" style="107" customWidth="1"/>
    <col min="12545" max="12545" width="25.7109375" style="107" customWidth="1"/>
    <col min="12546" max="12585" width="9" style="107" customWidth="1"/>
    <col min="12586" max="12799" width="8.7109375" style="107"/>
    <col min="12800" max="12800" width="19.35546875" style="107" customWidth="1"/>
    <col min="12801" max="12801" width="25.7109375" style="107" customWidth="1"/>
    <col min="12802" max="12841" width="9" style="107" customWidth="1"/>
    <col min="12842" max="13055" width="8.7109375" style="107"/>
    <col min="13056" max="13056" width="19.35546875" style="107" customWidth="1"/>
    <col min="13057" max="13057" width="25.7109375" style="107" customWidth="1"/>
    <col min="13058" max="13097" width="9" style="107" customWidth="1"/>
    <col min="13098" max="13311" width="8.7109375" style="107"/>
    <col min="13312" max="13312" width="19.35546875" style="107" customWidth="1"/>
    <col min="13313" max="13313" width="25.7109375" style="107" customWidth="1"/>
    <col min="13314" max="13353" width="9" style="107" customWidth="1"/>
    <col min="13354" max="13567" width="8.7109375" style="107"/>
    <col min="13568" max="13568" width="19.35546875" style="107" customWidth="1"/>
    <col min="13569" max="13569" width="25.7109375" style="107" customWidth="1"/>
    <col min="13570" max="13609" width="9" style="107" customWidth="1"/>
    <col min="13610" max="13823" width="8.7109375" style="107"/>
    <col min="13824" max="13824" width="19.35546875" style="107" customWidth="1"/>
    <col min="13825" max="13825" width="25.7109375" style="107" customWidth="1"/>
    <col min="13826" max="13865" width="9" style="107" customWidth="1"/>
    <col min="13866" max="14079" width="8.7109375" style="107"/>
    <col min="14080" max="14080" width="19.35546875" style="107" customWidth="1"/>
    <col min="14081" max="14081" width="25.7109375" style="107" customWidth="1"/>
    <col min="14082" max="14121" width="9" style="107" customWidth="1"/>
    <col min="14122" max="14335" width="8.7109375" style="107"/>
    <col min="14336" max="14336" width="19.35546875" style="107" customWidth="1"/>
    <col min="14337" max="14337" width="25.7109375" style="107" customWidth="1"/>
    <col min="14338" max="14377" width="9" style="107" customWidth="1"/>
    <col min="14378" max="14591" width="8.7109375" style="107"/>
    <col min="14592" max="14592" width="19.35546875" style="107" customWidth="1"/>
    <col min="14593" max="14593" width="25.7109375" style="107" customWidth="1"/>
    <col min="14594" max="14633" width="9" style="107" customWidth="1"/>
    <col min="14634" max="14847" width="8.7109375" style="107"/>
    <col min="14848" max="14848" width="19.35546875" style="107" customWidth="1"/>
    <col min="14849" max="14849" width="25.7109375" style="107" customWidth="1"/>
    <col min="14850" max="14889" width="9" style="107" customWidth="1"/>
    <col min="14890" max="15103" width="8.7109375" style="107"/>
    <col min="15104" max="15104" width="19.35546875" style="107" customWidth="1"/>
    <col min="15105" max="15105" width="25.7109375" style="107" customWidth="1"/>
    <col min="15106" max="15145" width="9" style="107" customWidth="1"/>
    <col min="15146" max="15359" width="8.7109375" style="107"/>
    <col min="15360" max="15360" width="19.35546875" style="107" customWidth="1"/>
    <col min="15361" max="15361" width="25.7109375" style="107" customWidth="1"/>
    <col min="15362" max="15401" width="9" style="107" customWidth="1"/>
    <col min="15402" max="15615" width="8.7109375" style="107"/>
    <col min="15616" max="15616" width="19.35546875" style="107" customWidth="1"/>
    <col min="15617" max="15617" width="25.7109375" style="107" customWidth="1"/>
    <col min="15618" max="15657" width="9" style="107" customWidth="1"/>
    <col min="15658" max="15871" width="8.7109375" style="107"/>
    <col min="15872" max="15872" width="19.35546875" style="107" customWidth="1"/>
    <col min="15873" max="15873" width="25.7109375" style="107" customWidth="1"/>
    <col min="15874" max="15913" width="9" style="107" customWidth="1"/>
    <col min="15914" max="16127" width="8.7109375" style="107"/>
    <col min="16128" max="16128" width="19.35546875" style="107" customWidth="1"/>
    <col min="16129" max="16129" width="25.7109375" style="107" customWidth="1"/>
    <col min="16130" max="16169" width="9" style="107" customWidth="1"/>
    <col min="16170" max="16384" width="8.7109375" style="107"/>
  </cols>
  <sheetData>
    <row r="1" spans="1:45" ht="13" x14ac:dyDescent="0.3">
      <c r="A1" s="140" t="s">
        <v>301</v>
      </c>
    </row>
    <row r="2" spans="1:45" ht="13" x14ac:dyDescent="0.3">
      <c r="A2" s="106" t="s">
        <v>302</v>
      </c>
    </row>
    <row r="5" spans="1:45" s="118" customFormat="1" ht="13" x14ac:dyDescent="0.3">
      <c r="A5" s="112" t="s">
        <v>157</v>
      </c>
      <c r="B5" s="117" t="s">
        <v>303</v>
      </c>
      <c r="C5" s="117" t="s">
        <v>304</v>
      </c>
      <c r="D5" s="117" t="s">
        <v>305</v>
      </c>
      <c r="E5" s="117" t="s">
        <v>306</v>
      </c>
      <c r="F5" s="117" t="s">
        <v>307</v>
      </c>
      <c r="G5" s="117" t="s">
        <v>308</v>
      </c>
      <c r="H5" s="117" t="s">
        <v>309</v>
      </c>
      <c r="I5" s="117" t="s">
        <v>310</v>
      </c>
      <c r="J5" s="117" t="s">
        <v>311</v>
      </c>
      <c r="K5" s="117" t="s">
        <v>312</v>
      </c>
      <c r="L5" s="117" t="s">
        <v>313</v>
      </c>
      <c r="M5" s="117" t="s">
        <v>314</v>
      </c>
      <c r="N5" s="117" t="s">
        <v>315</v>
      </c>
      <c r="O5" s="117" t="s">
        <v>316</v>
      </c>
      <c r="P5" s="117" t="s">
        <v>317</v>
      </c>
      <c r="Q5" s="117" t="s">
        <v>318</v>
      </c>
      <c r="R5" s="117" t="s">
        <v>319</v>
      </c>
      <c r="S5" s="117" t="s">
        <v>320</v>
      </c>
      <c r="T5" s="117" t="s">
        <v>321</v>
      </c>
      <c r="U5" s="117" t="s">
        <v>322</v>
      </c>
      <c r="V5" s="117" t="s">
        <v>323</v>
      </c>
      <c r="W5" s="117" t="s">
        <v>324</v>
      </c>
      <c r="X5" s="117" t="s">
        <v>325</v>
      </c>
      <c r="Y5" s="117" t="s">
        <v>326</v>
      </c>
      <c r="Z5" s="117" t="s">
        <v>327</v>
      </c>
      <c r="AA5" s="117" t="s">
        <v>328</v>
      </c>
      <c r="AB5" s="117" t="s">
        <v>329</v>
      </c>
      <c r="AC5" s="117" t="s">
        <v>330</v>
      </c>
      <c r="AD5" s="117" t="s">
        <v>331</v>
      </c>
      <c r="AE5" s="117" t="s">
        <v>332</v>
      </c>
      <c r="AF5" s="117" t="s">
        <v>333</v>
      </c>
      <c r="AG5" s="117" t="s">
        <v>334</v>
      </c>
      <c r="AH5" s="117" t="s">
        <v>335</v>
      </c>
      <c r="AI5" s="117" t="s">
        <v>336</v>
      </c>
      <c r="AJ5" s="117" t="s">
        <v>337</v>
      </c>
      <c r="AK5" s="117" t="s">
        <v>338</v>
      </c>
      <c r="AL5" s="117" t="s">
        <v>339</v>
      </c>
      <c r="AM5" s="117" t="s">
        <v>340</v>
      </c>
      <c r="AN5" s="117" t="s">
        <v>341</v>
      </c>
      <c r="AO5" s="117" t="s">
        <v>342</v>
      </c>
      <c r="AP5" s="117" t="s">
        <v>343</v>
      </c>
      <c r="AQ5" s="117" t="s">
        <v>344</v>
      </c>
      <c r="AR5" s="117" t="s">
        <v>345</v>
      </c>
      <c r="AS5" s="118" t="s">
        <v>346</v>
      </c>
    </row>
    <row r="6" spans="1:45" x14ac:dyDescent="0.25">
      <c r="A6" s="119" t="s">
        <v>42</v>
      </c>
      <c r="B6" s="111">
        <v>46.739130434782609</v>
      </c>
      <c r="C6" s="111">
        <v>71.764705882352942</v>
      </c>
      <c r="D6" s="111">
        <v>83.516483516483518</v>
      </c>
      <c r="E6" s="111">
        <v>63.636363636363633</v>
      </c>
      <c r="F6" s="111">
        <v>58.823529411764703</v>
      </c>
      <c r="G6" s="111">
        <v>64.15094339622641</v>
      </c>
      <c r="H6" s="111">
        <v>42.307692307692307</v>
      </c>
      <c r="I6" s="111">
        <v>27.777777777777779</v>
      </c>
      <c r="J6" s="111">
        <v>31.578947368421051</v>
      </c>
      <c r="K6" s="111">
        <v>38.70967741935484</v>
      </c>
      <c r="L6" s="111">
        <v>41.176470588235297</v>
      </c>
      <c r="M6" s="111">
        <v>43.333333333333336</v>
      </c>
      <c r="N6" s="111">
        <v>29.411764705882351</v>
      </c>
      <c r="O6" s="111">
        <v>56.521739130434781</v>
      </c>
      <c r="P6" s="111">
        <v>23.529411764705884</v>
      </c>
      <c r="Q6" s="111">
        <v>45</v>
      </c>
      <c r="R6" s="111">
        <v>14.285714285714286</v>
      </c>
      <c r="S6" s="111">
        <v>17.647058823529413</v>
      </c>
      <c r="T6" s="111">
        <v>89.473684210526315</v>
      </c>
      <c r="U6" s="111">
        <v>79.411764705882348</v>
      </c>
      <c r="V6" s="111">
        <v>81.578947368421055</v>
      </c>
      <c r="W6" s="111">
        <v>68.421052631578945</v>
      </c>
      <c r="X6" s="111">
        <v>83.333333333333329</v>
      </c>
      <c r="Y6" s="111">
        <v>64.516129032258064</v>
      </c>
      <c r="Z6" s="111">
        <v>47.826086956521742</v>
      </c>
      <c r="AA6" s="111">
        <v>55.555555555555557</v>
      </c>
      <c r="AB6" s="111">
        <v>39.130434782608695</v>
      </c>
      <c r="AC6" s="111">
        <v>46.875</v>
      </c>
      <c r="AD6" s="111">
        <v>63.157894736842103</v>
      </c>
      <c r="AE6" s="111">
        <v>86.84210526315789</v>
      </c>
      <c r="AF6" s="111">
        <v>40</v>
      </c>
      <c r="AG6" s="111">
        <v>49.090909090909093</v>
      </c>
      <c r="AH6" s="111">
        <v>40</v>
      </c>
      <c r="AI6" s="111">
        <v>31.03448275862069</v>
      </c>
      <c r="AJ6" s="111">
        <v>45.161290322580648</v>
      </c>
      <c r="AK6" s="111">
        <v>29.310344827586206</v>
      </c>
      <c r="AL6" s="111">
        <v>67.5</v>
      </c>
      <c r="AM6" s="111">
        <v>91.34615384615384</v>
      </c>
      <c r="AN6" s="111">
        <v>92.307692307692307</v>
      </c>
      <c r="AO6" s="111">
        <v>36.697247706422019</v>
      </c>
      <c r="AP6" s="111">
        <v>58.888888888888886</v>
      </c>
      <c r="AQ6" s="111">
        <v>36.53846153846154</v>
      </c>
      <c r="AR6" s="111">
        <v>51.485148514851488</v>
      </c>
      <c r="AS6" s="119">
        <v>119</v>
      </c>
    </row>
    <row r="7" spans="1:45" x14ac:dyDescent="0.25">
      <c r="A7" s="119" t="s">
        <v>43</v>
      </c>
      <c r="B7" s="111">
        <v>66.935483870967744</v>
      </c>
      <c r="C7" s="111">
        <v>76.535087719298247</v>
      </c>
      <c r="D7" s="111">
        <v>69.825436408977552</v>
      </c>
      <c r="E7" s="111">
        <v>83.870967741935488</v>
      </c>
      <c r="F7" s="111">
        <v>66.863905325443781</v>
      </c>
      <c r="G7" s="111">
        <v>75.63636363636364</v>
      </c>
      <c r="H7" s="111">
        <v>40.74074074074074</v>
      </c>
      <c r="I7" s="111">
        <v>30.303030303030305</v>
      </c>
      <c r="J7" s="111">
        <v>41.463414634146339</v>
      </c>
      <c r="K7" s="111">
        <v>30.985915492957748</v>
      </c>
      <c r="L7" s="111">
        <v>18.309859154929576</v>
      </c>
      <c r="M7" s="111">
        <v>23.943661971830984</v>
      </c>
      <c r="N7" s="111">
        <v>22.222222222222221</v>
      </c>
      <c r="O7" s="111">
        <v>54.545454545454547</v>
      </c>
      <c r="P7" s="111">
        <v>29.310344827586206</v>
      </c>
      <c r="Q7" s="111">
        <v>37.037037037037038</v>
      </c>
      <c r="R7" s="111">
        <v>22.916666666666668</v>
      </c>
      <c r="S7" s="111">
        <v>26.5625</v>
      </c>
      <c r="T7" s="111">
        <v>76.543209876543216</v>
      </c>
      <c r="U7" s="111">
        <v>80.434782608695656</v>
      </c>
      <c r="V7" s="111">
        <v>83.060109289617486</v>
      </c>
      <c r="W7" s="111">
        <v>77.124183006535944</v>
      </c>
      <c r="X7" s="111">
        <v>79.56204379562044</v>
      </c>
      <c r="Y7" s="111">
        <v>65.168539325842701</v>
      </c>
      <c r="Z7" s="111">
        <v>49.350649350649348</v>
      </c>
      <c r="AA7" s="111">
        <v>44.303797468354432</v>
      </c>
      <c r="AB7" s="111">
        <v>58.333333333333336</v>
      </c>
      <c r="AC7" s="111">
        <v>46.296296296296298</v>
      </c>
      <c r="AD7" s="111">
        <v>79.646017699115049</v>
      </c>
      <c r="AE7" s="111">
        <v>94.241842610364685</v>
      </c>
      <c r="AF7" s="111">
        <v>84.571428571428569</v>
      </c>
      <c r="AG7" s="111">
        <v>83.87909319899245</v>
      </c>
      <c r="AH7" s="111">
        <v>58.22784810126582</v>
      </c>
      <c r="AI7" s="111">
        <v>29.702970297029704</v>
      </c>
      <c r="AJ7" s="111">
        <v>19.696969696969695</v>
      </c>
      <c r="AK7" s="111">
        <v>64.358108108108112</v>
      </c>
      <c r="AL7" s="111">
        <v>29.508196721311474</v>
      </c>
      <c r="AM7" s="111">
        <v>83.271375464684013</v>
      </c>
      <c r="AN7" s="111">
        <v>75.563258232235697</v>
      </c>
      <c r="AO7" s="111">
        <v>45.662847790507364</v>
      </c>
      <c r="AP7" s="111">
        <v>79.370629370629374</v>
      </c>
      <c r="AQ7" s="111">
        <v>33.432835820895519</v>
      </c>
      <c r="AR7" s="111">
        <v>54.915254237288138</v>
      </c>
      <c r="AS7" s="119">
        <v>667</v>
      </c>
    </row>
    <row r="8" spans="1:45" x14ac:dyDescent="0.25">
      <c r="A8" s="119" t="s">
        <v>44</v>
      </c>
      <c r="B8" s="111">
        <v>83.703703703703709</v>
      </c>
      <c r="C8" s="111">
        <v>85.826771653543304</v>
      </c>
      <c r="D8" s="111">
        <v>69.724770642201833</v>
      </c>
      <c r="E8" s="111">
        <v>86.84210526315789</v>
      </c>
      <c r="F8" s="111">
        <v>82.608695652173907</v>
      </c>
      <c r="G8" s="111">
        <v>81.690140845070417</v>
      </c>
      <c r="H8" s="111">
        <v>62.5</v>
      </c>
      <c r="I8" s="111">
        <v>40</v>
      </c>
      <c r="J8" s="111">
        <v>27.272727272727273</v>
      </c>
      <c r="K8" s="111">
        <v>52.631578947368418</v>
      </c>
      <c r="L8" s="111">
        <v>44.444444444444443</v>
      </c>
      <c r="M8" s="111">
        <v>47.368421052631582</v>
      </c>
      <c r="N8" s="111">
        <v>50</v>
      </c>
      <c r="O8" s="111">
        <v>53.846153846153847</v>
      </c>
      <c r="P8" s="111">
        <v>60</v>
      </c>
      <c r="Q8" s="111">
        <v>55.555555555555557</v>
      </c>
      <c r="R8" s="111">
        <v>20</v>
      </c>
      <c r="S8" s="111">
        <v>40</v>
      </c>
      <c r="T8" s="111">
        <v>78.125</v>
      </c>
      <c r="U8" s="111">
        <v>80.769230769230774</v>
      </c>
      <c r="V8" s="111">
        <v>78.571428571428569</v>
      </c>
      <c r="W8" s="111">
        <v>78.378378378378372</v>
      </c>
      <c r="X8" s="111">
        <v>80</v>
      </c>
      <c r="Y8" s="111">
        <v>52.631578947368418</v>
      </c>
      <c r="Z8" s="111">
        <v>60</v>
      </c>
      <c r="AA8" s="111">
        <v>70</v>
      </c>
      <c r="AB8" s="111">
        <v>72.727272727272734</v>
      </c>
      <c r="AC8" s="111">
        <v>50</v>
      </c>
      <c r="AD8" s="111">
        <v>79.629629629629633</v>
      </c>
      <c r="AE8" s="111">
        <v>89.285714285714292</v>
      </c>
      <c r="AF8" s="111">
        <v>52.083333333333336</v>
      </c>
      <c r="AG8" s="111">
        <v>74.242424242424249</v>
      </c>
      <c r="AH8" s="111">
        <v>59.25925925925926</v>
      </c>
      <c r="AI8" s="111">
        <v>22.727272727272727</v>
      </c>
      <c r="AJ8" s="111">
        <v>59.25925925925926</v>
      </c>
      <c r="AK8" s="111">
        <v>27.027027027027028</v>
      </c>
      <c r="AL8" s="111">
        <v>40.476190476190474</v>
      </c>
      <c r="AM8" s="111">
        <v>79.166666666666671</v>
      </c>
      <c r="AN8" s="111">
        <v>76.59574468085107</v>
      </c>
      <c r="AO8" s="111">
        <v>35.570469798657719</v>
      </c>
      <c r="AP8" s="111">
        <v>66.911764705882348</v>
      </c>
      <c r="AQ8" s="111">
        <v>52.439024390243901</v>
      </c>
      <c r="AR8" s="111">
        <v>57.432432432432435</v>
      </c>
      <c r="AS8" s="119">
        <v>165</v>
      </c>
    </row>
    <row r="9" spans="1:45" x14ac:dyDescent="0.25">
      <c r="A9" s="119" t="s">
        <v>68</v>
      </c>
      <c r="B9" s="111">
        <v>53.260869565217391</v>
      </c>
      <c r="C9" s="111">
        <v>63.814180929095357</v>
      </c>
      <c r="D9" s="111">
        <v>65.109890109890117</v>
      </c>
      <c r="E9" s="111">
        <v>77.692307692307693</v>
      </c>
      <c r="F9" s="111">
        <v>63.309352517985609</v>
      </c>
      <c r="G9" s="111">
        <v>65.106382978723403</v>
      </c>
      <c r="H9" s="111">
        <v>27.536231884057973</v>
      </c>
      <c r="I9" s="111">
        <v>31.578947368421051</v>
      </c>
      <c r="J9" s="111">
        <v>25.609756097560975</v>
      </c>
      <c r="K9" s="111">
        <v>21.951219512195124</v>
      </c>
      <c r="L9" s="111">
        <v>12</v>
      </c>
      <c r="M9" s="111">
        <v>15.584415584415584</v>
      </c>
      <c r="N9" s="111">
        <v>21.818181818181817</v>
      </c>
      <c r="O9" s="111">
        <v>42.857142857142854</v>
      </c>
      <c r="P9" s="111">
        <v>21.875</v>
      </c>
      <c r="Q9" s="111">
        <v>37.5</v>
      </c>
      <c r="R9" s="111">
        <v>26.984126984126984</v>
      </c>
      <c r="S9" s="111">
        <v>28.260869565217391</v>
      </c>
      <c r="T9" s="111">
        <v>68.613138686131393</v>
      </c>
      <c r="U9" s="111">
        <v>71.311475409836063</v>
      </c>
      <c r="V9" s="111">
        <v>63.945578231292515</v>
      </c>
      <c r="W9" s="111">
        <v>61.111111111111114</v>
      </c>
      <c r="X9" s="111">
        <v>76.033057851239676</v>
      </c>
      <c r="Y9" s="111">
        <v>57.731958762886599</v>
      </c>
      <c r="Z9" s="111">
        <v>38.356164383561641</v>
      </c>
      <c r="AA9" s="111">
        <v>40.845070422535208</v>
      </c>
      <c r="AB9" s="111">
        <v>48.837209302325583</v>
      </c>
      <c r="AC9" s="111">
        <v>46</v>
      </c>
      <c r="AD9" s="111">
        <v>75.129533678756474</v>
      </c>
      <c r="AE9" s="111">
        <v>91.588785046728972</v>
      </c>
      <c r="AF9" s="111">
        <v>71.314741035856571</v>
      </c>
      <c r="AG9" s="111">
        <v>78.996865203761757</v>
      </c>
      <c r="AH9" s="111">
        <v>43.421052631578945</v>
      </c>
      <c r="AI9" s="111">
        <v>30.90909090909091</v>
      </c>
      <c r="AJ9" s="111">
        <v>20</v>
      </c>
      <c r="AK9" s="111">
        <v>65.391969407265776</v>
      </c>
      <c r="AL9" s="111">
        <v>36.363636363636367</v>
      </c>
      <c r="AM9" s="111">
        <v>84.133611691022963</v>
      </c>
      <c r="AN9" s="111">
        <v>78.656126482213438</v>
      </c>
      <c r="AO9" s="111">
        <v>39.752650176678443</v>
      </c>
      <c r="AP9" s="111">
        <v>78.867924528301884</v>
      </c>
      <c r="AQ9" s="111">
        <v>35.91549295774648</v>
      </c>
      <c r="AR9" s="111">
        <v>45.765765765765764</v>
      </c>
      <c r="AS9" s="119">
        <v>624</v>
      </c>
    </row>
    <row r="10" spans="1:45" x14ac:dyDescent="0.25">
      <c r="A10" s="119" t="s">
        <v>2</v>
      </c>
      <c r="B10" s="111">
        <v>40.259740259740262</v>
      </c>
      <c r="C10" s="111">
        <v>73.611111111111114</v>
      </c>
      <c r="D10" s="111">
        <v>38</v>
      </c>
      <c r="E10" s="111">
        <v>66.666666666666671</v>
      </c>
      <c r="F10" s="111">
        <v>53.846153846153847</v>
      </c>
      <c r="G10" s="111">
        <v>60.526315789473685</v>
      </c>
      <c r="H10" s="111">
        <v>56.666666666666664</v>
      </c>
      <c r="I10" s="111">
        <v>34.782608695652172</v>
      </c>
      <c r="J10" s="111">
        <v>14.285714285714286</v>
      </c>
      <c r="K10" s="111">
        <v>59.25925925925926</v>
      </c>
      <c r="L10" s="111">
        <v>51.724137931034484</v>
      </c>
      <c r="M10" s="111">
        <v>64.516129032258064</v>
      </c>
      <c r="N10" s="111">
        <v>16.666666666666668</v>
      </c>
      <c r="O10" s="111">
        <v>46.666666666666664</v>
      </c>
      <c r="P10" s="111">
        <v>45.454545454545453</v>
      </c>
      <c r="Q10" s="111">
        <v>28.571428571428573</v>
      </c>
      <c r="R10" s="111">
        <v>18.181818181818183</v>
      </c>
      <c r="S10" s="111">
        <v>8.3333333333333339</v>
      </c>
      <c r="T10" s="111">
        <v>70.967741935483872</v>
      </c>
      <c r="U10" s="111">
        <v>74.074074074074076</v>
      </c>
      <c r="V10" s="111">
        <v>70.370370370370367</v>
      </c>
      <c r="W10" s="111">
        <v>75</v>
      </c>
      <c r="X10" s="111">
        <v>31.25</v>
      </c>
      <c r="Y10" s="111">
        <v>23.529411764705884</v>
      </c>
      <c r="Z10" s="111">
        <v>23.076923076923077</v>
      </c>
      <c r="AA10" s="111">
        <v>41.666666666666664</v>
      </c>
      <c r="AB10" s="111">
        <v>52.631578947368418</v>
      </c>
      <c r="AC10" s="111">
        <v>80</v>
      </c>
      <c r="AD10" s="111">
        <v>65</v>
      </c>
      <c r="AE10" s="111">
        <v>88.679245283018872</v>
      </c>
      <c r="AF10" s="111">
        <v>45.454545454545453</v>
      </c>
      <c r="AG10" s="111">
        <v>70.454545454545453</v>
      </c>
      <c r="AH10" s="111">
        <v>47.368421052631582</v>
      </c>
      <c r="AI10" s="111">
        <v>61.29032258064516</v>
      </c>
      <c r="AJ10" s="111">
        <v>75.862068965517238</v>
      </c>
      <c r="AK10" s="111">
        <v>12.195121951219512</v>
      </c>
      <c r="AL10" s="111">
        <v>67.5</v>
      </c>
      <c r="AM10" s="111">
        <v>84.415584415584419</v>
      </c>
      <c r="AN10" s="111">
        <v>86.075949367088612</v>
      </c>
      <c r="AO10" s="111">
        <v>38.75</v>
      </c>
      <c r="AP10" s="111">
        <v>61.904761904761905</v>
      </c>
      <c r="AQ10" s="111">
        <v>52.173913043478258</v>
      </c>
      <c r="AR10" s="111">
        <v>66.233766233766232</v>
      </c>
      <c r="AS10" s="119">
        <v>99</v>
      </c>
    </row>
    <row r="11" spans="1:45" x14ac:dyDescent="0.25">
      <c r="A11" s="119" t="s">
        <v>3</v>
      </c>
      <c r="B11" s="111">
        <v>84.765625</v>
      </c>
      <c r="C11" s="111">
        <v>90.756302521008408</v>
      </c>
      <c r="D11" s="111">
        <v>78.15533980582525</v>
      </c>
      <c r="E11" s="111">
        <v>86.486486486486484</v>
      </c>
      <c r="F11" s="111">
        <v>79.012345679012341</v>
      </c>
      <c r="G11" s="111">
        <v>76.258992805755398</v>
      </c>
      <c r="H11" s="111">
        <v>60</v>
      </c>
      <c r="I11" s="111">
        <v>53.488372093023258</v>
      </c>
      <c r="J11" s="111">
        <v>57.142857142857146</v>
      </c>
      <c r="K11" s="111">
        <v>57.777777777777779</v>
      </c>
      <c r="L11" s="111">
        <v>47.5</v>
      </c>
      <c r="M11" s="111">
        <v>51.111111111111114</v>
      </c>
      <c r="N11" s="111">
        <v>40.625</v>
      </c>
      <c r="O11" s="111">
        <v>72.222222222222229</v>
      </c>
      <c r="P11" s="111">
        <v>48.571428571428569</v>
      </c>
      <c r="Q11" s="111">
        <v>48.484848484848484</v>
      </c>
      <c r="R11" s="111">
        <v>32.142857142857146</v>
      </c>
      <c r="S11" s="111">
        <v>55.172413793103445</v>
      </c>
      <c r="T11" s="111">
        <v>79.487179487179489</v>
      </c>
      <c r="U11" s="111">
        <v>84.507042253521121</v>
      </c>
      <c r="V11" s="111">
        <v>76.829268292682926</v>
      </c>
      <c r="W11" s="111">
        <v>68.055555555555557</v>
      </c>
      <c r="X11" s="111">
        <v>30.508474576271187</v>
      </c>
      <c r="Y11" s="111">
        <v>29.26829268292683</v>
      </c>
      <c r="Z11" s="111">
        <v>52.083333333333336</v>
      </c>
      <c r="AA11" s="111">
        <v>55.555555555555557</v>
      </c>
      <c r="AB11" s="111">
        <v>61.363636363636367</v>
      </c>
      <c r="AC11" s="111">
        <v>60.344827586206897</v>
      </c>
      <c r="AD11" s="111">
        <v>75.247524752475243</v>
      </c>
      <c r="AE11" s="111">
        <v>84.834123222748815</v>
      </c>
      <c r="AF11" s="111">
        <v>57.575757575757578</v>
      </c>
      <c r="AG11" s="111">
        <v>85.714285714285708</v>
      </c>
      <c r="AH11" s="111">
        <v>63.265306122448976</v>
      </c>
      <c r="AI11" s="111">
        <v>48.888888888888886</v>
      </c>
      <c r="AJ11" s="111">
        <v>58.18181818181818</v>
      </c>
      <c r="AK11" s="111">
        <v>52.840909090909093</v>
      </c>
      <c r="AL11" s="111">
        <v>64</v>
      </c>
      <c r="AM11" s="111">
        <v>75.438596491228068</v>
      </c>
      <c r="AN11" s="111">
        <v>79.435483870967744</v>
      </c>
      <c r="AO11" s="111">
        <v>37.969924812030072</v>
      </c>
      <c r="AP11" s="111">
        <v>74.561403508771932</v>
      </c>
      <c r="AQ11" s="111">
        <v>48.936170212765958</v>
      </c>
      <c r="AR11" s="111">
        <v>58.984375</v>
      </c>
      <c r="AS11" s="119">
        <v>301</v>
      </c>
    </row>
    <row r="12" spans="1:45" x14ac:dyDescent="0.25">
      <c r="A12" s="119" t="s">
        <v>4</v>
      </c>
      <c r="B12" s="111">
        <v>69.371196754563897</v>
      </c>
      <c r="C12" s="111">
        <v>77.455357142857139</v>
      </c>
      <c r="D12" s="111">
        <v>67.624020887728463</v>
      </c>
      <c r="E12" s="111">
        <v>81.818181818181813</v>
      </c>
      <c r="F12" s="111">
        <v>61.490683229813662</v>
      </c>
      <c r="G12" s="111">
        <v>73.063973063973066</v>
      </c>
      <c r="H12" s="111">
        <v>41.836734693877553</v>
      </c>
      <c r="I12" s="111">
        <v>36</v>
      </c>
      <c r="J12" s="111">
        <v>43.518518518518519</v>
      </c>
      <c r="K12" s="111">
        <v>33.333333333333336</v>
      </c>
      <c r="L12" s="111">
        <v>31.666666666666668</v>
      </c>
      <c r="M12" s="111">
        <v>30.172413793103448</v>
      </c>
      <c r="N12" s="111">
        <v>36.231884057971016</v>
      </c>
      <c r="O12" s="111">
        <v>55.844155844155843</v>
      </c>
      <c r="P12" s="111">
        <v>32.835820895522389</v>
      </c>
      <c r="Q12" s="111">
        <v>43.835616438356162</v>
      </c>
      <c r="R12" s="111">
        <v>40.909090909090907</v>
      </c>
      <c r="S12" s="111">
        <v>31.818181818181817</v>
      </c>
      <c r="T12" s="111">
        <v>71.337579617834393</v>
      </c>
      <c r="U12" s="111">
        <v>75.806451612903231</v>
      </c>
      <c r="V12" s="111">
        <v>75.816993464052288</v>
      </c>
      <c r="W12" s="111">
        <v>63.358778625954201</v>
      </c>
      <c r="X12" s="111">
        <v>73.80952380952381</v>
      </c>
      <c r="Y12" s="111">
        <v>68.421052631578945</v>
      </c>
      <c r="Z12" s="111">
        <v>49.411764705882355</v>
      </c>
      <c r="AA12" s="111">
        <v>51.898734177215189</v>
      </c>
      <c r="AB12" s="111">
        <v>54.945054945054942</v>
      </c>
      <c r="AC12" s="111">
        <v>50.980392156862742</v>
      </c>
      <c r="AD12" s="111">
        <v>79.735682819383257</v>
      </c>
      <c r="AE12" s="111">
        <v>92.452830188679243</v>
      </c>
      <c r="AF12" s="111">
        <v>81.99445983379502</v>
      </c>
      <c r="AG12" s="111">
        <v>79.813664596273298</v>
      </c>
      <c r="AH12" s="111">
        <v>54.838709677419352</v>
      </c>
      <c r="AI12" s="111">
        <v>38.095238095238095</v>
      </c>
      <c r="AJ12" s="111">
        <v>53.932584269662918</v>
      </c>
      <c r="AK12" s="111">
        <v>33.438485804416402</v>
      </c>
      <c r="AL12" s="111">
        <v>38.655462184873947</v>
      </c>
      <c r="AM12" s="111">
        <v>76.201372997711672</v>
      </c>
      <c r="AN12" s="111">
        <v>66.666666666666671</v>
      </c>
      <c r="AO12" s="111">
        <v>30.188679245283019</v>
      </c>
      <c r="AP12" s="111">
        <v>72.033898305084747</v>
      </c>
      <c r="AQ12" s="111">
        <v>34.959349593495936</v>
      </c>
      <c r="AR12" s="111">
        <v>52.071005917159766</v>
      </c>
      <c r="AS12" s="119">
        <v>600</v>
      </c>
    </row>
    <row r="13" spans="1:45" x14ac:dyDescent="0.25">
      <c r="A13" s="119" t="s">
        <v>46</v>
      </c>
      <c r="B13" s="111">
        <v>67.2</v>
      </c>
      <c r="C13" s="111">
        <v>77.685950413223139</v>
      </c>
      <c r="D13" s="111">
        <v>89.320388349514559</v>
      </c>
      <c r="E13" s="111">
        <v>74.285714285714292</v>
      </c>
      <c r="F13" s="111">
        <v>65.78947368421052</v>
      </c>
      <c r="G13" s="111">
        <v>65.384615384615387</v>
      </c>
      <c r="H13" s="111">
        <v>64.285714285714292</v>
      </c>
      <c r="I13" s="111">
        <v>71.739130434782609</v>
      </c>
      <c r="J13" s="111">
        <v>28.571428571428573</v>
      </c>
      <c r="K13" s="111">
        <v>57.575757575757578</v>
      </c>
      <c r="L13" s="111">
        <v>54.838709677419352</v>
      </c>
      <c r="M13" s="111">
        <v>68.75</v>
      </c>
      <c r="N13" s="111">
        <v>40</v>
      </c>
      <c r="O13" s="111">
        <v>54.166666666666664</v>
      </c>
      <c r="P13" s="111">
        <v>35.714285714285715</v>
      </c>
      <c r="Q13" s="111">
        <v>61.53846153846154</v>
      </c>
      <c r="R13" s="111">
        <v>35</v>
      </c>
      <c r="S13" s="111">
        <v>48.275862068965516</v>
      </c>
      <c r="T13" s="111">
        <v>83.333333333333329</v>
      </c>
      <c r="U13" s="111">
        <v>81.818181818181813</v>
      </c>
      <c r="V13" s="111">
        <v>81.395348837209298</v>
      </c>
      <c r="W13" s="111">
        <v>84.21052631578948</v>
      </c>
      <c r="X13" s="111">
        <v>85.294117647058826</v>
      </c>
      <c r="Y13" s="111">
        <v>61.111111111111114</v>
      </c>
      <c r="Z13" s="111">
        <v>69.230769230769226</v>
      </c>
      <c r="AA13" s="111">
        <v>75</v>
      </c>
      <c r="AB13" s="111">
        <v>75</v>
      </c>
      <c r="AC13" s="111">
        <v>82.352941176470594</v>
      </c>
      <c r="AD13" s="111">
        <v>82.432432432432435</v>
      </c>
      <c r="AE13" s="111">
        <v>94.871794871794876</v>
      </c>
      <c r="AF13" s="111">
        <v>83.516483516483518</v>
      </c>
      <c r="AG13" s="111">
        <v>78.160919540229884</v>
      </c>
      <c r="AH13" s="111">
        <v>62.162162162162161</v>
      </c>
      <c r="AI13" s="111">
        <v>16.666666666666668</v>
      </c>
      <c r="AJ13" s="111">
        <v>32.558139534883722</v>
      </c>
      <c r="AK13" s="111">
        <v>21.12676056338028</v>
      </c>
      <c r="AL13" s="111">
        <v>60.606060606060609</v>
      </c>
      <c r="AM13" s="111">
        <v>68.181818181818187</v>
      </c>
      <c r="AN13" s="111">
        <v>72.180451127819552</v>
      </c>
      <c r="AO13" s="111">
        <v>50</v>
      </c>
      <c r="AP13" s="111">
        <v>76.229508196721312</v>
      </c>
      <c r="AQ13" s="111">
        <v>46.341463414634148</v>
      </c>
      <c r="AR13" s="111">
        <v>44.444444444444443</v>
      </c>
      <c r="AS13" s="119">
        <v>148</v>
      </c>
    </row>
    <row r="14" spans="1:45" x14ac:dyDescent="0.25">
      <c r="A14" s="119" t="s">
        <v>5</v>
      </c>
      <c r="B14" s="111">
        <v>66.162570888468807</v>
      </c>
      <c r="C14" s="111">
        <v>73.784355179704022</v>
      </c>
      <c r="D14" s="111">
        <v>62.411347517730498</v>
      </c>
      <c r="E14" s="111">
        <v>74.157303370786522</v>
      </c>
      <c r="F14" s="111">
        <v>61.748633879781423</v>
      </c>
      <c r="G14" s="111">
        <v>75.465838509316768</v>
      </c>
      <c r="H14" s="111">
        <v>38.596491228070178</v>
      </c>
      <c r="I14" s="111">
        <v>45.112781954887218</v>
      </c>
      <c r="J14" s="111">
        <v>34.615384615384613</v>
      </c>
      <c r="K14" s="111">
        <v>37.096774193548384</v>
      </c>
      <c r="L14" s="111">
        <v>25.396825396825395</v>
      </c>
      <c r="M14" s="111">
        <v>35.251798561151077</v>
      </c>
      <c r="N14" s="111">
        <v>29.473684210526315</v>
      </c>
      <c r="O14" s="111">
        <v>55.752212389380531</v>
      </c>
      <c r="P14" s="111">
        <v>31.578947368421051</v>
      </c>
      <c r="Q14" s="111">
        <v>38.317757009345797</v>
      </c>
      <c r="R14" s="111">
        <v>37.89473684210526</v>
      </c>
      <c r="S14" s="111">
        <v>34.375</v>
      </c>
      <c r="T14" s="111">
        <v>73.4375</v>
      </c>
      <c r="U14" s="111">
        <v>77.564102564102569</v>
      </c>
      <c r="V14" s="111">
        <v>79.255319148936167</v>
      </c>
      <c r="W14" s="111">
        <v>69.461077844311376</v>
      </c>
      <c r="X14" s="111">
        <v>34.090909090909093</v>
      </c>
      <c r="Y14" s="111">
        <v>51.176470588235297</v>
      </c>
      <c r="Z14" s="111">
        <v>54.86725663716814</v>
      </c>
      <c r="AA14" s="111">
        <v>49.090909090909093</v>
      </c>
      <c r="AB14" s="111">
        <v>54.128440366972477</v>
      </c>
      <c r="AC14" s="111">
        <v>60.204081632653065</v>
      </c>
      <c r="AD14" s="111">
        <v>82.520325203252028</v>
      </c>
      <c r="AE14" s="111">
        <v>90.814196242171192</v>
      </c>
      <c r="AF14" s="111">
        <v>79.947229551451187</v>
      </c>
      <c r="AG14" s="111">
        <v>80.731707317073173</v>
      </c>
      <c r="AH14" s="111">
        <v>60</v>
      </c>
      <c r="AI14" s="111">
        <v>38.129496402877699</v>
      </c>
      <c r="AJ14" s="111">
        <v>26.732673267326732</v>
      </c>
      <c r="AK14" s="111">
        <v>64.596273291925471</v>
      </c>
      <c r="AL14" s="111">
        <v>46.938775510204081</v>
      </c>
      <c r="AM14" s="111">
        <v>80.501930501930502</v>
      </c>
      <c r="AN14" s="111">
        <v>73.581560283687949</v>
      </c>
      <c r="AO14" s="111">
        <v>31.825795644891123</v>
      </c>
      <c r="AP14" s="111">
        <v>68.058076225045369</v>
      </c>
      <c r="AQ14" s="111">
        <v>38.757396449704139</v>
      </c>
      <c r="AR14" s="111">
        <v>50.341296928327644</v>
      </c>
      <c r="AS14" s="119">
        <v>650</v>
      </c>
    </row>
    <row r="15" spans="1:45" x14ac:dyDescent="0.25">
      <c r="A15" s="119" t="s">
        <v>48</v>
      </c>
      <c r="B15" s="111">
        <v>66.666666666666671</v>
      </c>
      <c r="C15" s="111">
        <v>84</v>
      </c>
      <c r="D15" s="111">
        <v>59</v>
      </c>
      <c r="E15" s="111">
        <v>71.794871794871796</v>
      </c>
      <c r="F15" s="111">
        <v>75</v>
      </c>
      <c r="G15" s="111">
        <v>70.175438596491233</v>
      </c>
      <c r="H15" s="111">
        <v>61.764705882352942</v>
      </c>
      <c r="I15" s="111">
        <v>63.636363636363633</v>
      </c>
      <c r="J15" s="111">
        <v>62.068965517241381</v>
      </c>
      <c r="K15" s="111">
        <v>54.545454545454547</v>
      </c>
      <c r="L15" s="111">
        <v>50</v>
      </c>
      <c r="M15" s="111">
        <v>55.882352941176471</v>
      </c>
      <c r="N15" s="111">
        <v>53.846153846153847</v>
      </c>
      <c r="O15" s="111">
        <v>62.5</v>
      </c>
      <c r="P15" s="111">
        <v>40.74074074074074</v>
      </c>
      <c r="Q15" s="111">
        <v>64.705882352941174</v>
      </c>
      <c r="R15" s="111">
        <v>62.068965517241381</v>
      </c>
      <c r="S15" s="111">
        <v>48</v>
      </c>
      <c r="T15" s="111">
        <v>81.578947368421055</v>
      </c>
      <c r="U15" s="111">
        <v>80</v>
      </c>
      <c r="V15" s="111">
        <v>86.04651162790698</v>
      </c>
      <c r="W15" s="111">
        <v>76.92307692307692</v>
      </c>
      <c r="X15" s="111">
        <v>82.926829268292678</v>
      </c>
      <c r="Y15" s="111">
        <v>68.292682926829272</v>
      </c>
      <c r="Z15" s="111">
        <v>78.787878787878782</v>
      </c>
      <c r="AA15" s="111">
        <v>58.064516129032256</v>
      </c>
      <c r="AB15" s="111">
        <v>64.516129032258064</v>
      </c>
      <c r="AC15" s="111">
        <v>74.285714285714292</v>
      </c>
      <c r="AD15" s="111">
        <v>78.571428571428569</v>
      </c>
      <c r="AE15" s="111">
        <v>89.411764705882348</v>
      </c>
      <c r="AF15" s="111">
        <v>68.918918918918919</v>
      </c>
      <c r="AG15" s="111">
        <v>90.109890109890117</v>
      </c>
      <c r="AH15" s="111">
        <v>63.636363636363633</v>
      </c>
      <c r="AI15" s="111">
        <v>56.756756756756758</v>
      </c>
      <c r="AJ15" s="111">
        <v>56.756756756756758</v>
      </c>
      <c r="AK15" s="111">
        <v>24.528301886792452</v>
      </c>
      <c r="AL15" s="111">
        <v>61.363636363636367</v>
      </c>
      <c r="AM15" s="111">
        <v>85.454545454545453</v>
      </c>
      <c r="AN15" s="111">
        <v>76.106194690265482</v>
      </c>
      <c r="AO15" s="111">
        <v>28.925619834710744</v>
      </c>
      <c r="AP15" s="111">
        <v>72.321428571428569</v>
      </c>
      <c r="AQ15" s="111">
        <v>52.439024390243901</v>
      </c>
      <c r="AR15" s="111">
        <v>67.241379310344826</v>
      </c>
      <c r="AS15" s="119">
        <v>135</v>
      </c>
    </row>
    <row r="16" spans="1:45" x14ac:dyDescent="0.25">
      <c r="A16" s="119" t="s">
        <v>49</v>
      </c>
      <c r="B16" s="111">
        <v>80</v>
      </c>
      <c r="C16" s="111">
        <v>87.368421052631575</v>
      </c>
      <c r="D16" s="111">
        <v>70.731707317073173</v>
      </c>
      <c r="E16" s="111">
        <v>76.470588235294116</v>
      </c>
      <c r="F16" s="111">
        <v>72.727272727272734</v>
      </c>
      <c r="G16" s="111">
        <v>74.468085106382972</v>
      </c>
      <c r="H16" s="111">
        <v>74.193548387096769</v>
      </c>
      <c r="I16" s="111">
        <v>75</v>
      </c>
      <c r="J16" s="111">
        <v>65.384615384615387</v>
      </c>
      <c r="K16" s="111">
        <v>84.090909090909093</v>
      </c>
      <c r="L16" s="111">
        <v>68.75</v>
      </c>
      <c r="M16" s="111">
        <v>77.777777777777771</v>
      </c>
      <c r="N16" s="111">
        <v>48</v>
      </c>
      <c r="O16" s="111">
        <v>66.666666666666671</v>
      </c>
      <c r="P16" s="111">
        <v>50</v>
      </c>
      <c r="Q16" s="111">
        <v>64.516129032258064</v>
      </c>
      <c r="R16" s="111">
        <v>48</v>
      </c>
      <c r="S16" s="111">
        <v>38.46153846153846</v>
      </c>
      <c r="T16" s="111">
        <v>91.489361702127653</v>
      </c>
      <c r="U16" s="111">
        <v>92.10526315789474</v>
      </c>
      <c r="V16" s="111">
        <v>92.10526315789474</v>
      </c>
      <c r="W16" s="111">
        <v>92.307692307692307</v>
      </c>
      <c r="X16" s="111">
        <v>30</v>
      </c>
      <c r="Y16" s="111">
        <v>25</v>
      </c>
      <c r="Z16" s="111">
        <v>51.724137931034484</v>
      </c>
      <c r="AA16" s="111">
        <v>59.090909090909093</v>
      </c>
      <c r="AB16" s="111">
        <v>84.848484848484844</v>
      </c>
      <c r="AC16" s="111">
        <v>92.307692307692307</v>
      </c>
      <c r="AD16" s="111">
        <v>82.758620689655174</v>
      </c>
      <c r="AE16" s="111">
        <v>96.15384615384616</v>
      </c>
      <c r="AF16" s="111">
        <v>67.741935483870961</v>
      </c>
      <c r="AG16" s="111">
        <v>88</v>
      </c>
      <c r="AH16" s="111">
        <v>69.444444444444443</v>
      </c>
      <c r="AI16" s="111">
        <v>55.555555555555557</v>
      </c>
      <c r="AJ16" s="111">
        <v>64.516129032258064</v>
      </c>
      <c r="AK16" s="111">
        <v>6.3829787234042552</v>
      </c>
      <c r="AL16" s="111">
        <v>41.666666666666664</v>
      </c>
      <c r="AM16" s="111">
        <v>79.545454545454547</v>
      </c>
      <c r="AN16" s="111">
        <v>82.954545454545453</v>
      </c>
      <c r="AO16" s="111">
        <v>16.842105263157894</v>
      </c>
      <c r="AP16" s="111">
        <v>67.5</v>
      </c>
      <c r="AQ16" s="111">
        <v>55.555555555555557</v>
      </c>
      <c r="AR16" s="111">
        <v>57.777777777777779</v>
      </c>
      <c r="AS16" s="119">
        <v>105</v>
      </c>
    </row>
    <row r="17" spans="1:45" x14ac:dyDescent="0.25">
      <c r="A17" s="119" t="s">
        <v>50</v>
      </c>
      <c r="B17" s="111">
        <v>68</v>
      </c>
      <c r="C17" s="111">
        <v>81.875</v>
      </c>
      <c r="D17" s="111">
        <v>70.270270270270274</v>
      </c>
      <c r="E17" s="111">
        <v>85.714285714285708</v>
      </c>
      <c r="F17" s="111">
        <v>74.603174603174608</v>
      </c>
      <c r="G17" s="111">
        <v>65.753424657534254</v>
      </c>
      <c r="H17" s="111">
        <v>68</v>
      </c>
      <c r="I17" s="111">
        <v>57.692307692307693</v>
      </c>
      <c r="J17" s="111">
        <v>58.536585365853661</v>
      </c>
      <c r="K17" s="111">
        <v>71.641791044776113</v>
      </c>
      <c r="L17" s="111">
        <v>66.101694915254242</v>
      </c>
      <c r="M17" s="111">
        <v>62.5</v>
      </c>
      <c r="N17" s="111">
        <v>35.483870967741936</v>
      </c>
      <c r="O17" s="111">
        <v>64.86486486486487</v>
      </c>
      <c r="P17" s="111">
        <v>48.275862068965516</v>
      </c>
      <c r="Q17" s="111">
        <v>61.224489795918366</v>
      </c>
      <c r="R17" s="111">
        <v>51.724137931034484</v>
      </c>
      <c r="S17" s="111">
        <v>46.875</v>
      </c>
      <c r="T17" s="111">
        <v>78.125</v>
      </c>
      <c r="U17" s="111">
        <v>79.365079365079367</v>
      </c>
      <c r="V17" s="111">
        <v>84.848484848484844</v>
      </c>
      <c r="W17" s="111">
        <v>86.206896551724142</v>
      </c>
      <c r="X17" s="111">
        <v>81.666666666666671</v>
      </c>
      <c r="Y17" s="111">
        <v>38.775510204081634</v>
      </c>
      <c r="Z17" s="111">
        <v>69.047619047619051</v>
      </c>
      <c r="AA17" s="111">
        <v>63.333333333333336</v>
      </c>
      <c r="AB17" s="111">
        <v>75</v>
      </c>
      <c r="AC17" s="111">
        <v>82.142857142857139</v>
      </c>
      <c r="AD17" s="111">
        <v>93.043478260869563</v>
      </c>
      <c r="AE17" s="111">
        <v>95.302013422818789</v>
      </c>
      <c r="AF17" s="111">
        <v>80.833333333333329</v>
      </c>
      <c r="AG17" s="111">
        <v>92.537313432835816</v>
      </c>
      <c r="AH17" s="111">
        <v>83.333333333333329</v>
      </c>
      <c r="AI17" s="111">
        <v>53.061224489795919</v>
      </c>
      <c r="AJ17" s="111">
        <v>70</v>
      </c>
      <c r="AK17" s="111">
        <v>38.75</v>
      </c>
      <c r="AL17" s="111">
        <v>76.388888888888886</v>
      </c>
      <c r="AM17" s="111">
        <v>85.350318471337573</v>
      </c>
      <c r="AN17" s="111">
        <v>75.308641975308646</v>
      </c>
      <c r="AO17" s="111">
        <v>36.526946107784433</v>
      </c>
      <c r="AP17" s="111">
        <v>68.35443037974683</v>
      </c>
      <c r="AQ17" s="111">
        <v>67</v>
      </c>
      <c r="AR17" s="111">
        <v>73.456790123456784</v>
      </c>
      <c r="AS17" s="119">
        <v>194</v>
      </c>
    </row>
    <row r="18" spans="1:45" x14ac:dyDescent="0.25">
      <c r="A18" s="119" t="s">
        <v>69</v>
      </c>
      <c r="B18" s="111">
        <v>67.266187050359719</v>
      </c>
      <c r="C18" s="111">
        <v>73.84615384615384</v>
      </c>
      <c r="D18" s="111">
        <v>69.736842105263165</v>
      </c>
      <c r="E18" s="111">
        <v>81.632653061224488</v>
      </c>
      <c r="F18" s="111">
        <v>72.115384615384613</v>
      </c>
      <c r="G18" s="111">
        <v>70.786516853932582</v>
      </c>
      <c r="H18" s="111">
        <v>46.428571428571431</v>
      </c>
      <c r="I18" s="111">
        <v>36.144578313253014</v>
      </c>
      <c r="J18" s="111">
        <v>37.096774193548384</v>
      </c>
      <c r="K18" s="111">
        <v>37.5</v>
      </c>
      <c r="L18" s="111">
        <v>31.25</v>
      </c>
      <c r="M18" s="111">
        <v>31.521739130434781</v>
      </c>
      <c r="N18" s="111">
        <v>19.565217391304348</v>
      </c>
      <c r="O18" s="111">
        <v>56.363636363636367</v>
      </c>
      <c r="P18" s="111">
        <v>25.531914893617021</v>
      </c>
      <c r="Q18" s="111">
        <v>23.728813559322035</v>
      </c>
      <c r="R18" s="111">
        <v>39.583333333333336</v>
      </c>
      <c r="S18" s="111">
        <v>18.867924528301888</v>
      </c>
      <c r="T18" s="111">
        <v>71.84466019417475</v>
      </c>
      <c r="U18" s="111">
        <v>76.767676767676761</v>
      </c>
      <c r="V18" s="111">
        <v>74.77477477477477</v>
      </c>
      <c r="W18" s="111">
        <v>75.757575757575751</v>
      </c>
      <c r="X18" s="111">
        <v>74.489795918367349</v>
      </c>
      <c r="Y18" s="111">
        <v>70.329670329670336</v>
      </c>
      <c r="Z18" s="111">
        <v>48.4375</v>
      </c>
      <c r="AA18" s="111">
        <v>46.153846153846153</v>
      </c>
      <c r="AB18" s="111">
        <v>57.142857142857146</v>
      </c>
      <c r="AC18" s="111">
        <v>50.684931506849317</v>
      </c>
      <c r="AD18" s="111">
        <v>72.794117647058826</v>
      </c>
      <c r="AE18" s="111">
        <v>93.574297188755025</v>
      </c>
      <c r="AF18" s="111">
        <v>83.419689119170982</v>
      </c>
      <c r="AG18" s="111">
        <v>80</v>
      </c>
      <c r="AH18" s="111">
        <v>55.73770491803279</v>
      </c>
      <c r="AI18" s="111">
        <v>30.136986301369863</v>
      </c>
      <c r="AJ18" s="111">
        <v>45.679012345679013</v>
      </c>
      <c r="AK18" s="111">
        <v>21.428571428571427</v>
      </c>
      <c r="AL18" s="111">
        <v>42.857142857142854</v>
      </c>
      <c r="AM18" s="111">
        <v>84.561403508771932</v>
      </c>
      <c r="AN18" s="111">
        <v>82.943143812709025</v>
      </c>
      <c r="AO18" s="111">
        <v>18.06451612903226</v>
      </c>
      <c r="AP18" s="111">
        <v>64.406779661016955</v>
      </c>
      <c r="AQ18" s="111">
        <v>38.586956521739133</v>
      </c>
      <c r="AR18" s="111">
        <v>49.826989619377166</v>
      </c>
      <c r="AS18" s="119">
        <v>350</v>
      </c>
    </row>
    <row r="19" spans="1:45" x14ac:dyDescent="0.25">
      <c r="A19" s="119" t="s">
        <v>6</v>
      </c>
      <c r="B19" s="111">
        <v>50.993377483443709</v>
      </c>
      <c r="C19" s="111">
        <v>62.328767123287669</v>
      </c>
      <c r="D19" s="111">
        <v>66.942148760330582</v>
      </c>
      <c r="E19" s="111">
        <v>73.86363636363636</v>
      </c>
      <c r="F19" s="111">
        <v>60.215053763440864</v>
      </c>
      <c r="G19" s="111">
        <v>60.784313725490193</v>
      </c>
      <c r="H19" s="111">
        <v>38.043478260869563</v>
      </c>
      <c r="I19" s="111">
        <v>26.25</v>
      </c>
      <c r="J19" s="111">
        <v>32.098765432098766</v>
      </c>
      <c r="K19" s="111">
        <v>27.710843373493976</v>
      </c>
      <c r="L19" s="111">
        <v>25.925925925925927</v>
      </c>
      <c r="M19" s="111">
        <v>23.333333333333332</v>
      </c>
      <c r="N19" s="111">
        <v>20</v>
      </c>
      <c r="O19" s="111">
        <v>49.152542372881356</v>
      </c>
      <c r="P19" s="111">
        <v>24.528301886792452</v>
      </c>
      <c r="Q19" s="111">
        <v>34.375</v>
      </c>
      <c r="R19" s="111">
        <v>25.490196078431371</v>
      </c>
      <c r="S19" s="111">
        <v>27.848101265822784</v>
      </c>
      <c r="T19" s="111">
        <v>67.741935483870961</v>
      </c>
      <c r="U19" s="111">
        <v>74.157303370786522</v>
      </c>
      <c r="V19" s="111">
        <v>68.867924528301884</v>
      </c>
      <c r="W19" s="111">
        <v>62.222222222222221</v>
      </c>
      <c r="X19" s="111">
        <v>71.428571428571431</v>
      </c>
      <c r="Y19" s="111">
        <v>53.921568627450981</v>
      </c>
      <c r="Z19" s="111">
        <v>45.762711864406782</v>
      </c>
      <c r="AA19" s="111">
        <v>40</v>
      </c>
      <c r="AB19" s="111">
        <v>45</v>
      </c>
      <c r="AC19" s="111">
        <v>53.968253968253968</v>
      </c>
      <c r="AD19" s="111">
        <v>67.34693877551021</v>
      </c>
      <c r="AE19" s="111">
        <v>89.743589743589737</v>
      </c>
      <c r="AF19" s="111">
        <v>75.980392156862749</v>
      </c>
      <c r="AG19" s="111">
        <v>70.476190476190482</v>
      </c>
      <c r="AH19" s="111">
        <v>48.333333333333336</v>
      </c>
      <c r="AI19" s="111">
        <v>29.761904761904763</v>
      </c>
      <c r="AJ19" s="111">
        <v>47.540983606557376</v>
      </c>
      <c r="AK19" s="111">
        <v>43.49593495934959</v>
      </c>
      <c r="AL19" s="111">
        <v>53.086419753086417</v>
      </c>
      <c r="AM19" s="111">
        <v>83.713355048859938</v>
      </c>
      <c r="AN19" s="111">
        <v>78.481012658227854</v>
      </c>
      <c r="AO19" s="111">
        <v>35.977337110481585</v>
      </c>
      <c r="AP19" s="111">
        <v>74.924471299093653</v>
      </c>
      <c r="AQ19" s="111">
        <v>45.138888888888886</v>
      </c>
      <c r="AR19" s="111">
        <v>50.741839762611278</v>
      </c>
      <c r="AS19" s="119">
        <v>389</v>
      </c>
    </row>
    <row r="20" spans="1:45" x14ac:dyDescent="0.25">
      <c r="A20" s="119" t="s">
        <v>70</v>
      </c>
      <c r="B20" s="111">
        <v>58.823529411764703</v>
      </c>
      <c r="C20" s="111">
        <v>76.666666666666671</v>
      </c>
      <c r="D20" s="111">
        <v>62.758620689655174</v>
      </c>
      <c r="E20" s="111">
        <v>84.905660377358487</v>
      </c>
      <c r="F20" s="111">
        <v>72.881355932203391</v>
      </c>
      <c r="G20" s="111">
        <v>58.536585365853661</v>
      </c>
      <c r="H20" s="111">
        <v>63.043478260869563</v>
      </c>
      <c r="I20" s="111">
        <v>53.225806451612904</v>
      </c>
      <c r="J20" s="111">
        <v>48.717948717948715</v>
      </c>
      <c r="K20" s="111">
        <v>43.137254901960787</v>
      </c>
      <c r="L20" s="111">
        <v>40.350877192982459</v>
      </c>
      <c r="M20" s="111">
        <v>47.272727272727273</v>
      </c>
      <c r="N20" s="111">
        <v>39.393939393939391</v>
      </c>
      <c r="O20" s="111">
        <v>67.441860465116278</v>
      </c>
      <c r="P20" s="111">
        <v>57.142857142857146</v>
      </c>
      <c r="Q20" s="111">
        <v>57.89473684210526</v>
      </c>
      <c r="R20" s="111">
        <v>40</v>
      </c>
      <c r="S20" s="111">
        <v>31.428571428571427</v>
      </c>
      <c r="T20" s="111">
        <v>83.582089552238813</v>
      </c>
      <c r="U20" s="111">
        <v>83.050847457627114</v>
      </c>
      <c r="V20" s="111">
        <v>81.081081081081081</v>
      </c>
      <c r="W20" s="111">
        <v>80.882352941176464</v>
      </c>
      <c r="X20" s="111">
        <v>75</v>
      </c>
      <c r="Y20" s="111">
        <v>55</v>
      </c>
      <c r="Z20" s="111">
        <v>54.761904761904759</v>
      </c>
      <c r="AA20" s="111">
        <v>58.823529411764703</v>
      </c>
      <c r="AB20" s="111">
        <v>51.162790697674417</v>
      </c>
      <c r="AC20" s="111">
        <v>70.967741935483872</v>
      </c>
      <c r="AD20" s="111">
        <v>74.766355140186917</v>
      </c>
      <c r="AE20" s="111">
        <v>91.77215189873418</v>
      </c>
      <c r="AF20" s="111">
        <v>68.686868686868692</v>
      </c>
      <c r="AG20" s="111">
        <v>75.806451612903231</v>
      </c>
      <c r="AH20" s="111">
        <v>50</v>
      </c>
      <c r="AI20" s="111">
        <v>49.122807017543863</v>
      </c>
      <c r="AJ20" s="111">
        <v>62.5</v>
      </c>
      <c r="AK20" s="111">
        <v>14.634146341463415</v>
      </c>
      <c r="AL20" s="111">
        <v>57.8125</v>
      </c>
      <c r="AM20" s="111">
        <v>86.473429951690818</v>
      </c>
      <c r="AN20" s="111">
        <v>85.365853658536579</v>
      </c>
      <c r="AO20" s="111">
        <v>26.540284360189574</v>
      </c>
      <c r="AP20" s="111">
        <v>66.666666666666671</v>
      </c>
      <c r="AQ20" s="111">
        <v>46.666666666666664</v>
      </c>
      <c r="AR20" s="111">
        <v>55.837563451776653</v>
      </c>
      <c r="AS20" s="119">
        <v>239</v>
      </c>
    </row>
    <row r="21" spans="1:45" x14ac:dyDescent="0.25">
      <c r="A21" s="119" t="s">
        <v>7</v>
      </c>
      <c r="B21" s="111">
        <v>83.561643835616437</v>
      </c>
      <c r="C21" s="111">
        <v>87.786259541984734</v>
      </c>
      <c r="D21" s="111">
        <v>79.66101694915254</v>
      </c>
      <c r="E21" s="111">
        <v>86.956521739130437</v>
      </c>
      <c r="F21" s="111">
        <v>72.41379310344827</v>
      </c>
      <c r="G21" s="111">
        <v>76.315789473684205</v>
      </c>
      <c r="H21" s="111">
        <v>61.363636363636367</v>
      </c>
      <c r="I21" s="111">
        <v>79.365079365079367</v>
      </c>
      <c r="J21" s="111">
        <v>73.80952380952381</v>
      </c>
      <c r="K21" s="111">
        <v>72.727272727272734</v>
      </c>
      <c r="L21" s="111">
        <v>63.265306122448976</v>
      </c>
      <c r="M21" s="111">
        <v>65.957446808510639</v>
      </c>
      <c r="N21" s="111">
        <v>39.473684210526315</v>
      </c>
      <c r="O21" s="111">
        <v>56.097560975609753</v>
      </c>
      <c r="P21" s="111">
        <v>47.368421052631582</v>
      </c>
      <c r="Q21" s="111">
        <v>61.904761904761905</v>
      </c>
      <c r="R21" s="111">
        <v>40.625</v>
      </c>
      <c r="S21" s="111">
        <v>48.571428571428569</v>
      </c>
      <c r="T21" s="111">
        <v>73.07692307692308</v>
      </c>
      <c r="U21" s="111">
        <v>78.431372549019613</v>
      </c>
      <c r="V21" s="111">
        <v>84.21052631578948</v>
      </c>
      <c r="W21" s="111">
        <v>84.313725490196077</v>
      </c>
      <c r="X21" s="111">
        <v>76.470588235294116</v>
      </c>
      <c r="Y21" s="111">
        <v>66.071428571428569</v>
      </c>
      <c r="Z21" s="111">
        <v>65.853658536585371</v>
      </c>
      <c r="AA21" s="111">
        <v>62.5</v>
      </c>
      <c r="AB21" s="111">
        <v>57.5</v>
      </c>
      <c r="AC21" s="111">
        <v>72.916666666666671</v>
      </c>
      <c r="AD21" s="111">
        <v>83.333333333333329</v>
      </c>
      <c r="AE21" s="111">
        <v>94.642857142857139</v>
      </c>
      <c r="AF21" s="111">
        <v>74.038461538461533</v>
      </c>
      <c r="AG21" s="111">
        <v>90</v>
      </c>
      <c r="AH21" s="111">
        <v>60.869565217391305</v>
      </c>
      <c r="AI21" s="111">
        <v>50</v>
      </c>
      <c r="AJ21" s="111">
        <v>38.70967741935484</v>
      </c>
      <c r="AK21" s="111">
        <v>27.586206896551722</v>
      </c>
      <c r="AL21" s="111">
        <v>66.15384615384616</v>
      </c>
      <c r="AM21" s="111">
        <v>90.972222222222229</v>
      </c>
      <c r="AN21" s="111">
        <v>83.802816901408448</v>
      </c>
      <c r="AO21" s="111">
        <v>47.916666666666664</v>
      </c>
      <c r="AP21" s="111">
        <v>81.203007518796994</v>
      </c>
      <c r="AQ21" s="111">
        <v>50.505050505050505</v>
      </c>
      <c r="AR21" s="111">
        <v>65.492957746478879</v>
      </c>
      <c r="AS21" s="119">
        <v>168</v>
      </c>
    </row>
    <row r="22" spans="1:45" x14ac:dyDescent="0.25">
      <c r="A22" s="119" t="s">
        <v>22</v>
      </c>
      <c r="B22" s="111">
        <v>76.282051282051285</v>
      </c>
      <c r="C22" s="111">
        <v>85.815602836879435</v>
      </c>
      <c r="D22" s="111">
        <v>68.269230769230774</v>
      </c>
      <c r="E22" s="111">
        <v>88.888888888888886</v>
      </c>
      <c r="F22" s="111">
        <v>58.974358974358971</v>
      </c>
      <c r="G22" s="111">
        <v>63.157894736842103</v>
      </c>
      <c r="H22" s="111">
        <v>73.913043478260875</v>
      </c>
      <c r="I22" s="111">
        <v>59.375</v>
      </c>
      <c r="J22" s="111">
        <v>47.826086956521742</v>
      </c>
      <c r="K22" s="111">
        <v>62.5</v>
      </c>
      <c r="L22" s="111">
        <v>48</v>
      </c>
      <c r="M22" s="111">
        <v>70</v>
      </c>
      <c r="N22" s="111">
        <v>50</v>
      </c>
      <c r="O22" s="111">
        <v>71.428571428571431</v>
      </c>
      <c r="P22" s="111">
        <v>50</v>
      </c>
      <c r="Q22" s="111">
        <v>60</v>
      </c>
      <c r="R22" s="111">
        <v>25</v>
      </c>
      <c r="S22" s="111">
        <v>42.857142857142854</v>
      </c>
      <c r="T22" s="111">
        <v>79.411764705882348</v>
      </c>
      <c r="U22" s="111">
        <v>80.769230769230774</v>
      </c>
      <c r="V22" s="111">
        <v>82.352941176470594</v>
      </c>
      <c r="W22" s="111">
        <v>56.666666666666664</v>
      </c>
      <c r="X22" s="111">
        <v>70.833333333333329</v>
      </c>
      <c r="Y22" s="111">
        <v>33.333333333333336</v>
      </c>
      <c r="Z22" s="111">
        <v>71.428571428571431</v>
      </c>
      <c r="AA22" s="111">
        <v>70.588235294117652</v>
      </c>
      <c r="AB22" s="111">
        <v>80</v>
      </c>
      <c r="AC22" s="111">
        <v>59.375</v>
      </c>
      <c r="AD22" s="111">
        <v>80.821917808219183</v>
      </c>
      <c r="AE22" s="111">
        <v>87.234042553191486</v>
      </c>
      <c r="AF22" s="111">
        <v>84</v>
      </c>
      <c r="AG22" s="111">
        <v>67.79661016949153</v>
      </c>
      <c r="AH22" s="111">
        <v>54.285714285714285</v>
      </c>
      <c r="AI22" s="111">
        <v>38.46153846153846</v>
      </c>
      <c r="AJ22" s="111">
        <v>43.478260869565219</v>
      </c>
      <c r="AK22" s="111">
        <v>16.901408450704224</v>
      </c>
      <c r="AL22" s="111">
        <v>62.790697674418603</v>
      </c>
      <c r="AM22" s="111">
        <v>78.620689655172413</v>
      </c>
      <c r="AN22" s="111">
        <v>73.611111111111114</v>
      </c>
      <c r="AO22" s="111">
        <v>31.46853146853147</v>
      </c>
      <c r="AP22" s="111">
        <v>40.869565217391305</v>
      </c>
      <c r="AQ22" s="111">
        <v>26.388888888888889</v>
      </c>
      <c r="AR22" s="111">
        <v>42.4</v>
      </c>
      <c r="AS22" s="119">
        <v>177</v>
      </c>
    </row>
    <row r="23" spans="1:45" x14ac:dyDescent="0.25">
      <c r="A23" s="119" t="s">
        <v>8</v>
      </c>
      <c r="B23" s="111">
        <v>66.183574879227052</v>
      </c>
      <c r="C23" s="111">
        <v>73.658536585365852</v>
      </c>
      <c r="D23" s="111">
        <v>75.925925925925924</v>
      </c>
      <c r="E23" s="111">
        <v>75.968992248062023</v>
      </c>
      <c r="F23" s="111">
        <v>67.532467532467535</v>
      </c>
      <c r="G23" s="111">
        <v>68.727272727272734</v>
      </c>
      <c r="H23" s="111">
        <v>44.897959183673471</v>
      </c>
      <c r="I23" s="111">
        <v>40.425531914893618</v>
      </c>
      <c r="J23" s="111">
        <v>40.952380952380949</v>
      </c>
      <c r="K23" s="111">
        <v>20.168067226890756</v>
      </c>
      <c r="L23" s="111">
        <v>18.64406779661017</v>
      </c>
      <c r="M23" s="111">
        <v>18.796992481203006</v>
      </c>
      <c r="N23" s="111">
        <v>26.470588235294116</v>
      </c>
      <c r="O23" s="111">
        <v>52.5</v>
      </c>
      <c r="P23" s="111">
        <v>35.443037974683541</v>
      </c>
      <c r="Q23" s="111">
        <v>41.176470588235297</v>
      </c>
      <c r="R23" s="111">
        <v>26.027397260273972</v>
      </c>
      <c r="S23" s="111">
        <v>31.632653061224488</v>
      </c>
      <c r="T23" s="111">
        <v>67.785234899328856</v>
      </c>
      <c r="U23" s="111">
        <v>69.53125</v>
      </c>
      <c r="V23" s="111">
        <v>74.050632911392398</v>
      </c>
      <c r="W23" s="111">
        <v>71.428571428571431</v>
      </c>
      <c r="X23" s="111">
        <v>60.975609756097562</v>
      </c>
      <c r="Y23" s="111">
        <v>61.481481481481481</v>
      </c>
      <c r="Z23" s="111">
        <v>46.067415730337082</v>
      </c>
      <c r="AA23" s="111">
        <v>45.744680851063826</v>
      </c>
      <c r="AB23" s="111">
        <v>56.521739130434781</v>
      </c>
      <c r="AC23" s="111">
        <v>48.837209302325583</v>
      </c>
      <c r="AD23" s="111">
        <v>81.05263157894737</v>
      </c>
      <c r="AE23" s="111">
        <v>91.443850267379673</v>
      </c>
      <c r="AF23" s="111">
        <v>77.104377104377107</v>
      </c>
      <c r="AG23" s="111">
        <v>75.316455696202539</v>
      </c>
      <c r="AH23" s="111">
        <v>47.674418604651166</v>
      </c>
      <c r="AI23" s="111">
        <v>37.837837837837839</v>
      </c>
      <c r="AJ23" s="111">
        <v>36.956521739130437</v>
      </c>
      <c r="AK23" s="111">
        <v>53.594771241830067</v>
      </c>
      <c r="AL23" s="111">
        <v>45.901639344262293</v>
      </c>
      <c r="AM23" s="111">
        <v>86.542923433874705</v>
      </c>
      <c r="AN23" s="111">
        <v>85.776805251641136</v>
      </c>
      <c r="AO23" s="111">
        <v>26.219512195121951</v>
      </c>
      <c r="AP23" s="111">
        <v>65.532879818594111</v>
      </c>
      <c r="AQ23" s="111">
        <v>39.574468085106382</v>
      </c>
      <c r="AR23" s="111">
        <v>57.716701902748412</v>
      </c>
      <c r="AS23" s="119">
        <v>533</v>
      </c>
    </row>
    <row r="24" spans="1:45" x14ac:dyDescent="0.25">
      <c r="A24" s="119" t="s">
        <v>9</v>
      </c>
      <c r="B24" s="111">
        <v>79.126213592233015</v>
      </c>
      <c r="C24" s="111">
        <v>83.07692307692308</v>
      </c>
      <c r="D24" s="111">
        <v>65.454545454545453</v>
      </c>
      <c r="E24" s="111">
        <v>91.428571428571431</v>
      </c>
      <c r="F24" s="111">
        <v>72.5</v>
      </c>
      <c r="G24" s="111">
        <v>76.388888888888886</v>
      </c>
      <c r="H24" s="111">
        <v>64.285714285714292</v>
      </c>
      <c r="I24" s="111">
        <v>61.111111111111114</v>
      </c>
      <c r="J24" s="111">
        <v>56.666666666666664</v>
      </c>
      <c r="K24" s="111">
        <v>45.454545454545453</v>
      </c>
      <c r="L24" s="111">
        <v>47.058823529411768</v>
      </c>
      <c r="M24" s="111">
        <v>47.058823529411768</v>
      </c>
      <c r="N24" s="111">
        <v>30.76923076923077</v>
      </c>
      <c r="O24" s="111">
        <v>69.444444444444443</v>
      </c>
      <c r="P24" s="111">
        <v>34.782608695652172</v>
      </c>
      <c r="Q24" s="111">
        <v>62.162162162162161</v>
      </c>
      <c r="R24" s="111">
        <v>47.058823529411768</v>
      </c>
      <c r="S24" s="111">
        <v>34.615384615384613</v>
      </c>
      <c r="T24" s="111">
        <v>81.818181818181813</v>
      </c>
      <c r="U24" s="111">
        <v>87.301587301587304</v>
      </c>
      <c r="V24" s="111">
        <v>82.954545454545453</v>
      </c>
      <c r="W24" s="111">
        <v>83.098591549295776</v>
      </c>
      <c r="X24" s="111">
        <v>84.782608695652172</v>
      </c>
      <c r="Y24" s="111">
        <v>60.714285714285715</v>
      </c>
      <c r="Z24" s="111">
        <v>77.142857142857139</v>
      </c>
      <c r="AA24" s="111">
        <v>61.29032258064516</v>
      </c>
      <c r="AB24" s="111">
        <v>84</v>
      </c>
      <c r="AC24" s="111">
        <v>56.521739130434781</v>
      </c>
      <c r="AD24" s="111">
        <v>79.207920792079207</v>
      </c>
      <c r="AE24" s="111">
        <v>89.714285714285708</v>
      </c>
      <c r="AF24" s="111">
        <v>69.148936170212764</v>
      </c>
      <c r="AG24" s="111">
        <v>77.124183006535944</v>
      </c>
      <c r="AH24" s="111">
        <v>62.5</v>
      </c>
      <c r="AI24" s="111">
        <v>44.444444444444443</v>
      </c>
      <c r="AJ24" s="111">
        <v>40.476190476190474</v>
      </c>
      <c r="AK24" s="111">
        <v>70.552147239263803</v>
      </c>
      <c r="AL24" s="111">
        <v>47.368421052631582</v>
      </c>
      <c r="AM24" s="111">
        <v>84.112149532710276</v>
      </c>
      <c r="AN24" s="111">
        <v>80.508474576271183</v>
      </c>
      <c r="AO24" s="111">
        <v>44.489795918367349</v>
      </c>
      <c r="AP24" s="111">
        <v>68.181818181818187</v>
      </c>
      <c r="AQ24" s="111">
        <v>36.842105263157897</v>
      </c>
      <c r="AR24" s="111">
        <v>57.383966244725741</v>
      </c>
      <c r="AS24" s="119">
        <v>262</v>
      </c>
    </row>
    <row r="25" spans="1:45" x14ac:dyDescent="0.25">
      <c r="A25" s="119" t="s">
        <v>54</v>
      </c>
      <c r="B25" s="111">
        <v>65.909090909090907</v>
      </c>
      <c r="C25" s="111">
        <v>78.333333333333329</v>
      </c>
      <c r="D25" s="111">
        <v>68.965517241379317</v>
      </c>
      <c r="E25" s="111">
        <v>69.642857142857139</v>
      </c>
      <c r="F25" s="111">
        <v>67.272727272727266</v>
      </c>
      <c r="G25" s="111">
        <v>69.014084507042256</v>
      </c>
      <c r="H25" s="111">
        <v>54.761904761904759</v>
      </c>
      <c r="I25" s="111">
        <v>53.191489361702125</v>
      </c>
      <c r="J25" s="111">
        <v>51.063829787234042</v>
      </c>
      <c r="K25" s="111">
        <v>42.5</v>
      </c>
      <c r="L25" s="111">
        <v>30.555555555555557</v>
      </c>
      <c r="M25" s="111">
        <v>38.888888888888886</v>
      </c>
      <c r="N25" s="111">
        <v>26.666666666666668</v>
      </c>
      <c r="O25" s="111">
        <v>53.125</v>
      </c>
      <c r="P25" s="111">
        <v>34.615384615384613</v>
      </c>
      <c r="Q25" s="111">
        <v>50</v>
      </c>
      <c r="R25" s="111">
        <v>34.615384615384613</v>
      </c>
      <c r="S25" s="111">
        <v>36.363636363636367</v>
      </c>
      <c r="T25" s="111">
        <v>58.823529411764703</v>
      </c>
      <c r="U25" s="111">
        <v>55.813953488372093</v>
      </c>
      <c r="V25" s="111">
        <v>66.666666666666671</v>
      </c>
      <c r="W25" s="111">
        <v>47.169811320754718</v>
      </c>
      <c r="X25" s="111">
        <v>20</v>
      </c>
      <c r="Y25" s="111">
        <v>32.432432432432435</v>
      </c>
      <c r="Z25" s="111">
        <v>58.333333333333336</v>
      </c>
      <c r="AA25" s="111">
        <v>44.117647058823529</v>
      </c>
      <c r="AB25" s="111">
        <v>59.45945945945946</v>
      </c>
      <c r="AC25" s="111">
        <v>55.932203389830505</v>
      </c>
      <c r="AD25" s="111">
        <v>59.322033898305087</v>
      </c>
      <c r="AE25" s="111">
        <v>87.272727272727266</v>
      </c>
      <c r="AF25" s="111">
        <v>61.53846153846154</v>
      </c>
      <c r="AG25" s="111">
        <v>71.764705882352942</v>
      </c>
      <c r="AH25" s="111">
        <v>61.53846153846154</v>
      </c>
      <c r="AI25" s="111">
        <v>43.902439024390247</v>
      </c>
      <c r="AJ25" s="111">
        <v>60</v>
      </c>
      <c r="AK25" s="111">
        <v>52.941176470588232</v>
      </c>
      <c r="AL25" s="111">
        <v>63.157894736842103</v>
      </c>
      <c r="AM25" s="111">
        <v>71.942446043165461</v>
      </c>
      <c r="AN25" s="111">
        <v>73.239436619718305</v>
      </c>
      <c r="AO25" s="111">
        <v>36.619718309859152</v>
      </c>
      <c r="AP25" s="111">
        <v>75</v>
      </c>
      <c r="AQ25" s="111">
        <v>57.692307692307693</v>
      </c>
      <c r="AR25" s="111">
        <v>63.043478260869563</v>
      </c>
      <c r="AS25" s="119">
        <v>168</v>
      </c>
    </row>
    <row r="26" spans="1:45" x14ac:dyDescent="0.25">
      <c r="A26" s="119" t="s">
        <v>71</v>
      </c>
      <c r="B26" s="111">
        <v>58.074534161490682</v>
      </c>
      <c r="C26" s="111">
        <v>68.910256410256409</v>
      </c>
      <c r="D26" s="111">
        <v>62.549800796812747</v>
      </c>
      <c r="E26" s="111">
        <v>72.826086956521735</v>
      </c>
      <c r="F26" s="111">
        <v>65.853658536585371</v>
      </c>
      <c r="G26" s="111">
        <v>76.415094339622641</v>
      </c>
      <c r="H26" s="111">
        <v>44.578313253012048</v>
      </c>
      <c r="I26" s="111">
        <v>36.363636363636367</v>
      </c>
      <c r="J26" s="111">
        <v>30.952380952380953</v>
      </c>
      <c r="K26" s="111">
        <v>36.458333333333336</v>
      </c>
      <c r="L26" s="111">
        <v>22.093023255813954</v>
      </c>
      <c r="M26" s="111">
        <v>24.444444444444443</v>
      </c>
      <c r="N26" s="111">
        <v>23.636363636363637</v>
      </c>
      <c r="O26" s="111">
        <v>52.857142857142854</v>
      </c>
      <c r="P26" s="111">
        <v>36.206896551724135</v>
      </c>
      <c r="Q26" s="111">
        <v>38.235294117647058</v>
      </c>
      <c r="R26" s="111">
        <v>30.90909090909091</v>
      </c>
      <c r="S26" s="111">
        <v>26.229508196721312</v>
      </c>
      <c r="T26" s="111">
        <v>66.666666666666671</v>
      </c>
      <c r="U26" s="111">
        <v>71.578947368421055</v>
      </c>
      <c r="V26" s="111">
        <v>79.130434782608702</v>
      </c>
      <c r="W26" s="111">
        <v>67.647058823529406</v>
      </c>
      <c r="X26" s="111">
        <v>73.40425531914893</v>
      </c>
      <c r="Y26" s="111">
        <v>55.454545454545453</v>
      </c>
      <c r="Z26" s="111">
        <v>48.484848484848484</v>
      </c>
      <c r="AA26" s="111">
        <v>43.478260869565219</v>
      </c>
      <c r="AB26" s="111">
        <v>52.631578947368418</v>
      </c>
      <c r="AC26" s="111">
        <v>50.666666666666664</v>
      </c>
      <c r="AD26" s="111">
        <v>75</v>
      </c>
      <c r="AE26" s="111">
        <v>93</v>
      </c>
      <c r="AF26" s="111">
        <v>80.3347280334728</v>
      </c>
      <c r="AG26" s="111">
        <v>72.803347280334734</v>
      </c>
      <c r="AH26" s="111">
        <v>45.454545454545453</v>
      </c>
      <c r="AI26" s="111">
        <v>40.277777777777779</v>
      </c>
      <c r="AJ26" s="111">
        <v>52.238805970149251</v>
      </c>
      <c r="AK26" s="111">
        <v>40.201005025125632</v>
      </c>
      <c r="AL26" s="111">
        <v>50.485436893203882</v>
      </c>
      <c r="AM26" s="111">
        <v>83.478260869565219</v>
      </c>
      <c r="AN26" s="111">
        <v>77.624309392265189</v>
      </c>
      <c r="AO26" s="111">
        <v>32.075471698113205</v>
      </c>
      <c r="AP26" s="111">
        <v>68.195718654434245</v>
      </c>
      <c r="AQ26" s="111">
        <v>40</v>
      </c>
      <c r="AR26" s="111">
        <v>55.307262569832403</v>
      </c>
      <c r="AS26" s="119">
        <v>437</v>
      </c>
    </row>
    <row r="27" spans="1:45" x14ac:dyDescent="0.25">
      <c r="A27" s="119" t="s">
        <v>10</v>
      </c>
      <c r="B27" s="111">
        <v>71.264367816091948</v>
      </c>
      <c r="C27" s="111">
        <v>85.029940119760482</v>
      </c>
      <c r="D27" s="111">
        <v>51.81818181818182</v>
      </c>
      <c r="E27" s="111">
        <v>82.258064516129039</v>
      </c>
      <c r="F27" s="111">
        <v>72.727272727272734</v>
      </c>
      <c r="G27" s="111">
        <v>87.640449438202253</v>
      </c>
      <c r="H27" s="111">
        <v>75.757575757575751</v>
      </c>
      <c r="I27" s="111">
        <v>71.428571428571431</v>
      </c>
      <c r="J27" s="111">
        <v>38.888888888888886</v>
      </c>
      <c r="K27" s="111">
        <v>66.666666666666671</v>
      </c>
      <c r="L27" s="111">
        <v>63.414634146341463</v>
      </c>
      <c r="M27" s="111">
        <v>66.666666666666671</v>
      </c>
      <c r="N27" s="111">
        <v>42.857142857142854</v>
      </c>
      <c r="O27" s="111">
        <v>71.875</v>
      </c>
      <c r="P27" s="111">
        <v>35.714285714285715</v>
      </c>
      <c r="Q27" s="111">
        <v>60.869565217391305</v>
      </c>
      <c r="R27" s="111">
        <v>45.454545454545453</v>
      </c>
      <c r="S27" s="111">
        <v>40</v>
      </c>
      <c r="T27" s="111">
        <v>80.952380952380949</v>
      </c>
      <c r="U27" s="111">
        <v>83.333333333333329</v>
      </c>
      <c r="V27" s="111">
        <v>82.666666666666671</v>
      </c>
      <c r="W27" s="111">
        <v>84.905660377358487</v>
      </c>
      <c r="X27" s="111">
        <v>70</v>
      </c>
      <c r="Y27" s="111">
        <v>52.777777777777779</v>
      </c>
      <c r="Z27" s="111">
        <v>54.166666666666664</v>
      </c>
      <c r="AA27" s="111">
        <v>58.620689655172413</v>
      </c>
      <c r="AB27" s="111">
        <v>58.974358974358971</v>
      </c>
      <c r="AC27" s="111">
        <v>73.584905660377359</v>
      </c>
      <c r="AD27" s="111">
        <v>88.288288288288285</v>
      </c>
      <c r="AE27" s="111">
        <v>91.489361702127653</v>
      </c>
      <c r="AF27" s="111">
        <v>69.736842105263165</v>
      </c>
      <c r="AG27" s="111">
        <v>72.61904761904762</v>
      </c>
      <c r="AH27" s="111">
        <v>42.857142857142854</v>
      </c>
      <c r="AI27" s="111">
        <v>48.275862068965516</v>
      </c>
      <c r="AJ27" s="111">
        <v>40</v>
      </c>
      <c r="AK27" s="111">
        <v>8.9552238805970141</v>
      </c>
      <c r="AL27" s="111">
        <v>61.666666666666664</v>
      </c>
      <c r="AM27" s="111">
        <v>81.215469613259671</v>
      </c>
      <c r="AN27" s="111">
        <v>88.770053475935825</v>
      </c>
      <c r="AO27" s="111">
        <v>28.723404255319149</v>
      </c>
      <c r="AP27" s="111">
        <v>69.662921348314612</v>
      </c>
      <c r="AQ27" s="111">
        <v>34.579439252336449</v>
      </c>
      <c r="AR27" s="111">
        <v>56.25</v>
      </c>
      <c r="AS27" s="119">
        <v>219</v>
      </c>
    </row>
    <row r="28" spans="1:45" x14ac:dyDescent="0.25">
      <c r="A28" s="119" t="s">
        <v>56</v>
      </c>
      <c r="B28" s="111">
        <v>38.311688311688314</v>
      </c>
      <c r="C28" s="111">
        <v>67.785234899328856</v>
      </c>
      <c r="D28" s="111">
        <v>79.710144927536234</v>
      </c>
      <c r="E28" s="111">
        <v>78.461538461538467</v>
      </c>
      <c r="F28" s="111">
        <v>62.5</v>
      </c>
      <c r="G28" s="111">
        <v>61.971830985915496</v>
      </c>
      <c r="H28" s="111">
        <v>47.368421052631582</v>
      </c>
      <c r="I28" s="111">
        <v>49.206349206349209</v>
      </c>
      <c r="J28" s="111">
        <v>36</v>
      </c>
      <c r="K28" s="111">
        <v>39.682539682539684</v>
      </c>
      <c r="L28" s="111">
        <v>34.482758620689658</v>
      </c>
      <c r="M28" s="111">
        <v>40.322580645161288</v>
      </c>
      <c r="N28" s="111">
        <v>15.625</v>
      </c>
      <c r="O28" s="111">
        <v>45</v>
      </c>
      <c r="P28" s="111">
        <v>30.303030303030305</v>
      </c>
      <c r="Q28" s="111">
        <v>34.210526315789473</v>
      </c>
      <c r="R28" s="111">
        <v>10</v>
      </c>
      <c r="S28" s="111">
        <v>26.829268292682926</v>
      </c>
      <c r="T28" s="111">
        <v>78.461538461538467</v>
      </c>
      <c r="U28" s="111">
        <v>88.059701492537314</v>
      </c>
      <c r="V28" s="111">
        <v>88</v>
      </c>
      <c r="W28" s="111">
        <v>77.777777777777771</v>
      </c>
      <c r="X28" s="111">
        <v>87.878787878787875</v>
      </c>
      <c r="Y28" s="111">
        <v>73.333333333333329</v>
      </c>
      <c r="Z28" s="111">
        <v>63.636363636363633</v>
      </c>
      <c r="AA28" s="111">
        <v>54.347826086956523</v>
      </c>
      <c r="AB28" s="111">
        <v>53.333333333333336</v>
      </c>
      <c r="AC28" s="111">
        <v>58.620689655172413</v>
      </c>
      <c r="AD28" s="111">
        <v>83.168316831683171</v>
      </c>
      <c r="AE28" s="111">
        <v>87.218045112781951</v>
      </c>
      <c r="AF28" s="111">
        <v>64.444444444444443</v>
      </c>
      <c r="AG28" s="111">
        <v>89.922480620155042</v>
      </c>
      <c r="AH28" s="111">
        <v>53.846153846153847</v>
      </c>
      <c r="AI28" s="111">
        <v>44.642857142857146</v>
      </c>
      <c r="AJ28" s="111">
        <v>53.333333333333336</v>
      </c>
      <c r="AK28" s="111">
        <v>21.05263157894737</v>
      </c>
      <c r="AL28" s="111">
        <v>61.53846153846154</v>
      </c>
      <c r="AM28" s="111">
        <v>84.722222222222229</v>
      </c>
      <c r="AN28" s="111">
        <v>80.821917808219183</v>
      </c>
      <c r="AO28" s="111">
        <v>18.518518518518519</v>
      </c>
      <c r="AP28" s="111">
        <v>68.275862068965523</v>
      </c>
      <c r="AQ28" s="111">
        <v>46.913580246913583</v>
      </c>
      <c r="AR28" s="111">
        <v>42.20779220779221</v>
      </c>
      <c r="AS28" s="119">
        <v>179</v>
      </c>
    </row>
    <row r="29" spans="1:45" x14ac:dyDescent="0.25">
      <c r="A29" s="119" t="s">
        <v>11</v>
      </c>
      <c r="B29" s="111">
        <v>46.326530612244895</v>
      </c>
      <c r="C29" s="111">
        <v>55.626326963906578</v>
      </c>
      <c r="D29" s="111">
        <v>61.111111111111114</v>
      </c>
      <c r="E29" s="111">
        <v>76.219512195121951</v>
      </c>
      <c r="F29" s="111">
        <v>59.239130434782609</v>
      </c>
      <c r="G29" s="111">
        <v>65.131578947368425</v>
      </c>
      <c r="H29" s="111">
        <v>26.890756302521009</v>
      </c>
      <c r="I29" s="111">
        <v>29.05982905982906</v>
      </c>
      <c r="J29" s="111">
        <v>24.793388429752067</v>
      </c>
      <c r="K29" s="111">
        <v>20.8</v>
      </c>
      <c r="L29" s="111">
        <v>12.096774193548388</v>
      </c>
      <c r="M29" s="111">
        <v>14.285714285714286</v>
      </c>
      <c r="N29" s="111">
        <v>25</v>
      </c>
      <c r="O29" s="111">
        <v>50.561797752808985</v>
      </c>
      <c r="P29" s="111">
        <v>22.105263157894736</v>
      </c>
      <c r="Q29" s="111">
        <v>34.653465346534652</v>
      </c>
      <c r="R29" s="111">
        <v>15.492957746478874</v>
      </c>
      <c r="S29" s="111">
        <v>24.390243902439025</v>
      </c>
      <c r="T29" s="111">
        <v>70.391061452513966</v>
      </c>
      <c r="U29" s="111">
        <v>73.885350318471339</v>
      </c>
      <c r="V29" s="111">
        <v>71.428571428571431</v>
      </c>
      <c r="W29" s="111">
        <v>69.426751592356695</v>
      </c>
      <c r="X29" s="111">
        <v>67.320261437908499</v>
      </c>
      <c r="Y29" s="111">
        <v>56.462585034013607</v>
      </c>
      <c r="Z29" s="111">
        <v>43.434343434343432</v>
      </c>
      <c r="AA29" s="111">
        <v>36.363636363636367</v>
      </c>
      <c r="AB29" s="111">
        <v>35.897435897435898</v>
      </c>
      <c r="AC29" s="111">
        <v>46.808510638297875</v>
      </c>
      <c r="AD29" s="111">
        <v>73.604060913705581</v>
      </c>
      <c r="AE29" s="111">
        <v>91.769547325102877</v>
      </c>
      <c r="AF29" s="111">
        <v>81.86666666666666</v>
      </c>
      <c r="AG29" s="111">
        <v>79.556650246305423</v>
      </c>
      <c r="AH29" s="111">
        <v>44.117647058823529</v>
      </c>
      <c r="AI29" s="111">
        <v>37.704918032786885</v>
      </c>
      <c r="AJ29" s="111">
        <v>39.814814814814817</v>
      </c>
      <c r="AK29" s="111">
        <v>45.861297539149888</v>
      </c>
      <c r="AL29" s="111">
        <v>47.445255474452551</v>
      </c>
      <c r="AM29" s="111">
        <v>84.251968503937007</v>
      </c>
      <c r="AN29" s="111">
        <v>80.253623188405797</v>
      </c>
      <c r="AO29" s="111">
        <v>36.581196581196579</v>
      </c>
      <c r="AP29" s="111">
        <v>75.231053604436227</v>
      </c>
      <c r="AQ29" s="111">
        <v>44.342507645259936</v>
      </c>
      <c r="AR29" s="111">
        <v>48.784722222222221</v>
      </c>
      <c r="AS29" s="119">
        <v>639</v>
      </c>
    </row>
    <row r="30" spans="1:45" x14ac:dyDescent="0.25">
      <c r="A30" s="119" t="s">
        <v>58</v>
      </c>
      <c r="B30" s="111">
        <v>56.321839080459768</v>
      </c>
      <c r="C30" s="111">
        <v>76.84210526315789</v>
      </c>
      <c r="D30" s="111">
        <v>75.903614457831324</v>
      </c>
      <c r="E30" s="111">
        <v>81.395348837209298</v>
      </c>
      <c r="F30" s="111">
        <v>58.974358974358971</v>
      </c>
      <c r="G30" s="111">
        <v>54.901960784313722</v>
      </c>
      <c r="H30" s="111">
        <v>54.545454545454547</v>
      </c>
      <c r="I30" s="111">
        <v>36</v>
      </c>
      <c r="J30" s="111">
        <v>40.74074074074074</v>
      </c>
      <c r="K30" s="111">
        <v>40.909090909090907</v>
      </c>
      <c r="L30" s="111">
        <v>30.434782608695652</v>
      </c>
      <c r="M30" s="111">
        <v>45.833333333333336</v>
      </c>
      <c r="N30" s="111">
        <v>35.294117647058826</v>
      </c>
      <c r="O30" s="111">
        <v>58.333333333333336</v>
      </c>
      <c r="P30" s="111">
        <v>38.095238095238095</v>
      </c>
      <c r="Q30" s="111">
        <v>37.5</v>
      </c>
      <c r="R30" s="111">
        <v>26.666666666666668</v>
      </c>
      <c r="S30" s="111">
        <v>25</v>
      </c>
      <c r="T30" s="111">
        <v>80.555555555555557</v>
      </c>
      <c r="U30" s="111">
        <v>84.375</v>
      </c>
      <c r="V30" s="111">
        <v>85.294117647058826</v>
      </c>
      <c r="W30" s="111">
        <v>81.818181818181813</v>
      </c>
      <c r="X30" s="111">
        <v>78.787878787878782</v>
      </c>
      <c r="Y30" s="111">
        <v>33.333333333333336</v>
      </c>
      <c r="Z30" s="111">
        <v>66.666666666666671</v>
      </c>
      <c r="AA30" s="111">
        <v>45.833333333333336</v>
      </c>
      <c r="AB30" s="111">
        <v>71.428571428571431</v>
      </c>
      <c r="AC30" s="111">
        <v>70</v>
      </c>
      <c r="AD30" s="111">
        <v>91.228070175438603</v>
      </c>
      <c r="AE30" s="111">
        <v>93.055555555555557</v>
      </c>
      <c r="AF30" s="111">
        <v>63.414634146341463</v>
      </c>
      <c r="AG30" s="111">
        <v>74.509803921568633</v>
      </c>
      <c r="AH30" s="111">
        <v>59.25925925925926</v>
      </c>
      <c r="AI30" s="111">
        <v>57.142857142857146</v>
      </c>
      <c r="AJ30" s="111">
        <v>69.230769230769226</v>
      </c>
      <c r="AK30" s="111">
        <v>32.5</v>
      </c>
      <c r="AL30" s="111">
        <v>58.064516129032256</v>
      </c>
      <c r="AM30" s="111">
        <v>76.744186046511629</v>
      </c>
      <c r="AN30" s="111">
        <v>74.444444444444443</v>
      </c>
      <c r="AO30" s="111">
        <v>29.032258064516128</v>
      </c>
      <c r="AP30" s="111">
        <v>66.666666666666671</v>
      </c>
      <c r="AQ30" s="111">
        <v>43.75</v>
      </c>
      <c r="AR30" s="111">
        <v>50.574712643678161</v>
      </c>
      <c r="AS30" s="119">
        <v>114</v>
      </c>
    </row>
    <row r="31" spans="1:45" x14ac:dyDescent="0.25">
      <c r="A31" s="119" t="s">
        <v>59</v>
      </c>
      <c r="B31" s="111">
        <v>65.648854961832058</v>
      </c>
      <c r="C31" s="111">
        <v>78.571428571428569</v>
      </c>
      <c r="D31" s="111">
        <v>71.578947368421055</v>
      </c>
      <c r="E31" s="111">
        <v>73.170731707317074</v>
      </c>
      <c r="F31" s="111">
        <v>64.285714285714292</v>
      </c>
      <c r="G31" s="111">
        <v>56.666666666666664</v>
      </c>
      <c r="H31" s="111">
        <v>32.258064516129032</v>
      </c>
      <c r="I31" s="111">
        <v>52.941176470588232</v>
      </c>
      <c r="J31" s="111">
        <v>33.333333333333336</v>
      </c>
      <c r="K31" s="111">
        <v>60.869565217391305</v>
      </c>
      <c r="L31" s="111">
        <v>50</v>
      </c>
      <c r="M31" s="111">
        <v>44.186046511627907</v>
      </c>
      <c r="N31" s="111">
        <v>26.086956521739129</v>
      </c>
      <c r="O31" s="111">
        <v>57.142857142857146</v>
      </c>
      <c r="P31" s="111">
        <v>31.818181818181817</v>
      </c>
      <c r="Q31" s="111">
        <v>51.612903225806448</v>
      </c>
      <c r="R31" s="111">
        <v>21.739130434782609</v>
      </c>
      <c r="S31" s="111">
        <v>34.615384615384613</v>
      </c>
      <c r="T31" s="111">
        <v>82.926829268292678</v>
      </c>
      <c r="U31" s="111">
        <v>77.142857142857139</v>
      </c>
      <c r="V31" s="111">
        <v>77.272727272727266</v>
      </c>
      <c r="W31" s="111">
        <v>75</v>
      </c>
      <c r="X31" s="111">
        <v>74.285714285714292</v>
      </c>
      <c r="Y31" s="111">
        <v>46.875</v>
      </c>
      <c r="Z31" s="111">
        <v>52.631578947368418</v>
      </c>
      <c r="AA31" s="111">
        <v>43.478260869565219</v>
      </c>
      <c r="AB31" s="111">
        <v>51.851851851851855</v>
      </c>
      <c r="AC31" s="111">
        <v>74.358974358974365</v>
      </c>
      <c r="AD31" s="111">
        <v>70.491803278688522</v>
      </c>
      <c r="AE31" s="111">
        <v>92.708333333333329</v>
      </c>
      <c r="AF31" s="111">
        <v>59.701492537313435</v>
      </c>
      <c r="AG31" s="111">
        <v>70</v>
      </c>
      <c r="AH31" s="111">
        <v>45.454545454545453</v>
      </c>
      <c r="AI31" s="111">
        <v>47.61904761904762</v>
      </c>
      <c r="AJ31" s="111">
        <v>63.636363636363633</v>
      </c>
      <c r="AK31" s="111">
        <v>22.222222222222221</v>
      </c>
      <c r="AL31" s="111">
        <v>60.869565217391305</v>
      </c>
      <c r="AM31" s="111">
        <v>86.06557377049181</v>
      </c>
      <c r="AN31" s="111">
        <v>87.288135593220332</v>
      </c>
      <c r="AO31" s="111">
        <v>29.545454545454547</v>
      </c>
      <c r="AP31" s="111">
        <v>68.644067796610173</v>
      </c>
      <c r="AQ31" s="111">
        <v>40.506329113924053</v>
      </c>
      <c r="AR31" s="111">
        <v>50</v>
      </c>
      <c r="AS31" s="119">
        <v>143</v>
      </c>
    </row>
    <row r="32" spans="1:45" x14ac:dyDescent="0.25">
      <c r="A32" s="119" t="s">
        <v>60</v>
      </c>
      <c r="B32" s="111">
        <v>82.03125</v>
      </c>
      <c r="C32" s="111">
        <v>89.075630252100837</v>
      </c>
      <c r="D32" s="111">
        <v>76.699029126213588</v>
      </c>
      <c r="E32" s="111">
        <v>85.416666666666671</v>
      </c>
      <c r="F32" s="111">
        <v>75</v>
      </c>
      <c r="G32" s="111">
        <v>62</v>
      </c>
      <c r="H32" s="111">
        <v>66.666666666666671</v>
      </c>
      <c r="I32" s="111">
        <v>51.428571428571431</v>
      </c>
      <c r="J32" s="111">
        <v>51.724137931034484</v>
      </c>
      <c r="K32" s="111">
        <v>63.636363636363633</v>
      </c>
      <c r="L32" s="111">
        <v>55</v>
      </c>
      <c r="M32" s="111">
        <v>53.488372093023258</v>
      </c>
      <c r="N32" s="111">
        <v>37.037037037037038</v>
      </c>
      <c r="O32" s="111">
        <v>56.666666666666664</v>
      </c>
      <c r="P32" s="111">
        <v>41.935483870967744</v>
      </c>
      <c r="Q32" s="111">
        <v>43.75</v>
      </c>
      <c r="R32" s="111">
        <v>40</v>
      </c>
      <c r="S32" s="111">
        <v>39.285714285714285</v>
      </c>
      <c r="T32" s="111">
        <v>82.456140350877192</v>
      </c>
      <c r="U32" s="111">
        <v>84.615384615384613</v>
      </c>
      <c r="V32" s="111">
        <v>88.679245283018872</v>
      </c>
      <c r="W32" s="111">
        <v>76.086956521739125</v>
      </c>
      <c r="X32" s="111">
        <v>81.25</v>
      </c>
      <c r="Y32" s="111">
        <v>40</v>
      </c>
      <c r="Z32" s="111">
        <v>75.675675675675677</v>
      </c>
      <c r="AA32" s="111">
        <v>59.45945945945946</v>
      </c>
      <c r="AB32" s="111">
        <v>56.81818181818182</v>
      </c>
      <c r="AC32" s="111">
        <v>55.555555555555557</v>
      </c>
      <c r="AD32" s="111">
        <v>87.301587301587304</v>
      </c>
      <c r="AE32" s="111">
        <v>93.406593406593402</v>
      </c>
      <c r="AF32" s="111">
        <v>84.883720930232556</v>
      </c>
      <c r="AG32" s="111">
        <v>82.608695652173907</v>
      </c>
      <c r="AH32" s="111">
        <v>68.75</v>
      </c>
      <c r="AI32" s="111">
        <v>38.636363636363633</v>
      </c>
      <c r="AJ32" s="111">
        <v>53.061224489795919</v>
      </c>
      <c r="AK32" s="111">
        <v>35.714285714285715</v>
      </c>
      <c r="AL32" s="111">
        <v>65.671641791044777</v>
      </c>
      <c r="AM32" s="111">
        <v>81.578947368421055</v>
      </c>
      <c r="AN32" s="111">
        <v>67.256637168141594</v>
      </c>
      <c r="AO32" s="111">
        <v>37.404580152671755</v>
      </c>
      <c r="AP32" s="111">
        <v>64.601769911504419</v>
      </c>
      <c r="AQ32" s="111">
        <v>52.5</v>
      </c>
      <c r="AR32" s="111">
        <v>65.546218487394952</v>
      </c>
      <c r="AS32" s="119">
        <v>144</v>
      </c>
    </row>
    <row r="33" spans="1:45" x14ac:dyDescent="0.25">
      <c r="A33" s="119" t="s">
        <v>12</v>
      </c>
      <c r="B33" s="111">
        <v>55.555555555555557</v>
      </c>
      <c r="C33" s="111">
        <v>62.037037037037038</v>
      </c>
      <c r="D33" s="111">
        <v>79.069767441860463</v>
      </c>
      <c r="E33" s="111">
        <v>77.777777777777771</v>
      </c>
      <c r="F33" s="111">
        <v>78.571428571428569</v>
      </c>
      <c r="G33" s="111">
        <v>49.019607843137258</v>
      </c>
      <c r="H33" s="111">
        <v>37.5</v>
      </c>
      <c r="I33" s="111">
        <v>47.5</v>
      </c>
      <c r="J33" s="111">
        <v>46.428571428571431</v>
      </c>
      <c r="K33" s="111">
        <v>52.38095238095238</v>
      </c>
      <c r="L33" s="111">
        <v>42.10526315789474</v>
      </c>
      <c r="M33" s="111">
        <v>38.46153846153846</v>
      </c>
      <c r="N33" s="111">
        <v>31.578947368421051</v>
      </c>
      <c r="O33" s="111">
        <v>42.10526315789474</v>
      </c>
      <c r="P33" s="111">
        <v>26.666666666666668</v>
      </c>
      <c r="Q33" s="111">
        <v>61.904761904761905</v>
      </c>
      <c r="R33" s="111">
        <v>47.058823529411768</v>
      </c>
      <c r="S33" s="111">
        <v>35</v>
      </c>
      <c r="T33" s="111">
        <v>81.081081081081081</v>
      </c>
      <c r="U33" s="111">
        <v>77.777777777777771</v>
      </c>
      <c r="V33" s="111">
        <v>81.25</v>
      </c>
      <c r="W33" s="111">
        <v>80.434782608695656</v>
      </c>
      <c r="X33" s="111">
        <v>82.5</v>
      </c>
      <c r="Y33" s="111">
        <v>55.263157894736842</v>
      </c>
      <c r="Z33" s="111">
        <v>62.068965517241381</v>
      </c>
      <c r="AA33" s="111">
        <v>52.173913043478258</v>
      </c>
      <c r="AB33" s="111">
        <v>60.714285714285715</v>
      </c>
      <c r="AC33" s="111">
        <v>80.952380952380949</v>
      </c>
      <c r="AD33" s="111">
        <v>76.271186440677965</v>
      </c>
      <c r="AE33" s="111">
        <v>86.25</v>
      </c>
      <c r="AF33" s="111">
        <v>67.307692307692307</v>
      </c>
      <c r="AG33" s="111">
        <v>75.409836065573771</v>
      </c>
      <c r="AH33" s="111">
        <v>40</v>
      </c>
      <c r="AI33" s="111">
        <v>27.027027027027028</v>
      </c>
      <c r="AJ33" s="111">
        <v>30.434782608695652</v>
      </c>
      <c r="AK33" s="111">
        <v>34.782608695652172</v>
      </c>
      <c r="AL33" s="111">
        <v>47.5</v>
      </c>
      <c r="AM33" s="111">
        <v>73.786407766990294</v>
      </c>
      <c r="AN33" s="111">
        <v>68.932038834951456</v>
      </c>
      <c r="AO33" s="111">
        <v>26.21359223300971</v>
      </c>
      <c r="AP33" s="111">
        <v>65.060240963855421</v>
      </c>
      <c r="AQ33" s="111">
        <v>37.5</v>
      </c>
      <c r="AR33" s="111">
        <v>40.816326530612244</v>
      </c>
      <c r="AS33" s="119">
        <v>135</v>
      </c>
    </row>
    <row r="34" spans="1:45" x14ac:dyDescent="0.25">
      <c r="A34" s="119" t="s">
        <v>61</v>
      </c>
      <c r="B34" s="111">
        <v>63.684210526315788</v>
      </c>
      <c r="C34" s="111">
        <v>73.80952380952381</v>
      </c>
      <c r="D34" s="111">
        <v>76</v>
      </c>
      <c r="E34" s="111">
        <v>92.727272727272734</v>
      </c>
      <c r="F34" s="111">
        <v>69.491525423728817</v>
      </c>
      <c r="G34" s="111">
        <v>73.134328358208961</v>
      </c>
      <c r="H34" s="111">
        <v>60.526315789473685</v>
      </c>
      <c r="I34" s="111">
        <v>50</v>
      </c>
      <c r="J34" s="111">
        <v>58.333333333333336</v>
      </c>
      <c r="K34" s="111">
        <v>54.545454545454547</v>
      </c>
      <c r="L34" s="111">
        <v>40</v>
      </c>
      <c r="M34" s="111">
        <v>44.444444444444443</v>
      </c>
      <c r="N34" s="111">
        <v>61.904761904761905</v>
      </c>
      <c r="O34" s="111">
        <v>61.53846153846154</v>
      </c>
      <c r="P34" s="111">
        <v>52</v>
      </c>
      <c r="Q34" s="111">
        <v>65.517241379310349</v>
      </c>
      <c r="R34" s="111">
        <v>63.157894736842103</v>
      </c>
      <c r="S34" s="111">
        <v>59.25925925925926</v>
      </c>
      <c r="T34" s="111">
        <v>83.333333333333329</v>
      </c>
      <c r="U34" s="111">
        <v>88.235294117647058</v>
      </c>
      <c r="V34" s="111">
        <v>93.548387096774192</v>
      </c>
      <c r="W34" s="111">
        <v>84.21052631578948</v>
      </c>
      <c r="X34" s="111">
        <v>93.61702127659575</v>
      </c>
      <c r="Y34" s="111">
        <v>80</v>
      </c>
      <c r="Z34" s="111">
        <v>72.222222222222229</v>
      </c>
      <c r="AA34" s="111">
        <v>72.41379310344827</v>
      </c>
      <c r="AB34" s="111">
        <v>64.86486486486487</v>
      </c>
      <c r="AC34" s="111">
        <v>66.666666666666671</v>
      </c>
      <c r="AD34" s="111">
        <v>84.810126582278485</v>
      </c>
      <c r="AE34" s="111">
        <v>93.678160919540232</v>
      </c>
      <c r="AF34" s="111">
        <v>63.291139240506332</v>
      </c>
      <c r="AG34" s="111">
        <v>83.07692307692308</v>
      </c>
      <c r="AH34" s="111">
        <v>63.157894736842103</v>
      </c>
      <c r="AI34" s="111">
        <v>32.432432432432435</v>
      </c>
      <c r="AJ34" s="111">
        <v>68.627450980392155</v>
      </c>
      <c r="AK34" s="111">
        <v>75.155279503105589</v>
      </c>
      <c r="AL34" s="111">
        <v>67.34693877551021</v>
      </c>
      <c r="AM34" s="111">
        <v>90.952380952380949</v>
      </c>
      <c r="AN34" s="111">
        <v>79.069767441860463</v>
      </c>
      <c r="AO34" s="111">
        <v>45.614035087719301</v>
      </c>
      <c r="AP34" s="111">
        <v>76.30331753554502</v>
      </c>
      <c r="AQ34" s="111">
        <v>47.572815533980581</v>
      </c>
      <c r="AR34" s="111">
        <v>52.678571428571431</v>
      </c>
      <c r="AS34" s="119">
        <v>248</v>
      </c>
    </row>
    <row r="35" spans="1:45" x14ac:dyDescent="0.25">
      <c r="A35" s="119" t="s">
        <v>62</v>
      </c>
      <c r="B35" s="111">
        <v>82.352941176470594</v>
      </c>
      <c r="C35" s="111">
        <v>84.090909090909093</v>
      </c>
      <c r="D35" s="111">
        <v>77.108433734939766</v>
      </c>
      <c r="E35" s="111">
        <v>74.358974358974365</v>
      </c>
      <c r="F35" s="111">
        <v>75</v>
      </c>
      <c r="G35" s="111">
        <v>46.153846153846153</v>
      </c>
      <c r="H35" s="111">
        <v>66.666666666666671</v>
      </c>
      <c r="I35" s="111">
        <v>25</v>
      </c>
      <c r="J35" s="111">
        <v>58.064516129032256</v>
      </c>
      <c r="K35" s="111">
        <v>66.666666666666671</v>
      </c>
      <c r="L35" s="111">
        <v>50</v>
      </c>
      <c r="M35" s="111">
        <v>56.410256410256409</v>
      </c>
      <c r="N35" s="111">
        <v>30.76923076923077</v>
      </c>
      <c r="O35" s="111">
        <v>55.172413793103445</v>
      </c>
      <c r="P35" s="111">
        <v>43.333333333333336</v>
      </c>
      <c r="Q35" s="111">
        <v>51.851851851851855</v>
      </c>
      <c r="R35" s="111">
        <v>20.833333333333332</v>
      </c>
      <c r="S35" s="111">
        <v>36</v>
      </c>
      <c r="T35" s="111">
        <v>74.358974358974365</v>
      </c>
      <c r="U35" s="111">
        <v>72.972972972972968</v>
      </c>
      <c r="V35" s="111">
        <v>75</v>
      </c>
      <c r="W35" s="111">
        <v>75</v>
      </c>
      <c r="X35" s="111">
        <v>90.243902439024396</v>
      </c>
      <c r="Y35" s="111">
        <v>25</v>
      </c>
      <c r="Z35" s="111">
        <v>46.875</v>
      </c>
      <c r="AA35" s="111">
        <v>57.692307692307693</v>
      </c>
      <c r="AB35" s="111">
        <v>65.384615384615387</v>
      </c>
      <c r="AC35" s="111">
        <v>58.139534883720927</v>
      </c>
      <c r="AD35" s="111">
        <v>75.806451612903231</v>
      </c>
      <c r="AE35" s="111">
        <v>88.095238095238102</v>
      </c>
      <c r="AF35" s="111">
        <v>73.84615384615384</v>
      </c>
      <c r="AG35" s="111">
        <v>86.301369863013704</v>
      </c>
      <c r="AH35" s="111">
        <v>48.717948717948715</v>
      </c>
      <c r="AI35" s="111">
        <v>45.945945945945944</v>
      </c>
      <c r="AJ35" s="111">
        <v>41.935483870967744</v>
      </c>
      <c r="AK35" s="111">
        <v>12.244897959183673</v>
      </c>
      <c r="AL35" s="111">
        <v>73.214285714285708</v>
      </c>
      <c r="AM35" s="111">
        <v>80</v>
      </c>
      <c r="AN35" s="111">
        <v>76.13636363636364</v>
      </c>
      <c r="AO35" s="111">
        <v>35.051546391752581</v>
      </c>
      <c r="AP35" s="111">
        <v>72.41379310344827</v>
      </c>
      <c r="AQ35" s="111">
        <v>46.938775510204081</v>
      </c>
      <c r="AR35" s="111">
        <v>68.478260869565219</v>
      </c>
      <c r="AS35" s="119">
        <v>115</v>
      </c>
    </row>
    <row r="36" spans="1:45" x14ac:dyDescent="0.25">
      <c r="A36" s="119" t="s">
        <v>23</v>
      </c>
      <c r="B36" s="111">
        <v>55.133079847908746</v>
      </c>
      <c r="C36" s="111">
        <v>65.777777777777771</v>
      </c>
      <c r="D36" s="111">
        <v>77.20930232558139</v>
      </c>
      <c r="E36" s="111">
        <v>74.626865671641795</v>
      </c>
      <c r="F36" s="111">
        <v>75.294117647058826</v>
      </c>
      <c r="G36" s="111">
        <v>69.879518072289159</v>
      </c>
      <c r="H36" s="111">
        <v>49.019607843137258</v>
      </c>
      <c r="I36" s="111">
        <v>45.238095238095241</v>
      </c>
      <c r="J36" s="111">
        <v>60.344827586206897</v>
      </c>
      <c r="K36" s="111">
        <v>39.622641509433961</v>
      </c>
      <c r="L36" s="111">
        <v>29.411764705882351</v>
      </c>
      <c r="M36" s="111">
        <v>31.481481481481481</v>
      </c>
      <c r="N36" s="111">
        <v>15.384615384615385</v>
      </c>
      <c r="O36" s="111">
        <v>46.875</v>
      </c>
      <c r="P36" s="111">
        <v>25</v>
      </c>
      <c r="Q36" s="111">
        <v>37.5</v>
      </c>
      <c r="R36" s="111">
        <v>23.076923076923077</v>
      </c>
      <c r="S36" s="111">
        <v>37.209302325581397</v>
      </c>
      <c r="T36" s="111">
        <v>67.46987951807229</v>
      </c>
      <c r="U36" s="111">
        <v>76.712328767123282</v>
      </c>
      <c r="V36" s="111">
        <v>79.120879120879124</v>
      </c>
      <c r="W36" s="111">
        <v>71.084337349397586</v>
      </c>
      <c r="X36" s="111">
        <v>73.4375</v>
      </c>
      <c r="Y36" s="111">
        <v>68.656716417910445</v>
      </c>
      <c r="Z36" s="111">
        <v>48.717948717948715</v>
      </c>
      <c r="AA36" s="111">
        <v>52.173913043478258</v>
      </c>
      <c r="AB36" s="111">
        <v>51.92307692307692</v>
      </c>
      <c r="AC36" s="111">
        <v>53.521126760563384</v>
      </c>
      <c r="AD36" s="111">
        <v>70.714285714285708</v>
      </c>
      <c r="AE36" s="111">
        <v>86.473429951690818</v>
      </c>
      <c r="AF36" s="111">
        <v>70.802919708029194</v>
      </c>
      <c r="AG36" s="111">
        <v>66.666666666666671</v>
      </c>
      <c r="AH36" s="111">
        <v>39.0625</v>
      </c>
      <c r="AI36" s="111">
        <v>25.454545454545453</v>
      </c>
      <c r="AJ36" s="111">
        <v>49.056603773584904</v>
      </c>
      <c r="AK36" s="111">
        <v>23.776223776223777</v>
      </c>
      <c r="AL36" s="111">
        <v>26.666666666666668</v>
      </c>
      <c r="AM36" s="111">
        <v>81.111111111111114</v>
      </c>
      <c r="AN36" s="111">
        <v>77.659574468085111</v>
      </c>
      <c r="AO36" s="111">
        <v>29.351535836177476</v>
      </c>
      <c r="AP36" s="111">
        <v>62.015503875968989</v>
      </c>
      <c r="AQ36" s="111">
        <v>31.176470588235293</v>
      </c>
      <c r="AR36" s="111">
        <v>48.161764705882355</v>
      </c>
      <c r="AS36" s="119">
        <v>348</v>
      </c>
    </row>
    <row r="37" spans="1:45" x14ac:dyDescent="0.25">
      <c r="A37" s="119" t="s">
        <v>13</v>
      </c>
      <c r="B37" s="111">
        <v>75.467289719626166</v>
      </c>
      <c r="C37" s="111">
        <v>83.554376657824932</v>
      </c>
      <c r="D37" s="111">
        <v>68.181818181818187</v>
      </c>
      <c r="E37" s="111">
        <v>76.068376068376068</v>
      </c>
      <c r="F37" s="111">
        <v>65.891472868217051</v>
      </c>
      <c r="G37" s="111">
        <v>78.538812785388131</v>
      </c>
      <c r="H37" s="111">
        <v>58.407079646017699</v>
      </c>
      <c r="I37" s="111">
        <v>50.467289719626166</v>
      </c>
      <c r="J37" s="111">
        <v>44.827586206896555</v>
      </c>
      <c r="K37" s="111">
        <v>29.411764705882351</v>
      </c>
      <c r="L37" s="111">
        <v>28.571428571428573</v>
      </c>
      <c r="M37" s="111">
        <v>36.440677966101696</v>
      </c>
      <c r="N37" s="111">
        <v>27.777777777777779</v>
      </c>
      <c r="O37" s="111">
        <v>48.571428571428569</v>
      </c>
      <c r="P37" s="111">
        <v>32.8125</v>
      </c>
      <c r="Q37" s="111">
        <v>50</v>
      </c>
      <c r="R37" s="111">
        <v>34.545454545454547</v>
      </c>
      <c r="S37" s="111">
        <v>25</v>
      </c>
      <c r="T37" s="111">
        <v>68.992248062015506</v>
      </c>
      <c r="U37" s="111">
        <v>73.451327433628322</v>
      </c>
      <c r="V37" s="111">
        <v>72.727272727272734</v>
      </c>
      <c r="W37" s="111">
        <v>71.428571428571431</v>
      </c>
      <c r="X37" s="111">
        <v>81.730769230769226</v>
      </c>
      <c r="Y37" s="111">
        <v>61.016949152542374</v>
      </c>
      <c r="Z37" s="111">
        <v>38.46153846153846</v>
      </c>
      <c r="AA37" s="111">
        <v>51.948051948051948</v>
      </c>
      <c r="AB37" s="111">
        <v>57.89473684210526</v>
      </c>
      <c r="AC37" s="111">
        <v>47.058823529411768</v>
      </c>
      <c r="AD37" s="111">
        <v>82.233502538071065</v>
      </c>
      <c r="AE37" s="111">
        <v>85.154061624649856</v>
      </c>
      <c r="AF37" s="111">
        <v>72.357723577235774</v>
      </c>
      <c r="AG37" s="111">
        <v>84.137931034482762</v>
      </c>
      <c r="AH37" s="111">
        <v>47.474747474747474</v>
      </c>
      <c r="AI37" s="111">
        <v>42.696629213483149</v>
      </c>
      <c r="AJ37" s="111">
        <v>57.647058823529413</v>
      </c>
      <c r="AK37" s="111">
        <v>19.298245614035089</v>
      </c>
      <c r="AL37" s="111">
        <v>46.280991735537192</v>
      </c>
      <c r="AM37" s="111">
        <v>80.092592592592595</v>
      </c>
      <c r="AN37" s="111">
        <v>78.850574712643677</v>
      </c>
      <c r="AO37" s="111">
        <v>41.704035874439462</v>
      </c>
      <c r="AP37" s="111">
        <v>69.796954314720807</v>
      </c>
      <c r="AQ37" s="111">
        <v>46.596858638743456</v>
      </c>
      <c r="AR37" s="111">
        <v>52.028639618138428</v>
      </c>
      <c r="AS37" s="119">
        <v>525</v>
      </c>
    </row>
    <row r="38" spans="1:45" x14ac:dyDescent="0.25">
      <c r="A38" s="119" t="s">
        <v>14</v>
      </c>
      <c r="B38" s="111">
        <v>76.984126984126988</v>
      </c>
      <c r="C38" s="111">
        <v>85.981308411214954</v>
      </c>
      <c r="D38" s="111">
        <v>76</v>
      </c>
      <c r="E38" s="111">
        <v>80</v>
      </c>
      <c r="F38" s="111">
        <v>66.666666666666671</v>
      </c>
      <c r="G38" s="111">
        <v>70.212765957446805</v>
      </c>
      <c r="H38" s="111">
        <v>46.153846153846153</v>
      </c>
      <c r="I38" s="111">
        <v>26.666666666666668</v>
      </c>
      <c r="J38" s="111">
        <v>45.454545454545453</v>
      </c>
      <c r="K38" s="111">
        <v>61.111111111111114</v>
      </c>
      <c r="L38" s="111">
        <v>37.5</v>
      </c>
      <c r="M38" s="111">
        <v>61.904761904761905</v>
      </c>
      <c r="N38" s="111">
        <v>44.444444444444443</v>
      </c>
      <c r="O38" s="111">
        <v>46.666666666666664</v>
      </c>
      <c r="P38" s="111">
        <v>63.636363636363633</v>
      </c>
      <c r="Q38" s="111">
        <v>69.230769230769226</v>
      </c>
      <c r="R38" s="111">
        <v>25</v>
      </c>
      <c r="S38" s="111">
        <v>50</v>
      </c>
      <c r="T38" s="111">
        <v>82.857142857142861</v>
      </c>
      <c r="U38" s="111">
        <v>89.65517241379311</v>
      </c>
      <c r="V38" s="111">
        <v>78.94736842105263</v>
      </c>
      <c r="W38" s="111">
        <v>73.529411764705884</v>
      </c>
      <c r="X38" s="111">
        <v>66.666666666666671</v>
      </c>
      <c r="Y38" s="111">
        <v>50</v>
      </c>
      <c r="Z38" s="111">
        <v>28.571428571428573</v>
      </c>
      <c r="AA38" s="111">
        <v>29.411764705882351</v>
      </c>
      <c r="AB38" s="111">
        <v>70.833333333333329</v>
      </c>
      <c r="AC38" s="111">
        <v>58.333333333333336</v>
      </c>
      <c r="AD38" s="111">
        <v>79.310344827586206</v>
      </c>
      <c r="AE38" s="111">
        <v>86.607142857142861</v>
      </c>
      <c r="AF38" s="111">
        <v>73.84615384615384</v>
      </c>
      <c r="AG38" s="111">
        <v>78.260869565217391</v>
      </c>
      <c r="AH38" s="111">
        <v>56</v>
      </c>
      <c r="AI38" s="111">
        <v>32.142857142857146</v>
      </c>
      <c r="AJ38" s="111">
        <v>40.74074074074074</v>
      </c>
      <c r="AK38" s="111">
        <v>34.95145631067961</v>
      </c>
      <c r="AL38" s="111">
        <v>34.782608695652172</v>
      </c>
      <c r="AM38" s="111">
        <v>82.857142857142861</v>
      </c>
      <c r="AN38" s="111">
        <v>75.373134328358205</v>
      </c>
      <c r="AO38" s="111">
        <v>44.055944055944053</v>
      </c>
      <c r="AP38" s="111">
        <v>66.412213740458014</v>
      </c>
      <c r="AQ38" s="111">
        <v>27.906976744186046</v>
      </c>
      <c r="AR38" s="111">
        <v>56.521739130434781</v>
      </c>
      <c r="AS38" s="119">
        <v>158</v>
      </c>
    </row>
    <row r="39" spans="1:45" x14ac:dyDescent="0.25">
      <c r="A39" s="119" t="s">
        <v>64</v>
      </c>
      <c r="B39" s="111">
        <v>88.535031847133752</v>
      </c>
      <c r="C39" s="111">
        <v>88.321167883211672</v>
      </c>
      <c r="D39" s="111">
        <v>88.188976377952756</v>
      </c>
      <c r="E39" s="111">
        <v>91.803278688524586</v>
      </c>
      <c r="F39" s="111">
        <v>83.928571428571431</v>
      </c>
      <c r="G39" s="111">
        <v>77.333333333333329</v>
      </c>
      <c r="H39" s="111">
        <v>77.777777777777771</v>
      </c>
      <c r="I39" s="111">
        <v>76.271186440677965</v>
      </c>
      <c r="J39" s="111">
        <v>61.53846153846154</v>
      </c>
      <c r="K39" s="111">
        <v>67.924528301886795</v>
      </c>
      <c r="L39" s="111">
        <v>56.097560975609753</v>
      </c>
      <c r="M39" s="111">
        <v>63.636363636363633</v>
      </c>
      <c r="N39" s="111">
        <v>41.666666666666664</v>
      </c>
      <c r="O39" s="111">
        <v>78.125</v>
      </c>
      <c r="P39" s="111">
        <v>68.181818181818187</v>
      </c>
      <c r="Q39" s="111">
        <v>61.29032258064516</v>
      </c>
      <c r="R39" s="111">
        <v>31.578947368421051</v>
      </c>
      <c r="S39" s="111">
        <v>48</v>
      </c>
      <c r="T39" s="111">
        <v>85.454545454545453</v>
      </c>
      <c r="U39" s="111">
        <v>88.679245283018872</v>
      </c>
      <c r="V39" s="111">
        <v>86.666666666666671</v>
      </c>
      <c r="W39" s="111">
        <v>84.905660377358487</v>
      </c>
      <c r="X39" s="111">
        <v>92.592592592592595</v>
      </c>
      <c r="Y39" s="111">
        <v>58.064516129032256</v>
      </c>
      <c r="Z39" s="111">
        <v>63.636363636363633</v>
      </c>
      <c r="AA39" s="111">
        <v>72</v>
      </c>
      <c r="AB39" s="111">
        <v>76.666666666666671</v>
      </c>
      <c r="AC39" s="111">
        <v>76.36363636363636</v>
      </c>
      <c r="AD39" s="111">
        <v>83.908045977011497</v>
      </c>
      <c r="AE39" s="111">
        <v>91.818181818181813</v>
      </c>
      <c r="AF39" s="111">
        <v>66.197183098591552</v>
      </c>
      <c r="AG39" s="111">
        <v>77.551020408163268</v>
      </c>
      <c r="AH39" s="111">
        <v>61.53846153846154</v>
      </c>
      <c r="AI39" s="111">
        <v>58.823529411764703</v>
      </c>
      <c r="AJ39" s="111">
        <v>73.584905660377359</v>
      </c>
      <c r="AK39" s="111">
        <v>18.181818181818183</v>
      </c>
      <c r="AL39" s="111">
        <v>66.666666666666671</v>
      </c>
      <c r="AM39" s="111">
        <v>81.333333333333329</v>
      </c>
      <c r="AN39" s="111">
        <v>71.621621621621628</v>
      </c>
      <c r="AO39" s="111">
        <v>44.805194805194802</v>
      </c>
      <c r="AP39" s="111">
        <v>79.310344827586206</v>
      </c>
      <c r="AQ39" s="111">
        <v>55.263157894736842</v>
      </c>
      <c r="AR39" s="111">
        <v>64.705882352941174</v>
      </c>
      <c r="AS39" s="119">
        <v>167</v>
      </c>
    </row>
    <row r="40" spans="1:45" x14ac:dyDescent="0.25">
      <c r="A40" s="119" t="s">
        <v>65</v>
      </c>
      <c r="B40" s="111">
        <v>66.267465069860279</v>
      </c>
      <c r="C40" s="111">
        <v>74.891774891774887</v>
      </c>
      <c r="D40" s="111">
        <v>59.036144578313255</v>
      </c>
      <c r="E40" s="111">
        <v>78.620689655172413</v>
      </c>
      <c r="F40" s="111">
        <v>68.387096774193552</v>
      </c>
      <c r="G40" s="111">
        <v>78.443113772455092</v>
      </c>
      <c r="H40" s="111">
        <v>35.238095238095241</v>
      </c>
      <c r="I40" s="111">
        <v>50.40650406504065</v>
      </c>
      <c r="J40" s="111">
        <v>26.4</v>
      </c>
      <c r="K40" s="111">
        <v>31.25</v>
      </c>
      <c r="L40" s="111">
        <v>16.666666666666668</v>
      </c>
      <c r="M40" s="111">
        <v>23.255813953488371</v>
      </c>
      <c r="N40" s="111">
        <v>30.136986301369863</v>
      </c>
      <c r="O40" s="111">
        <v>48.80952380952381</v>
      </c>
      <c r="P40" s="111">
        <v>32.926829268292686</v>
      </c>
      <c r="Q40" s="111">
        <v>45.360824742268044</v>
      </c>
      <c r="R40" s="111">
        <v>40.243902439024389</v>
      </c>
      <c r="S40" s="111">
        <v>36.134453781512605</v>
      </c>
      <c r="T40" s="111">
        <v>77.564102564102569</v>
      </c>
      <c r="U40" s="111">
        <v>83.333333333333329</v>
      </c>
      <c r="V40" s="111">
        <v>77.987421383647799</v>
      </c>
      <c r="W40" s="111">
        <v>68.794326241134755</v>
      </c>
      <c r="X40" s="111">
        <v>77.536231884057969</v>
      </c>
      <c r="Y40" s="111">
        <v>67.37588652482269</v>
      </c>
      <c r="Z40" s="111">
        <v>57.647058823529413</v>
      </c>
      <c r="AA40" s="111">
        <v>58.585858585858588</v>
      </c>
      <c r="AB40" s="111">
        <v>73.529411764705884</v>
      </c>
      <c r="AC40" s="111">
        <v>59.090909090909093</v>
      </c>
      <c r="AD40" s="111">
        <v>80.079681274900395</v>
      </c>
      <c r="AE40" s="111">
        <v>93.542074363992171</v>
      </c>
      <c r="AF40" s="111">
        <v>87.99076212471131</v>
      </c>
      <c r="AG40" s="111">
        <v>77.071823204419886</v>
      </c>
      <c r="AH40" s="111">
        <v>52.222222222222221</v>
      </c>
      <c r="AI40" s="111">
        <v>34.375</v>
      </c>
      <c r="AJ40" s="111">
        <v>26.530612244897959</v>
      </c>
      <c r="AK40" s="111">
        <v>82.804674457429044</v>
      </c>
      <c r="AL40" s="111">
        <v>47.61904761904762</v>
      </c>
      <c r="AM40" s="111">
        <v>84.112149532710276</v>
      </c>
      <c r="AN40" s="111">
        <v>78.003384094754651</v>
      </c>
      <c r="AO40" s="111">
        <v>43.36569579288026</v>
      </c>
      <c r="AP40" s="111">
        <v>78.902229845626067</v>
      </c>
      <c r="AQ40" s="111">
        <v>38.46153846153846</v>
      </c>
      <c r="AR40" s="111">
        <v>49.839228295819936</v>
      </c>
      <c r="AS40" s="119">
        <v>692</v>
      </c>
    </row>
    <row r="41" spans="1:45" x14ac:dyDescent="0.25">
      <c r="A41" s="119" t="s">
        <v>66</v>
      </c>
      <c r="B41" s="111">
        <v>61.875</v>
      </c>
      <c r="C41" s="111">
        <v>70.469798657718115</v>
      </c>
      <c r="D41" s="111">
        <v>58.394160583941606</v>
      </c>
      <c r="E41" s="111">
        <v>80.645161290322577</v>
      </c>
      <c r="F41" s="111">
        <v>69.565217391304344</v>
      </c>
      <c r="G41" s="111">
        <v>60.416666666666664</v>
      </c>
      <c r="H41" s="111">
        <v>38.297872340425535</v>
      </c>
      <c r="I41" s="111">
        <v>41.666666666666664</v>
      </c>
      <c r="J41" s="111">
        <v>52.830188679245282</v>
      </c>
      <c r="K41" s="111">
        <v>40.425531914893618</v>
      </c>
      <c r="L41" s="111">
        <v>30</v>
      </c>
      <c r="M41" s="111">
        <v>33.962264150943398</v>
      </c>
      <c r="N41" s="111">
        <v>27.5</v>
      </c>
      <c r="O41" s="111">
        <v>41.463414634146339</v>
      </c>
      <c r="P41" s="111">
        <v>34.210526315789473</v>
      </c>
      <c r="Q41" s="111">
        <v>48.648648648648646</v>
      </c>
      <c r="R41" s="111">
        <v>33.333333333333336</v>
      </c>
      <c r="S41" s="111">
        <v>25.581395348837209</v>
      </c>
      <c r="T41" s="111">
        <v>68.571428571428569</v>
      </c>
      <c r="U41" s="111">
        <v>80.882352941176464</v>
      </c>
      <c r="V41" s="111">
        <v>73.972602739726028</v>
      </c>
      <c r="W41" s="111">
        <v>73.4375</v>
      </c>
      <c r="X41" s="111">
        <v>80</v>
      </c>
      <c r="Y41" s="111">
        <v>65.625</v>
      </c>
      <c r="Z41" s="111">
        <v>51.020408163265309</v>
      </c>
      <c r="AA41" s="111">
        <v>51.219512195121951</v>
      </c>
      <c r="AB41" s="111">
        <v>62.745098039215684</v>
      </c>
      <c r="AC41" s="111">
        <v>65</v>
      </c>
      <c r="AD41" s="111">
        <v>72.151898734177209</v>
      </c>
      <c r="AE41" s="111">
        <v>86.567164179104481</v>
      </c>
      <c r="AF41" s="111">
        <v>64.81481481481481</v>
      </c>
      <c r="AG41" s="111">
        <v>73.109243697478988</v>
      </c>
      <c r="AH41" s="111">
        <v>49.056603773584904</v>
      </c>
      <c r="AI41" s="111">
        <v>25.862068965517242</v>
      </c>
      <c r="AJ41" s="111">
        <v>43.137254901960787</v>
      </c>
      <c r="AK41" s="111">
        <v>27.551020408163264</v>
      </c>
      <c r="AL41" s="111">
        <v>54.385964912280699</v>
      </c>
      <c r="AM41" s="111">
        <v>83.431952662721898</v>
      </c>
      <c r="AN41" s="111">
        <v>73.684210526315795</v>
      </c>
      <c r="AO41" s="111">
        <v>30.05464480874317</v>
      </c>
      <c r="AP41" s="111">
        <v>67.647058823529406</v>
      </c>
      <c r="AQ41" s="111">
        <v>40.909090909090907</v>
      </c>
      <c r="AR41" s="111">
        <v>51.704545454545453</v>
      </c>
      <c r="AS41" s="119">
        <v>202</v>
      </c>
    </row>
    <row r="42" spans="1:45" x14ac:dyDescent="0.25">
      <c r="A42" s="119" t="s">
        <v>15</v>
      </c>
      <c r="B42" s="111">
        <v>66.666666666666671</v>
      </c>
      <c r="C42" s="111">
        <v>72.196261682242991</v>
      </c>
      <c r="D42" s="111">
        <v>60.053619302949059</v>
      </c>
      <c r="E42" s="111">
        <v>74.468085106382972</v>
      </c>
      <c r="F42" s="111">
        <v>62.130177514792898</v>
      </c>
      <c r="G42" s="111">
        <v>72.41379310344827</v>
      </c>
      <c r="H42" s="111">
        <v>36.263736263736263</v>
      </c>
      <c r="I42" s="111">
        <v>35.365853658536587</v>
      </c>
      <c r="J42" s="111">
        <v>27.559055118110237</v>
      </c>
      <c r="K42" s="111">
        <v>23.423423423423422</v>
      </c>
      <c r="L42" s="111">
        <v>18.75</v>
      </c>
      <c r="M42" s="111">
        <v>21.774193548387096</v>
      </c>
      <c r="N42" s="111">
        <v>17.741935483870968</v>
      </c>
      <c r="O42" s="111">
        <v>46.913580246913583</v>
      </c>
      <c r="P42" s="111">
        <v>30.487804878048781</v>
      </c>
      <c r="Q42" s="111">
        <v>29.885057471264368</v>
      </c>
      <c r="R42" s="111">
        <v>23.880597014925375</v>
      </c>
      <c r="S42" s="111">
        <v>21.69811320754717</v>
      </c>
      <c r="T42" s="111">
        <v>61.146496815286625</v>
      </c>
      <c r="U42" s="111">
        <v>71.32352941176471</v>
      </c>
      <c r="V42" s="111">
        <v>71.698113207547166</v>
      </c>
      <c r="W42" s="111">
        <v>69.285714285714292</v>
      </c>
      <c r="X42" s="111">
        <v>78.16901408450704</v>
      </c>
      <c r="Y42" s="111">
        <v>59.398496240601503</v>
      </c>
      <c r="Z42" s="111">
        <v>36.781609195402297</v>
      </c>
      <c r="AA42" s="111">
        <v>40.384615384615387</v>
      </c>
      <c r="AB42" s="111">
        <v>58.878504672897193</v>
      </c>
      <c r="AC42" s="111">
        <v>46.25</v>
      </c>
      <c r="AD42" s="111">
        <v>75.490196078431367</v>
      </c>
      <c r="AE42" s="111">
        <v>94.456762749445673</v>
      </c>
      <c r="AF42" s="111">
        <v>85.894206549118394</v>
      </c>
      <c r="AG42" s="111">
        <v>82.808022922636098</v>
      </c>
      <c r="AH42" s="111">
        <v>50.515463917525771</v>
      </c>
      <c r="AI42" s="111">
        <v>35.714285714285715</v>
      </c>
      <c r="AJ42" s="111">
        <v>33.783783783783782</v>
      </c>
      <c r="AK42" s="111">
        <v>83.778625954198475</v>
      </c>
      <c r="AL42" s="111">
        <v>36.111111111111114</v>
      </c>
      <c r="AM42" s="111">
        <v>75.711159737417944</v>
      </c>
      <c r="AN42" s="111">
        <v>73.2421875</v>
      </c>
      <c r="AO42" s="111">
        <v>42.985611510791365</v>
      </c>
      <c r="AP42" s="111">
        <v>74.798387096774192</v>
      </c>
      <c r="AQ42" s="111">
        <v>33.582089552238806</v>
      </c>
      <c r="AR42" s="111">
        <v>46.448087431693992</v>
      </c>
      <c r="AS42" s="119">
        <v>627</v>
      </c>
    </row>
    <row r="43" spans="1:45" x14ac:dyDescent="0.25">
      <c r="A43" s="119" t="s">
        <v>16</v>
      </c>
      <c r="B43" s="111">
        <v>59.405940594059409</v>
      </c>
      <c r="C43" s="111">
        <v>74.914089347079042</v>
      </c>
      <c r="D43" s="111">
        <v>48.571428571428569</v>
      </c>
      <c r="E43" s="111">
        <v>80</v>
      </c>
      <c r="F43" s="111">
        <v>66.129032258064512</v>
      </c>
      <c r="G43" s="111">
        <v>75.879396984924625</v>
      </c>
      <c r="H43" s="111">
        <v>48.529411764705884</v>
      </c>
      <c r="I43" s="111">
        <v>44.26229508196721</v>
      </c>
      <c r="J43" s="111">
        <v>28.07017543859649</v>
      </c>
      <c r="K43" s="111">
        <v>43.243243243243242</v>
      </c>
      <c r="L43" s="111">
        <v>35.820895522388057</v>
      </c>
      <c r="M43" s="111">
        <v>28.985507246376812</v>
      </c>
      <c r="N43" s="111">
        <v>24.324324324324323</v>
      </c>
      <c r="O43" s="111">
        <v>45.098039215686278</v>
      </c>
      <c r="P43" s="111">
        <v>28.94736842105263</v>
      </c>
      <c r="Q43" s="111">
        <v>37.5</v>
      </c>
      <c r="R43" s="111">
        <v>22.222222222222221</v>
      </c>
      <c r="S43" s="111">
        <v>19.298245614035089</v>
      </c>
      <c r="T43" s="111">
        <v>69.369369369369366</v>
      </c>
      <c r="U43" s="111">
        <v>76.344086021505376</v>
      </c>
      <c r="V43" s="111">
        <v>74.107142857142861</v>
      </c>
      <c r="W43" s="111">
        <v>72.549019607843135</v>
      </c>
      <c r="X43" s="111">
        <v>76.666666666666671</v>
      </c>
      <c r="Y43" s="111">
        <v>69.696969696969703</v>
      </c>
      <c r="Z43" s="111">
        <v>52.631578947368418</v>
      </c>
      <c r="AA43" s="111">
        <v>53.448275862068968</v>
      </c>
      <c r="AB43" s="111">
        <v>52.631578947368418</v>
      </c>
      <c r="AC43" s="111">
        <v>61.904761904761905</v>
      </c>
      <c r="AD43" s="111">
        <v>79.084967320261441</v>
      </c>
      <c r="AE43" s="111">
        <v>91.489361702127653</v>
      </c>
      <c r="AF43" s="111">
        <v>80.084745762711862</v>
      </c>
      <c r="AG43" s="111">
        <v>74.778761061946909</v>
      </c>
      <c r="AH43" s="111">
        <v>52.38095238095238</v>
      </c>
      <c r="AI43" s="111">
        <v>43.75</v>
      </c>
      <c r="AJ43" s="111">
        <v>41.025641025641029</v>
      </c>
      <c r="AK43" s="111">
        <v>35.567010309278352</v>
      </c>
      <c r="AL43" s="111">
        <v>47.126436781609193</v>
      </c>
      <c r="AM43" s="111">
        <v>81.666666666666671</v>
      </c>
      <c r="AN43" s="111">
        <v>85.57692307692308</v>
      </c>
      <c r="AO43" s="111">
        <v>26.807228915662652</v>
      </c>
      <c r="AP43" s="111">
        <v>71.521035598705495</v>
      </c>
      <c r="AQ43" s="111">
        <v>30.392156862745097</v>
      </c>
      <c r="AR43" s="111">
        <v>49.532710280373834</v>
      </c>
      <c r="AS43" s="119">
        <v>387</v>
      </c>
    </row>
    <row r="44" spans="1:45" x14ac:dyDescent="0.25">
      <c r="A44" s="119" t="s">
        <v>17</v>
      </c>
      <c r="B44" s="111">
        <v>52.5</v>
      </c>
      <c r="C44" s="111">
        <v>71.428571428571431</v>
      </c>
      <c r="D44" s="111">
        <v>44.067796610169495</v>
      </c>
      <c r="E44" s="111">
        <v>72</v>
      </c>
      <c r="F44" s="111">
        <v>73.529411764705884</v>
      </c>
      <c r="G44" s="111">
        <v>42.10526315789474</v>
      </c>
      <c r="H44" s="111">
        <v>56.521739130434781</v>
      </c>
      <c r="I44" s="111">
        <v>39.130434782608695</v>
      </c>
      <c r="J44" s="111">
        <v>38.095238095238095</v>
      </c>
      <c r="K44" s="111">
        <v>71.875</v>
      </c>
      <c r="L44" s="111">
        <v>66.666666666666671</v>
      </c>
      <c r="M44" s="111">
        <v>46.875</v>
      </c>
      <c r="N44" s="111">
        <v>18.75</v>
      </c>
      <c r="O44" s="111">
        <v>66.666666666666671</v>
      </c>
      <c r="P44" s="111">
        <v>52.941176470588232</v>
      </c>
      <c r="Q44" s="111">
        <v>68</v>
      </c>
      <c r="R44" s="111">
        <v>35.294117647058826</v>
      </c>
      <c r="S44" s="111">
        <v>35.294117647058826</v>
      </c>
      <c r="T44" s="111">
        <v>82.352941176470594</v>
      </c>
      <c r="U44" s="111">
        <v>85.294117647058826</v>
      </c>
      <c r="V44" s="111">
        <v>73.333333333333329</v>
      </c>
      <c r="W44" s="111">
        <v>73.684210526315795</v>
      </c>
      <c r="X44" s="111">
        <v>86.111111111111114</v>
      </c>
      <c r="Y44" s="111">
        <v>32</v>
      </c>
      <c r="Z44" s="111">
        <v>66.666666666666671</v>
      </c>
      <c r="AA44" s="111">
        <v>52.631578947368418</v>
      </c>
      <c r="AB44" s="111">
        <v>76</v>
      </c>
      <c r="AC44" s="111">
        <v>70.967741935483872</v>
      </c>
      <c r="AD44" s="111">
        <v>67.441860465116278</v>
      </c>
      <c r="AE44" s="111">
        <v>87.671232876712324</v>
      </c>
      <c r="AF44" s="111">
        <v>42.10526315789474</v>
      </c>
      <c r="AG44" s="111">
        <v>77.272727272727266</v>
      </c>
      <c r="AH44" s="111">
        <v>26.470588235294116</v>
      </c>
      <c r="AI44" s="111">
        <v>27.777777777777779</v>
      </c>
      <c r="AJ44" s="111">
        <v>38.70967741935484</v>
      </c>
      <c r="AK44" s="111">
        <v>7.5</v>
      </c>
      <c r="AL44" s="111">
        <v>45.945945945945944</v>
      </c>
      <c r="AM44" s="111">
        <v>83.529411764705884</v>
      </c>
      <c r="AN44" s="111">
        <v>67.415730337078656</v>
      </c>
      <c r="AO44" s="111">
        <v>24.719101123595507</v>
      </c>
      <c r="AP44" s="111">
        <v>71.764705882352942</v>
      </c>
      <c r="AQ44" s="111">
        <v>42.307692307692307</v>
      </c>
      <c r="AR44" s="111">
        <v>50.602409638554214</v>
      </c>
      <c r="AS44" s="119">
        <v>99</v>
      </c>
    </row>
    <row r="45" spans="1:45" x14ac:dyDescent="0.25">
      <c r="A45" s="119" t="s">
        <v>24</v>
      </c>
      <c r="B45" s="111">
        <v>79.393939393939391</v>
      </c>
      <c r="C45" s="111">
        <v>85.064935064935071</v>
      </c>
      <c r="D45" s="111">
        <v>76.666666666666671</v>
      </c>
      <c r="E45" s="111">
        <v>70.588235294117652</v>
      </c>
      <c r="F45" s="111">
        <v>67.307692307692307</v>
      </c>
      <c r="G45" s="111">
        <v>79.775280898876403</v>
      </c>
      <c r="H45" s="111">
        <v>62.857142857142854</v>
      </c>
      <c r="I45" s="111">
        <v>73.80952380952381</v>
      </c>
      <c r="J45" s="111">
        <v>35.294117647058826</v>
      </c>
      <c r="K45" s="111">
        <v>77.142857142857139</v>
      </c>
      <c r="L45" s="111">
        <v>73.684210526315795</v>
      </c>
      <c r="M45" s="111">
        <v>79.487179487179489</v>
      </c>
      <c r="N45" s="111">
        <v>60</v>
      </c>
      <c r="O45" s="111">
        <v>61.53846153846154</v>
      </c>
      <c r="P45" s="111">
        <v>77.777777777777771</v>
      </c>
      <c r="Q45" s="111">
        <v>80</v>
      </c>
      <c r="R45" s="111">
        <v>40</v>
      </c>
      <c r="S45" s="111">
        <v>60</v>
      </c>
      <c r="T45" s="111">
        <v>81.818181818181813</v>
      </c>
      <c r="U45" s="111">
        <v>80</v>
      </c>
      <c r="V45" s="111">
        <v>88.13559322033899</v>
      </c>
      <c r="W45" s="111">
        <v>85.18518518518519</v>
      </c>
      <c r="X45" s="111">
        <v>84.21052631578948</v>
      </c>
      <c r="Y45" s="111">
        <v>55.555555555555557</v>
      </c>
      <c r="Z45" s="111">
        <v>54.166666666666664</v>
      </c>
      <c r="AA45" s="111">
        <v>70</v>
      </c>
      <c r="AB45" s="111">
        <v>66.666666666666671</v>
      </c>
      <c r="AC45" s="111">
        <v>71.428571428571431</v>
      </c>
      <c r="AD45" s="111">
        <v>89.320388349514559</v>
      </c>
      <c r="AE45" s="111">
        <v>85.84905660377359</v>
      </c>
      <c r="AF45" s="111">
        <v>70.175438596491233</v>
      </c>
      <c r="AG45" s="111">
        <v>81.944444444444443</v>
      </c>
      <c r="AH45" s="111">
        <v>56.666666666666664</v>
      </c>
      <c r="AI45" s="111">
        <v>42.5</v>
      </c>
      <c r="AJ45" s="111">
        <v>55.882352941176471</v>
      </c>
      <c r="AK45" s="111">
        <v>28.571428571428573</v>
      </c>
      <c r="AL45" s="111">
        <v>69.230769230769226</v>
      </c>
      <c r="AM45" s="111">
        <v>86.50306748466258</v>
      </c>
      <c r="AN45" s="111">
        <v>88.050314465408803</v>
      </c>
      <c r="AO45" s="111">
        <v>19.108280254777071</v>
      </c>
      <c r="AP45" s="111">
        <v>67.424242424242422</v>
      </c>
      <c r="AQ45" s="111">
        <v>42.857142857142854</v>
      </c>
      <c r="AR45" s="111">
        <v>55.462184873949582</v>
      </c>
      <c r="AS45" s="119">
        <v>185</v>
      </c>
    </row>
    <row r="48" spans="1:45" ht="13" x14ac:dyDescent="0.3">
      <c r="A48" s="106" t="s">
        <v>347</v>
      </c>
    </row>
    <row r="50" spans="1:45" ht="13" x14ac:dyDescent="0.3">
      <c r="A50" s="109" t="s">
        <v>254</v>
      </c>
      <c r="B50" s="117" t="s">
        <v>303</v>
      </c>
      <c r="C50" s="117" t="s">
        <v>304</v>
      </c>
      <c r="D50" s="117" t="s">
        <v>305</v>
      </c>
      <c r="E50" s="117" t="s">
        <v>306</v>
      </c>
      <c r="F50" s="117" t="s">
        <v>307</v>
      </c>
      <c r="G50" s="117" t="s">
        <v>308</v>
      </c>
      <c r="H50" s="117" t="s">
        <v>309</v>
      </c>
      <c r="I50" s="117" t="s">
        <v>348</v>
      </c>
      <c r="J50" s="117" t="s">
        <v>311</v>
      </c>
      <c r="K50" s="117" t="s">
        <v>312</v>
      </c>
      <c r="L50" s="117" t="s">
        <v>349</v>
      </c>
      <c r="M50" s="117" t="s">
        <v>314</v>
      </c>
      <c r="N50" s="117" t="s">
        <v>315</v>
      </c>
      <c r="O50" s="117" t="s">
        <v>316</v>
      </c>
      <c r="P50" s="117" t="s">
        <v>350</v>
      </c>
      <c r="Q50" s="117" t="s">
        <v>318</v>
      </c>
      <c r="R50" s="117" t="s">
        <v>319</v>
      </c>
      <c r="S50" s="117" t="s">
        <v>320</v>
      </c>
      <c r="T50" s="117" t="s">
        <v>321</v>
      </c>
      <c r="U50" s="117" t="s">
        <v>322</v>
      </c>
      <c r="V50" s="117" t="s">
        <v>323</v>
      </c>
      <c r="W50" s="117" t="s">
        <v>324</v>
      </c>
      <c r="X50" s="117" t="s">
        <v>325</v>
      </c>
      <c r="Y50" s="117" t="s">
        <v>326</v>
      </c>
      <c r="Z50" s="117" t="s">
        <v>327</v>
      </c>
      <c r="AA50" s="117" t="s">
        <v>328</v>
      </c>
      <c r="AB50" s="117" t="s">
        <v>329</v>
      </c>
      <c r="AC50" s="117" t="s">
        <v>330</v>
      </c>
      <c r="AD50" s="117" t="s">
        <v>331</v>
      </c>
      <c r="AE50" s="117" t="s">
        <v>332</v>
      </c>
      <c r="AF50" s="117" t="s">
        <v>333</v>
      </c>
      <c r="AG50" s="117" t="s">
        <v>334</v>
      </c>
      <c r="AH50" s="117" t="s">
        <v>335</v>
      </c>
      <c r="AI50" s="117" t="s">
        <v>336</v>
      </c>
      <c r="AJ50" s="117" t="s">
        <v>337</v>
      </c>
      <c r="AK50" s="117" t="s">
        <v>338</v>
      </c>
      <c r="AL50" s="117" t="s">
        <v>339</v>
      </c>
      <c r="AM50" s="117" t="s">
        <v>340</v>
      </c>
      <c r="AN50" s="117" t="s">
        <v>341</v>
      </c>
      <c r="AO50" s="117" t="s">
        <v>342</v>
      </c>
      <c r="AP50" s="117" t="s">
        <v>343</v>
      </c>
      <c r="AQ50" s="117" t="s">
        <v>344</v>
      </c>
      <c r="AR50" s="117" t="s">
        <v>345</v>
      </c>
      <c r="AS50" s="106" t="s">
        <v>346</v>
      </c>
    </row>
    <row r="51" spans="1:45" x14ac:dyDescent="0.25">
      <c r="A51" s="113" t="s">
        <v>74</v>
      </c>
      <c r="B51" s="114">
        <v>68.118466898954708</v>
      </c>
      <c r="C51" s="114">
        <v>81.318681318681314</v>
      </c>
      <c r="D51" s="114">
        <v>67.173913043478265</v>
      </c>
      <c r="E51" s="114">
        <v>77.31481481481481</v>
      </c>
      <c r="F51" s="114">
        <v>69.298245614035082</v>
      </c>
      <c r="G51" s="114">
        <v>57.414448669201519</v>
      </c>
      <c r="H51" s="114">
        <v>63.020833333333336</v>
      </c>
      <c r="I51" s="114">
        <v>48.314606741573037</v>
      </c>
      <c r="J51" s="114">
        <v>47.972972972972975</v>
      </c>
      <c r="K51" s="114">
        <v>66.829268292682926</v>
      </c>
      <c r="L51" s="114">
        <v>54.891304347826086</v>
      </c>
      <c r="M51" s="114">
        <v>58.048780487804876</v>
      </c>
      <c r="N51" s="114">
        <v>33.333333333333336</v>
      </c>
      <c r="O51" s="114">
        <v>58.74125874125874</v>
      </c>
      <c r="P51" s="114">
        <v>44.696969696969695</v>
      </c>
      <c r="Q51" s="114">
        <v>50.980392156862742</v>
      </c>
      <c r="R51" s="114">
        <v>33.333333333333336</v>
      </c>
      <c r="S51" s="114">
        <v>32.8125</v>
      </c>
      <c r="T51" s="114">
        <v>81.147540983606561</v>
      </c>
      <c r="U51" s="114">
        <v>82.727272727272734</v>
      </c>
      <c r="V51" s="114">
        <v>81.327800829875514</v>
      </c>
      <c r="W51" s="114">
        <v>79.090909090909093</v>
      </c>
      <c r="X51" s="114">
        <v>72.058823529411768</v>
      </c>
      <c r="Y51" s="114">
        <v>30.718954248366014</v>
      </c>
      <c r="Z51" s="114">
        <v>58.787878787878789</v>
      </c>
      <c r="AA51" s="114">
        <v>54.285714285714285</v>
      </c>
      <c r="AB51" s="114">
        <v>68</v>
      </c>
      <c r="AC51" s="114">
        <v>69.603524229074893</v>
      </c>
      <c r="AD51" s="114">
        <v>79.566563467492259</v>
      </c>
      <c r="AE51" s="114">
        <v>91.352549889135261</v>
      </c>
      <c r="AF51" s="114">
        <v>67.692307692307693</v>
      </c>
      <c r="AG51" s="114">
        <v>81.047381546134659</v>
      </c>
      <c r="AH51" s="114">
        <v>54.679802955665025</v>
      </c>
      <c r="AI51" s="114">
        <v>47.031963470319631</v>
      </c>
      <c r="AJ51" s="114">
        <v>56.345177664974621</v>
      </c>
      <c r="AK51" s="114">
        <v>19.16376306620209</v>
      </c>
      <c r="AL51" s="114">
        <v>60.674157303370784</v>
      </c>
      <c r="AM51" s="114">
        <v>80.917431192660544</v>
      </c>
      <c r="AN51" s="114">
        <v>75.137111517367458</v>
      </c>
      <c r="AO51" s="114">
        <v>30.5982905982906</v>
      </c>
      <c r="AP51" s="114">
        <v>67.59443339960238</v>
      </c>
      <c r="AQ51" s="114">
        <v>49.408284023668642</v>
      </c>
      <c r="AR51" s="114">
        <v>60.21897810218978</v>
      </c>
      <c r="AS51" s="110">
        <v>676</v>
      </c>
    </row>
    <row r="52" spans="1:45" x14ac:dyDescent="0.25">
      <c r="A52" s="110" t="s">
        <v>75</v>
      </c>
      <c r="B52" s="114">
        <v>72.381835032437436</v>
      </c>
      <c r="C52" s="114">
        <v>80.42596348884382</v>
      </c>
      <c r="D52" s="114">
        <v>78.443113772455092</v>
      </c>
      <c r="E52" s="114">
        <v>79.154078549848947</v>
      </c>
      <c r="F52" s="114">
        <v>71.060171919770767</v>
      </c>
      <c r="G52" s="114">
        <v>68.897637795275585</v>
      </c>
      <c r="H52" s="114">
        <v>58.778625954198475</v>
      </c>
      <c r="I52" s="114">
        <v>60.714285714285715</v>
      </c>
      <c r="J52" s="114">
        <v>40.669856459330141</v>
      </c>
      <c r="K52" s="114">
        <v>59.636363636363633</v>
      </c>
      <c r="L52" s="114">
        <v>52.059925093632955</v>
      </c>
      <c r="M52" s="114">
        <v>56.766917293233085</v>
      </c>
      <c r="N52" s="114">
        <v>38.686131386861312</v>
      </c>
      <c r="O52" s="114">
        <v>60.24096385542169</v>
      </c>
      <c r="P52" s="114">
        <v>44.285714285714285</v>
      </c>
      <c r="Q52" s="114">
        <v>59.340659340659343</v>
      </c>
      <c r="R52" s="114">
        <v>29.75206611570248</v>
      </c>
      <c r="S52" s="114">
        <v>40.384615384615387</v>
      </c>
      <c r="T52" s="114">
        <v>82.926829268292678</v>
      </c>
      <c r="U52" s="114">
        <v>81.25</v>
      </c>
      <c r="V52" s="114">
        <v>82.608695652173907</v>
      </c>
      <c r="W52" s="114">
        <v>78.01204819277109</v>
      </c>
      <c r="X52" s="114">
        <v>82.817869415807564</v>
      </c>
      <c r="Y52" s="114">
        <v>55.021834061135372</v>
      </c>
      <c r="Z52" s="114">
        <v>60.106382978723403</v>
      </c>
      <c r="AA52" s="114">
        <v>63.529411764705884</v>
      </c>
      <c r="AB52" s="114">
        <v>65.024630541871915</v>
      </c>
      <c r="AC52" s="114">
        <v>69.453376205787777</v>
      </c>
      <c r="AD52" s="114">
        <v>80.145719489981786</v>
      </c>
      <c r="AE52" s="114">
        <v>89.620253164556956</v>
      </c>
      <c r="AF52" s="114">
        <v>68.410462776659955</v>
      </c>
      <c r="AG52" s="114">
        <v>72.963604852686302</v>
      </c>
      <c r="AH52" s="114">
        <v>53.386454183266935</v>
      </c>
      <c r="AI52" s="114">
        <v>36.274509803921568</v>
      </c>
      <c r="AJ52" s="114">
        <v>53.068592057761734</v>
      </c>
      <c r="AK52" s="114">
        <v>24.180327868852459</v>
      </c>
      <c r="AL52" s="114">
        <v>60.362694300518136</v>
      </c>
      <c r="AM52" s="114">
        <v>80.732177263969177</v>
      </c>
      <c r="AN52" s="114">
        <v>78.836987607244993</v>
      </c>
      <c r="AO52" s="114">
        <v>34.351851851851855</v>
      </c>
      <c r="AP52" s="114">
        <v>66.276595744680847</v>
      </c>
      <c r="AQ52" s="114">
        <v>43.035714285714285</v>
      </c>
      <c r="AR52" s="114">
        <v>51.693227091633467</v>
      </c>
      <c r="AS52" s="110">
        <v>1238</v>
      </c>
    </row>
    <row r="53" spans="1:45" x14ac:dyDescent="0.25">
      <c r="A53" s="110" t="s">
        <v>76</v>
      </c>
      <c r="B53" s="114">
        <v>66.9921875</v>
      </c>
      <c r="C53" s="114">
        <v>81.263383297644538</v>
      </c>
      <c r="D53" s="114">
        <v>69.879518072289159</v>
      </c>
      <c r="E53" s="114">
        <v>79.387186629526468</v>
      </c>
      <c r="F53" s="114">
        <v>70.184696569920845</v>
      </c>
      <c r="G53" s="114">
        <v>72.314049586776861</v>
      </c>
      <c r="H53" s="114">
        <v>59.706959706959708</v>
      </c>
      <c r="I53" s="114">
        <v>60.501567398119121</v>
      </c>
      <c r="J53" s="114">
        <v>53.361344537815128</v>
      </c>
      <c r="K53" s="114">
        <v>58.730158730158728</v>
      </c>
      <c r="L53" s="114">
        <v>51.202749140893474</v>
      </c>
      <c r="M53" s="114">
        <v>55.136986301369866</v>
      </c>
      <c r="N53" s="114">
        <v>35</v>
      </c>
      <c r="O53" s="114">
        <v>57.466063348416291</v>
      </c>
      <c r="P53" s="114">
        <v>41.573033707865171</v>
      </c>
      <c r="Q53" s="114">
        <v>56.387665198237883</v>
      </c>
      <c r="R53" s="114">
        <v>39.393939393939391</v>
      </c>
      <c r="S53" s="114">
        <v>40.837696335078533</v>
      </c>
      <c r="T53" s="114">
        <v>76.086956521739125</v>
      </c>
      <c r="U53" s="114">
        <v>79.532163742690059</v>
      </c>
      <c r="V53" s="114">
        <v>81.995133819951334</v>
      </c>
      <c r="W53" s="114">
        <v>76.068376068376068</v>
      </c>
      <c r="X53" s="114">
        <v>72.8125</v>
      </c>
      <c r="Y53" s="114">
        <v>57.41935483870968</v>
      </c>
      <c r="Z53" s="114">
        <v>63.247863247863251</v>
      </c>
      <c r="AA53" s="114">
        <v>54.625550660792953</v>
      </c>
      <c r="AB53" s="114">
        <v>62.109375</v>
      </c>
      <c r="AC53" s="114">
        <v>68.168168168168165</v>
      </c>
      <c r="AD53" s="114">
        <v>82.867132867132867</v>
      </c>
      <c r="AE53" s="114">
        <v>90.521327014218016</v>
      </c>
      <c r="AF53" s="114">
        <v>71.380471380471377</v>
      </c>
      <c r="AG53" s="114">
        <v>84.992987377279107</v>
      </c>
      <c r="AH53" s="114">
        <v>62.068965517241381</v>
      </c>
      <c r="AI53" s="114">
        <v>47.330960854092524</v>
      </c>
      <c r="AJ53" s="114">
        <v>52.767527675276753</v>
      </c>
      <c r="AK53" s="114">
        <v>31.166347992351817</v>
      </c>
      <c r="AL53" s="114">
        <v>61.951219512195124</v>
      </c>
      <c r="AM53" s="114">
        <v>83.087512291052107</v>
      </c>
      <c r="AN53" s="114">
        <v>79.377431906614788</v>
      </c>
      <c r="AO53" s="114">
        <v>34.050514499532277</v>
      </c>
      <c r="AP53" s="114">
        <v>71.356783919597987</v>
      </c>
      <c r="AQ53" s="114">
        <v>47.949526813880126</v>
      </c>
      <c r="AR53" s="114">
        <v>60.341365461847388</v>
      </c>
      <c r="AS53" s="110">
        <v>1223</v>
      </c>
    </row>
    <row r="54" spans="1:45" x14ac:dyDescent="0.25">
      <c r="A54" s="110" t="s">
        <v>77</v>
      </c>
      <c r="B54" s="114">
        <v>67.565831727681442</v>
      </c>
      <c r="C54" s="114">
        <v>76.678445229681984</v>
      </c>
      <c r="D54" s="114">
        <v>70.545746388443021</v>
      </c>
      <c r="E54" s="114">
        <v>84.34237995824634</v>
      </c>
      <c r="F54" s="114">
        <v>73.184357541899445</v>
      </c>
      <c r="G54" s="114">
        <v>69.75</v>
      </c>
      <c r="H54" s="114">
        <v>52.802359882005902</v>
      </c>
      <c r="I54" s="114">
        <v>46.961325966850829</v>
      </c>
      <c r="J54" s="114">
        <v>52.1875</v>
      </c>
      <c r="K54" s="114">
        <v>44.152046783625728</v>
      </c>
      <c r="L54" s="114">
        <v>36.549707602339183</v>
      </c>
      <c r="M54" s="114">
        <v>39.295392953929536</v>
      </c>
      <c r="N54" s="114">
        <v>31.696428571428573</v>
      </c>
      <c r="O54" s="114">
        <v>59.107806691449817</v>
      </c>
      <c r="P54" s="114">
        <v>38.157894736842103</v>
      </c>
      <c r="Q54" s="114">
        <v>46.520146520146518</v>
      </c>
      <c r="R54" s="114">
        <v>38.190954773869343</v>
      </c>
      <c r="S54" s="114">
        <v>34.765625</v>
      </c>
      <c r="T54" s="114">
        <v>76.022304832713758</v>
      </c>
      <c r="U54" s="114">
        <v>81.818181818181813</v>
      </c>
      <c r="V54" s="114">
        <v>79.690189328743543</v>
      </c>
      <c r="W54" s="114">
        <v>76.264591439688715</v>
      </c>
      <c r="X54" s="114">
        <v>72.261072261072258</v>
      </c>
      <c r="Y54" s="114">
        <v>63.131313131313128</v>
      </c>
      <c r="Z54" s="114">
        <v>56.230031948881788</v>
      </c>
      <c r="AA54" s="114">
        <v>55.390334572490708</v>
      </c>
      <c r="AB54" s="114">
        <v>61.671469740634002</v>
      </c>
      <c r="AC54" s="114">
        <v>59.697732997481111</v>
      </c>
      <c r="AD54" s="114">
        <v>75.100942126514127</v>
      </c>
      <c r="AE54" s="114">
        <v>89.602446483180429</v>
      </c>
      <c r="AF54" s="114">
        <v>70.210135970333752</v>
      </c>
      <c r="AG54" s="114">
        <v>77.702702702702709</v>
      </c>
      <c r="AH54" s="114">
        <v>53.698630136986303</v>
      </c>
      <c r="AI54" s="114">
        <v>35.945945945945944</v>
      </c>
      <c r="AJ54" s="114">
        <v>52.44215938303342</v>
      </c>
      <c r="AK54" s="114">
        <v>45.561497326203209</v>
      </c>
      <c r="AL54" s="114">
        <v>49.402390438247011</v>
      </c>
      <c r="AM54" s="114">
        <v>83.575489576753</v>
      </c>
      <c r="AN54" s="114">
        <v>80.012077294685994</v>
      </c>
      <c r="AO54" s="114">
        <v>32.661290322580648</v>
      </c>
      <c r="AP54" s="114">
        <v>68.23379923761118</v>
      </c>
      <c r="AQ54" s="114">
        <v>40.692640692640694</v>
      </c>
      <c r="AR54" s="114">
        <v>53.361599030890368</v>
      </c>
      <c r="AS54" s="110">
        <v>1950</v>
      </c>
    </row>
    <row r="55" spans="1:45" x14ac:dyDescent="0.25">
      <c r="A55" s="110" t="s">
        <v>78</v>
      </c>
      <c r="B55" s="114">
        <v>64.52896948252986</v>
      </c>
      <c r="C55" s="114">
        <v>74.119304837952086</v>
      </c>
      <c r="D55" s="114">
        <v>65.802816901408448</v>
      </c>
      <c r="E55" s="114">
        <v>77.051671732522792</v>
      </c>
      <c r="F55" s="114">
        <v>64.66836734693878</v>
      </c>
      <c r="G55" s="114">
        <v>72.190611664295872</v>
      </c>
      <c r="H55" s="114">
        <v>46.376811594202898</v>
      </c>
      <c r="I55" s="114">
        <v>39.306358381502889</v>
      </c>
      <c r="J55" s="114">
        <v>37.73946360153257</v>
      </c>
      <c r="K55" s="114">
        <v>30.964467005076141</v>
      </c>
      <c r="L55" s="114">
        <v>26.689774696707104</v>
      </c>
      <c r="M55" s="114">
        <v>26.948051948051948</v>
      </c>
      <c r="N55" s="114">
        <v>27.134146341463413</v>
      </c>
      <c r="O55" s="114">
        <v>51.105651105651106</v>
      </c>
      <c r="P55" s="114">
        <v>32.31197771587744</v>
      </c>
      <c r="Q55" s="114">
        <v>41.387559808612437</v>
      </c>
      <c r="R55" s="114">
        <v>30.654761904761905</v>
      </c>
      <c r="S55" s="114">
        <v>27.716186252771617</v>
      </c>
      <c r="T55" s="114">
        <v>68.834688346883468</v>
      </c>
      <c r="U55" s="114">
        <v>73.364485981308405</v>
      </c>
      <c r="V55" s="114">
        <v>74.226804123711347</v>
      </c>
      <c r="W55" s="114">
        <v>68.208955223880594</v>
      </c>
      <c r="X55" s="114">
        <v>72.611464968152873</v>
      </c>
      <c r="Y55" s="114">
        <v>61.836441893830703</v>
      </c>
      <c r="Z55" s="114">
        <v>46.543778801843317</v>
      </c>
      <c r="AA55" s="114">
        <v>47.916666666666664</v>
      </c>
      <c r="AB55" s="114">
        <v>53.877551020408163</v>
      </c>
      <c r="AC55" s="114">
        <v>51.527494908350306</v>
      </c>
      <c r="AD55" s="114">
        <v>77.868852459016395</v>
      </c>
      <c r="AE55" s="114">
        <v>90.542558486809355</v>
      </c>
      <c r="AF55" s="114">
        <v>78.318584070796462</v>
      </c>
      <c r="AG55" s="114">
        <v>76.731129132875864</v>
      </c>
      <c r="AH55" s="114">
        <v>49.464668094218418</v>
      </c>
      <c r="AI55" s="114">
        <v>38.653846153846153</v>
      </c>
      <c r="AJ55" s="114">
        <v>48.093220338983052</v>
      </c>
      <c r="AK55" s="114">
        <v>38.255033557046978</v>
      </c>
      <c r="AL55" s="114">
        <v>46.360759493670884</v>
      </c>
      <c r="AM55" s="114">
        <v>81.785872945357625</v>
      </c>
      <c r="AN55" s="114">
        <v>78.253568429890848</v>
      </c>
      <c r="AO55" s="114">
        <v>32.065001981767736</v>
      </c>
      <c r="AP55" s="114">
        <v>70.171579410470741</v>
      </c>
      <c r="AQ55" s="114">
        <v>38.916666666666664</v>
      </c>
      <c r="AR55" s="114">
        <v>53.106876553438276</v>
      </c>
      <c r="AS55" s="110">
        <v>2870</v>
      </c>
    </row>
    <row r="56" spans="1:45" x14ac:dyDescent="0.25">
      <c r="A56" s="110" t="s">
        <v>79</v>
      </c>
      <c r="B56" s="114">
        <v>61.084745762711862</v>
      </c>
      <c r="C56" s="114">
        <v>69.507224898110408</v>
      </c>
      <c r="D56" s="114">
        <v>62.900505902192243</v>
      </c>
      <c r="E56" s="114">
        <v>77.437020810514781</v>
      </c>
      <c r="F56" s="114">
        <v>63.463463463463462</v>
      </c>
      <c r="G56" s="114">
        <v>72.38636363636364</v>
      </c>
      <c r="H56" s="114">
        <v>34.196891191709845</v>
      </c>
      <c r="I56" s="114">
        <v>38.581314878892734</v>
      </c>
      <c r="J56" s="114">
        <v>29.685157421289354</v>
      </c>
      <c r="K56" s="114">
        <v>27.769110764430579</v>
      </c>
      <c r="L56" s="114">
        <v>17.546583850931675</v>
      </c>
      <c r="M56" s="114">
        <v>22.882615156017831</v>
      </c>
      <c r="N56" s="114">
        <v>25.121951219512194</v>
      </c>
      <c r="O56" s="114">
        <v>50.287907869481764</v>
      </c>
      <c r="P56" s="114">
        <v>28.15126050420168</v>
      </c>
      <c r="Q56" s="114">
        <v>37.25868725868726</v>
      </c>
      <c r="R56" s="114">
        <v>29.107981220657276</v>
      </c>
      <c r="S56" s="114">
        <v>28.955696202531644</v>
      </c>
      <c r="T56" s="114">
        <v>71.414038657171929</v>
      </c>
      <c r="U56" s="114">
        <v>76.387249114521836</v>
      </c>
      <c r="V56" s="114">
        <v>74.975272007912963</v>
      </c>
      <c r="W56" s="114">
        <v>69.457013574660635</v>
      </c>
      <c r="X56" s="114">
        <v>67.128027681660896</v>
      </c>
      <c r="Y56" s="114">
        <v>58.944658944658947</v>
      </c>
      <c r="Z56" s="114">
        <v>47.19101123595506</v>
      </c>
      <c r="AA56" s="114">
        <v>45.026178010471206</v>
      </c>
      <c r="AB56" s="114">
        <v>54.689984101748806</v>
      </c>
      <c r="AC56" s="114">
        <v>51.357466063348419</v>
      </c>
      <c r="AD56" s="114">
        <v>78.05618830675779</v>
      </c>
      <c r="AE56" s="114">
        <v>92.767732962447838</v>
      </c>
      <c r="AF56" s="114">
        <v>82.70022883295195</v>
      </c>
      <c r="AG56" s="114">
        <v>80.56174765938475</v>
      </c>
      <c r="AH56" s="114">
        <v>51.624548736462096</v>
      </c>
      <c r="AI56" s="114">
        <v>34.710743801652896</v>
      </c>
      <c r="AJ56" s="114">
        <v>28.626692456479692</v>
      </c>
      <c r="AK56" s="114">
        <v>68.655303030303031</v>
      </c>
      <c r="AL56" s="114">
        <v>41.15983026874116</v>
      </c>
      <c r="AM56" s="114">
        <v>82.108731466227354</v>
      </c>
      <c r="AN56" s="114">
        <v>76.559660811629314</v>
      </c>
      <c r="AO56" s="114">
        <v>40.050948202660628</v>
      </c>
      <c r="AP56" s="114">
        <v>75.924228536510853</v>
      </c>
      <c r="AQ56" s="114">
        <v>37.572254335260112</v>
      </c>
      <c r="AR56" s="114">
        <v>49.424956871765382</v>
      </c>
      <c r="AS56" s="110">
        <v>3899</v>
      </c>
    </row>
    <row r="57" spans="1:45" x14ac:dyDescent="0.25"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0"/>
    </row>
    <row r="58" spans="1:45" ht="13" x14ac:dyDescent="0.3">
      <c r="A58" s="109" t="s">
        <v>255</v>
      </c>
      <c r="B58" s="107">
        <v>65.3</v>
      </c>
      <c r="C58" s="121">
        <v>75</v>
      </c>
      <c r="D58" s="107">
        <v>67.599999999999994</v>
      </c>
      <c r="E58" s="107">
        <v>78.900000000000006</v>
      </c>
      <c r="F58" s="107">
        <v>67.3</v>
      </c>
      <c r="G58" s="107">
        <v>70.8</v>
      </c>
      <c r="H58" s="107">
        <v>48.7</v>
      </c>
      <c r="I58" s="107">
        <v>47</v>
      </c>
      <c r="J58" s="107">
        <v>40.200000000000003</v>
      </c>
      <c r="K58" s="107">
        <v>42.1</v>
      </c>
      <c r="L58" s="107">
        <v>33.9</v>
      </c>
      <c r="M58" s="107">
        <v>37</v>
      </c>
      <c r="N58" s="107">
        <v>30</v>
      </c>
      <c r="O58" s="107">
        <v>54.4</v>
      </c>
      <c r="P58" s="107">
        <v>35.200000000000003</v>
      </c>
      <c r="Q58" s="107">
        <v>45.6</v>
      </c>
      <c r="R58" s="107">
        <v>32.5</v>
      </c>
      <c r="S58" s="107">
        <v>32</v>
      </c>
      <c r="T58" s="107">
        <v>74.099999999999994</v>
      </c>
      <c r="U58" s="107">
        <v>78</v>
      </c>
      <c r="V58" s="107">
        <v>77.7</v>
      </c>
      <c r="W58" s="107">
        <v>72.8</v>
      </c>
      <c r="X58" s="107">
        <v>71.900000000000006</v>
      </c>
      <c r="Y58" s="107">
        <v>58.2</v>
      </c>
      <c r="Z58" s="107">
        <v>52.9</v>
      </c>
      <c r="AA58" s="107">
        <v>50.9</v>
      </c>
      <c r="AB58" s="107">
        <v>58.7</v>
      </c>
      <c r="AC58" s="107">
        <v>59.9</v>
      </c>
      <c r="AD58" s="107">
        <v>78.5</v>
      </c>
      <c r="AE58" s="107">
        <v>91.1</v>
      </c>
      <c r="AF58" s="107">
        <v>76.7</v>
      </c>
      <c r="AG58" s="107">
        <v>79</v>
      </c>
      <c r="AH58" s="107">
        <v>53.4</v>
      </c>
      <c r="AI58" s="107">
        <v>38.5</v>
      </c>
      <c r="AJ58" s="107">
        <v>46.2</v>
      </c>
      <c r="AK58" s="107">
        <v>50.9</v>
      </c>
      <c r="AL58" s="107">
        <v>51</v>
      </c>
      <c r="AM58" s="107">
        <v>82.2</v>
      </c>
      <c r="AN58" s="107">
        <v>78</v>
      </c>
      <c r="AO58" s="107">
        <v>35.200000000000003</v>
      </c>
      <c r="AP58" s="107">
        <v>71.400000000000006</v>
      </c>
      <c r="AQ58" s="107">
        <v>40.799999999999997</v>
      </c>
      <c r="AR58" s="107">
        <v>52.8</v>
      </c>
      <c r="AS58" s="107">
        <v>11856</v>
      </c>
    </row>
    <row r="60" spans="1:45" ht="13" x14ac:dyDescent="0.3">
      <c r="A60" s="109" t="s">
        <v>351</v>
      </c>
      <c r="B60" s="110"/>
    </row>
    <row r="61" spans="1:45" ht="13" x14ac:dyDescent="0.3">
      <c r="A61" s="109"/>
    </row>
    <row r="62" spans="1:45" ht="13" x14ac:dyDescent="0.3">
      <c r="A62" s="109"/>
      <c r="B62" s="106" t="s">
        <v>257</v>
      </c>
    </row>
    <row r="63" spans="1:45" ht="13" x14ac:dyDescent="0.3">
      <c r="A63" s="117" t="s">
        <v>303</v>
      </c>
      <c r="B63" s="107" t="s">
        <v>258</v>
      </c>
      <c r="C63" s="121">
        <v>65.3</v>
      </c>
    </row>
    <row r="64" spans="1:45" ht="13" x14ac:dyDescent="0.3">
      <c r="A64" s="117" t="s">
        <v>304</v>
      </c>
      <c r="B64" s="107" t="s">
        <v>259</v>
      </c>
      <c r="C64" s="121">
        <v>75</v>
      </c>
    </row>
    <row r="65" spans="1:3" ht="13" x14ac:dyDescent="0.3">
      <c r="A65" s="117" t="s">
        <v>305</v>
      </c>
      <c r="B65" s="107" t="s">
        <v>260</v>
      </c>
      <c r="C65" s="121">
        <v>67.599999999999994</v>
      </c>
    </row>
    <row r="66" spans="1:3" ht="13" x14ac:dyDescent="0.3">
      <c r="A66" s="117" t="s">
        <v>306</v>
      </c>
      <c r="B66" s="107" t="s">
        <v>261</v>
      </c>
      <c r="C66" s="121">
        <v>78.900000000000006</v>
      </c>
    </row>
    <row r="67" spans="1:3" ht="13" x14ac:dyDescent="0.3">
      <c r="A67" s="117" t="s">
        <v>307</v>
      </c>
      <c r="B67" s="107" t="s">
        <v>262</v>
      </c>
      <c r="C67" s="121">
        <v>67.3</v>
      </c>
    </row>
    <row r="68" spans="1:3" ht="13" x14ac:dyDescent="0.3">
      <c r="A68" s="117" t="s">
        <v>308</v>
      </c>
      <c r="B68" s="107" t="s">
        <v>263</v>
      </c>
      <c r="C68" s="122">
        <v>70.8</v>
      </c>
    </row>
    <row r="69" spans="1:3" ht="13" x14ac:dyDescent="0.3">
      <c r="A69" s="117" t="s">
        <v>309</v>
      </c>
      <c r="B69" s="107" t="s">
        <v>264</v>
      </c>
      <c r="C69" s="122">
        <v>48.7</v>
      </c>
    </row>
    <row r="70" spans="1:3" ht="13" x14ac:dyDescent="0.3">
      <c r="A70" s="117" t="s">
        <v>310</v>
      </c>
      <c r="B70" s="107" t="s">
        <v>265</v>
      </c>
      <c r="C70" s="122">
        <v>47</v>
      </c>
    </row>
    <row r="71" spans="1:3" ht="13" x14ac:dyDescent="0.3">
      <c r="A71" s="117" t="s">
        <v>311</v>
      </c>
      <c r="B71" s="107" t="s">
        <v>266</v>
      </c>
      <c r="C71" s="122">
        <v>40.200000000000003</v>
      </c>
    </row>
    <row r="72" spans="1:3" ht="13" x14ac:dyDescent="0.3">
      <c r="A72" s="117"/>
      <c r="B72" s="106" t="s">
        <v>267</v>
      </c>
      <c r="C72" s="122"/>
    </row>
    <row r="73" spans="1:3" ht="13" x14ac:dyDescent="0.3">
      <c r="A73" s="117" t="s">
        <v>312</v>
      </c>
      <c r="B73" s="107" t="s">
        <v>268</v>
      </c>
      <c r="C73" s="122">
        <v>42.1</v>
      </c>
    </row>
    <row r="74" spans="1:3" ht="13" x14ac:dyDescent="0.3">
      <c r="A74" s="117" t="s">
        <v>313</v>
      </c>
      <c r="B74" s="107" t="s">
        <v>269</v>
      </c>
      <c r="C74" s="122">
        <v>33.9</v>
      </c>
    </row>
    <row r="75" spans="1:3" ht="13" x14ac:dyDescent="0.3">
      <c r="A75" s="117" t="s">
        <v>314</v>
      </c>
      <c r="B75" s="107" t="s">
        <v>270</v>
      </c>
      <c r="C75" s="121">
        <v>37</v>
      </c>
    </row>
    <row r="76" spans="1:3" ht="13" x14ac:dyDescent="0.3">
      <c r="A76" s="117" t="s">
        <v>315</v>
      </c>
      <c r="B76" s="107" t="s">
        <v>271</v>
      </c>
      <c r="C76" s="121">
        <v>30</v>
      </c>
    </row>
    <row r="77" spans="1:3" ht="13" x14ac:dyDescent="0.3">
      <c r="A77" s="117" t="s">
        <v>316</v>
      </c>
      <c r="B77" s="107" t="s">
        <v>272</v>
      </c>
      <c r="C77" s="121">
        <v>54.4</v>
      </c>
    </row>
    <row r="78" spans="1:3" ht="13" x14ac:dyDescent="0.3">
      <c r="A78" s="117" t="s">
        <v>317</v>
      </c>
      <c r="B78" s="107" t="s">
        <v>273</v>
      </c>
      <c r="C78" s="121">
        <v>35.200000000000003</v>
      </c>
    </row>
    <row r="79" spans="1:3" ht="13" x14ac:dyDescent="0.3">
      <c r="A79" s="117" t="s">
        <v>352</v>
      </c>
      <c r="B79" s="107" t="s">
        <v>275</v>
      </c>
      <c r="C79" s="121">
        <v>45.6</v>
      </c>
    </row>
    <row r="80" spans="1:3" ht="13" x14ac:dyDescent="0.3">
      <c r="A80" s="117" t="s">
        <v>319</v>
      </c>
      <c r="B80" s="107" t="s">
        <v>276</v>
      </c>
      <c r="C80" s="121">
        <v>32.5</v>
      </c>
    </row>
    <row r="81" spans="1:3" ht="13" x14ac:dyDescent="0.3">
      <c r="A81" s="117" t="s">
        <v>320</v>
      </c>
      <c r="B81" s="107" t="s">
        <v>277</v>
      </c>
      <c r="C81" s="121">
        <v>32</v>
      </c>
    </row>
    <row r="82" spans="1:3" ht="13" x14ac:dyDescent="0.3">
      <c r="A82" s="117"/>
      <c r="B82" s="106" t="s">
        <v>278</v>
      </c>
      <c r="C82" s="121"/>
    </row>
    <row r="83" spans="1:3" ht="13" x14ac:dyDescent="0.3">
      <c r="A83" s="117" t="s">
        <v>321</v>
      </c>
      <c r="B83" s="107" t="s">
        <v>279</v>
      </c>
      <c r="C83" s="121">
        <v>74.099999999999994</v>
      </c>
    </row>
    <row r="84" spans="1:3" ht="13" x14ac:dyDescent="0.3">
      <c r="A84" s="117" t="s">
        <v>322</v>
      </c>
      <c r="B84" s="107" t="s">
        <v>280</v>
      </c>
      <c r="C84" s="121">
        <v>78</v>
      </c>
    </row>
    <row r="85" spans="1:3" ht="13" x14ac:dyDescent="0.3">
      <c r="A85" s="117" t="s">
        <v>323</v>
      </c>
      <c r="B85" s="107" t="s">
        <v>281</v>
      </c>
      <c r="C85" s="121">
        <v>77.7</v>
      </c>
    </row>
    <row r="86" spans="1:3" ht="13" x14ac:dyDescent="0.3">
      <c r="A86" s="117" t="s">
        <v>324</v>
      </c>
      <c r="B86" s="107" t="s">
        <v>282</v>
      </c>
      <c r="C86" s="121">
        <v>72.8</v>
      </c>
    </row>
    <row r="87" spans="1:3" ht="13" x14ac:dyDescent="0.3">
      <c r="A87" s="117" t="s">
        <v>325</v>
      </c>
      <c r="B87" s="107" t="s">
        <v>283</v>
      </c>
      <c r="C87" s="121">
        <v>71.900000000000006</v>
      </c>
    </row>
    <row r="88" spans="1:3" ht="13" x14ac:dyDescent="0.3">
      <c r="A88" s="117" t="s">
        <v>326</v>
      </c>
      <c r="B88" s="107" t="s">
        <v>284</v>
      </c>
      <c r="C88" s="121">
        <v>58.2</v>
      </c>
    </row>
    <row r="89" spans="1:3" ht="13" x14ac:dyDescent="0.3">
      <c r="A89" s="117" t="s">
        <v>327</v>
      </c>
      <c r="B89" s="107" t="s">
        <v>285</v>
      </c>
      <c r="C89" s="121">
        <v>52.9</v>
      </c>
    </row>
    <row r="90" spans="1:3" ht="13" x14ac:dyDescent="0.3">
      <c r="A90" s="117" t="s">
        <v>328</v>
      </c>
      <c r="B90" s="107" t="s">
        <v>286</v>
      </c>
      <c r="C90" s="121">
        <v>50.9</v>
      </c>
    </row>
    <row r="91" spans="1:3" ht="13" x14ac:dyDescent="0.3">
      <c r="A91" s="117" t="s">
        <v>329</v>
      </c>
      <c r="B91" s="107" t="s">
        <v>287</v>
      </c>
      <c r="C91" s="121">
        <v>58.7</v>
      </c>
    </row>
    <row r="92" spans="1:3" ht="13" x14ac:dyDescent="0.3">
      <c r="A92" s="117" t="s">
        <v>330</v>
      </c>
      <c r="B92" s="107" t="s">
        <v>288</v>
      </c>
      <c r="C92" s="121">
        <v>59.9</v>
      </c>
    </row>
    <row r="93" spans="1:3" ht="13" x14ac:dyDescent="0.3">
      <c r="A93" s="117" t="s">
        <v>331</v>
      </c>
      <c r="B93" s="107" t="s">
        <v>289</v>
      </c>
      <c r="C93" s="121">
        <v>78.5</v>
      </c>
    </row>
    <row r="94" spans="1:3" ht="13" x14ac:dyDescent="0.3">
      <c r="A94" s="117" t="s">
        <v>332</v>
      </c>
      <c r="B94" s="107" t="s">
        <v>290</v>
      </c>
      <c r="C94" s="121">
        <v>91.1</v>
      </c>
    </row>
    <row r="95" spans="1:3" ht="13" x14ac:dyDescent="0.3">
      <c r="A95" s="117" t="s">
        <v>333</v>
      </c>
      <c r="B95" s="107" t="s">
        <v>291</v>
      </c>
      <c r="C95" s="121">
        <v>76.7</v>
      </c>
    </row>
    <row r="96" spans="1:3" ht="13" x14ac:dyDescent="0.3">
      <c r="A96" s="117" t="s">
        <v>334</v>
      </c>
      <c r="B96" s="107" t="s">
        <v>292</v>
      </c>
      <c r="C96" s="121">
        <v>79</v>
      </c>
    </row>
    <row r="97" spans="1:3" ht="13" x14ac:dyDescent="0.3">
      <c r="A97" s="117" t="s">
        <v>335</v>
      </c>
      <c r="B97" s="107" t="s">
        <v>293</v>
      </c>
      <c r="C97" s="121">
        <v>53.4</v>
      </c>
    </row>
    <row r="98" spans="1:3" ht="13" x14ac:dyDescent="0.3">
      <c r="A98" s="117"/>
      <c r="B98" s="106" t="s">
        <v>294</v>
      </c>
      <c r="C98" s="122"/>
    </row>
    <row r="99" spans="1:3" ht="13" x14ac:dyDescent="0.3">
      <c r="A99" s="117" t="s">
        <v>336</v>
      </c>
      <c r="B99" s="107" t="s">
        <v>295</v>
      </c>
      <c r="C99" s="121">
        <v>38.5</v>
      </c>
    </row>
    <row r="100" spans="1:3" ht="13" x14ac:dyDescent="0.3">
      <c r="A100" s="117" t="s">
        <v>337</v>
      </c>
      <c r="B100" s="107" t="s">
        <v>296</v>
      </c>
      <c r="C100" s="121">
        <v>46.2</v>
      </c>
    </row>
    <row r="101" spans="1:3" ht="13" x14ac:dyDescent="0.3">
      <c r="A101" s="117" t="s">
        <v>338</v>
      </c>
      <c r="B101" s="107" t="s">
        <v>297</v>
      </c>
      <c r="C101" s="121">
        <v>50.9</v>
      </c>
    </row>
    <row r="102" spans="1:3" ht="13" x14ac:dyDescent="0.3">
      <c r="A102" s="117" t="s">
        <v>339</v>
      </c>
      <c r="B102" s="107" t="s">
        <v>298</v>
      </c>
      <c r="C102" s="121">
        <v>51</v>
      </c>
    </row>
    <row r="103" spans="1:3" ht="13" x14ac:dyDescent="0.3">
      <c r="A103" s="117" t="s">
        <v>340</v>
      </c>
      <c r="B103" s="107" t="s">
        <v>299</v>
      </c>
      <c r="C103" s="121">
        <v>82.2</v>
      </c>
    </row>
    <row r="104" spans="1:3" ht="13" x14ac:dyDescent="0.3">
      <c r="A104" s="117" t="s">
        <v>341</v>
      </c>
      <c r="B104" s="107" t="s">
        <v>300</v>
      </c>
      <c r="C104" s="121">
        <v>78</v>
      </c>
    </row>
    <row r="105" spans="1:3" ht="13" x14ac:dyDescent="0.3">
      <c r="A105" s="117" t="s">
        <v>342</v>
      </c>
      <c r="B105" s="115" t="s">
        <v>353</v>
      </c>
      <c r="C105" s="121">
        <v>35.200000000000003</v>
      </c>
    </row>
    <row r="106" spans="1:3" ht="13" x14ac:dyDescent="0.3">
      <c r="A106" s="117" t="s">
        <v>343</v>
      </c>
      <c r="B106" s="115" t="s">
        <v>354</v>
      </c>
      <c r="C106" s="121">
        <v>71.400000000000006</v>
      </c>
    </row>
    <row r="107" spans="1:3" ht="13" x14ac:dyDescent="0.3">
      <c r="A107" s="117" t="s">
        <v>344</v>
      </c>
      <c r="B107" s="115" t="s">
        <v>355</v>
      </c>
      <c r="C107" s="121">
        <v>40.799999999999997</v>
      </c>
    </row>
    <row r="108" spans="1:3" ht="13" x14ac:dyDescent="0.3">
      <c r="A108" s="117" t="s">
        <v>345</v>
      </c>
      <c r="B108" s="115" t="s">
        <v>356</v>
      </c>
      <c r="C108" s="121">
        <v>52.8</v>
      </c>
    </row>
  </sheetData>
  <pageMargins left="0.75" right="0.75" top="1" bottom="1" header="0.5" footer="0.5"/>
  <pageSetup paperSize="9" orientation="portrait" horizontalDpi="360" verticalDpi="360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3"/>
  <sheetViews>
    <sheetView topLeftCell="I1" workbookViewId="0">
      <selection activeCell="N217" sqref="N217"/>
    </sheetView>
  </sheetViews>
  <sheetFormatPr defaultRowHeight="12.5" x14ac:dyDescent="0.25"/>
  <cols>
    <col min="1" max="1" width="15.35546875" style="107" customWidth="1"/>
    <col min="2" max="2" width="9.5" style="107" customWidth="1"/>
    <col min="3" max="255" width="8.7109375" style="107"/>
    <col min="256" max="257" width="15.35546875" style="107" customWidth="1"/>
    <col min="258" max="258" width="9.5" style="107" customWidth="1"/>
    <col min="259" max="511" width="8.7109375" style="107"/>
    <col min="512" max="513" width="15.35546875" style="107" customWidth="1"/>
    <col min="514" max="514" width="9.5" style="107" customWidth="1"/>
    <col min="515" max="767" width="8.7109375" style="107"/>
    <col min="768" max="769" width="15.35546875" style="107" customWidth="1"/>
    <col min="770" max="770" width="9.5" style="107" customWidth="1"/>
    <col min="771" max="1023" width="8.7109375" style="107"/>
    <col min="1024" max="1025" width="15.35546875" style="107" customWidth="1"/>
    <col min="1026" max="1026" width="9.5" style="107" customWidth="1"/>
    <col min="1027" max="1279" width="8.7109375" style="107"/>
    <col min="1280" max="1281" width="15.35546875" style="107" customWidth="1"/>
    <col min="1282" max="1282" width="9.5" style="107" customWidth="1"/>
    <col min="1283" max="1535" width="8.7109375" style="107"/>
    <col min="1536" max="1537" width="15.35546875" style="107" customWidth="1"/>
    <col min="1538" max="1538" width="9.5" style="107" customWidth="1"/>
    <col min="1539" max="1791" width="8.7109375" style="107"/>
    <col min="1792" max="1793" width="15.35546875" style="107" customWidth="1"/>
    <col min="1794" max="1794" width="9.5" style="107" customWidth="1"/>
    <col min="1795" max="2047" width="8.7109375" style="107"/>
    <col min="2048" max="2049" width="15.35546875" style="107" customWidth="1"/>
    <col min="2050" max="2050" width="9.5" style="107" customWidth="1"/>
    <col min="2051" max="2303" width="8.7109375" style="107"/>
    <col min="2304" max="2305" width="15.35546875" style="107" customWidth="1"/>
    <col min="2306" max="2306" width="9.5" style="107" customWidth="1"/>
    <col min="2307" max="2559" width="8.7109375" style="107"/>
    <col min="2560" max="2561" width="15.35546875" style="107" customWidth="1"/>
    <col min="2562" max="2562" width="9.5" style="107" customWidth="1"/>
    <col min="2563" max="2815" width="8.7109375" style="107"/>
    <col min="2816" max="2817" width="15.35546875" style="107" customWidth="1"/>
    <col min="2818" max="2818" width="9.5" style="107" customWidth="1"/>
    <col min="2819" max="3071" width="8.7109375" style="107"/>
    <col min="3072" max="3073" width="15.35546875" style="107" customWidth="1"/>
    <col min="3074" max="3074" width="9.5" style="107" customWidth="1"/>
    <col min="3075" max="3327" width="8.7109375" style="107"/>
    <col min="3328" max="3329" width="15.35546875" style="107" customWidth="1"/>
    <col min="3330" max="3330" width="9.5" style="107" customWidth="1"/>
    <col min="3331" max="3583" width="8.7109375" style="107"/>
    <col min="3584" max="3585" width="15.35546875" style="107" customWidth="1"/>
    <col min="3586" max="3586" width="9.5" style="107" customWidth="1"/>
    <col min="3587" max="3839" width="8.7109375" style="107"/>
    <col min="3840" max="3841" width="15.35546875" style="107" customWidth="1"/>
    <col min="3842" max="3842" width="9.5" style="107" customWidth="1"/>
    <col min="3843" max="4095" width="8.7109375" style="107"/>
    <col min="4096" max="4097" width="15.35546875" style="107" customWidth="1"/>
    <col min="4098" max="4098" width="9.5" style="107" customWidth="1"/>
    <col min="4099" max="4351" width="8.7109375" style="107"/>
    <col min="4352" max="4353" width="15.35546875" style="107" customWidth="1"/>
    <col min="4354" max="4354" width="9.5" style="107" customWidth="1"/>
    <col min="4355" max="4607" width="8.7109375" style="107"/>
    <col min="4608" max="4609" width="15.35546875" style="107" customWidth="1"/>
    <col min="4610" max="4610" width="9.5" style="107" customWidth="1"/>
    <col min="4611" max="4863" width="8.7109375" style="107"/>
    <col min="4864" max="4865" width="15.35546875" style="107" customWidth="1"/>
    <col min="4866" max="4866" width="9.5" style="107" customWidth="1"/>
    <col min="4867" max="5119" width="8.7109375" style="107"/>
    <col min="5120" max="5121" width="15.35546875" style="107" customWidth="1"/>
    <col min="5122" max="5122" width="9.5" style="107" customWidth="1"/>
    <col min="5123" max="5375" width="8.7109375" style="107"/>
    <col min="5376" max="5377" width="15.35546875" style="107" customWidth="1"/>
    <col min="5378" max="5378" width="9.5" style="107" customWidth="1"/>
    <col min="5379" max="5631" width="8.7109375" style="107"/>
    <col min="5632" max="5633" width="15.35546875" style="107" customWidth="1"/>
    <col min="5634" max="5634" width="9.5" style="107" customWidth="1"/>
    <col min="5635" max="5887" width="8.7109375" style="107"/>
    <col min="5888" max="5889" width="15.35546875" style="107" customWidth="1"/>
    <col min="5890" max="5890" width="9.5" style="107" customWidth="1"/>
    <col min="5891" max="6143" width="8.7109375" style="107"/>
    <col min="6144" max="6145" width="15.35546875" style="107" customWidth="1"/>
    <col min="6146" max="6146" width="9.5" style="107" customWidth="1"/>
    <col min="6147" max="6399" width="8.7109375" style="107"/>
    <col min="6400" max="6401" width="15.35546875" style="107" customWidth="1"/>
    <col min="6402" max="6402" width="9.5" style="107" customWidth="1"/>
    <col min="6403" max="6655" width="8.7109375" style="107"/>
    <col min="6656" max="6657" width="15.35546875" style="107" customWidth="1"/>
    <col min="6658" max="6658" width="9.5" style="107" customWidth="1"/>
    <col min="6659" max="6911" width="8.7109375" style="107"/>
    <col min="6912" max="6913" width="15.35546875" style="107" customWidth="1"/>
    <col min="6914" max="6914" width="9.5" style="107" customWidth="1"/>
    <col min="6915" max="7167" width="8.7109375" style="107"/>
    <col min="7168" max="7169" width="15.35546875" style="107" customWidth="1"/>
    <col min="7170" max="7170" width="9.5" style="107" customWidth="1"/>
    <col min="7171" max="7423" width="8.7109375" style="107"/>
    <col min="7424" max="7425" width="15.35546875" style="107" customWidth="1"/>
    <col min="7426" max="7426" width="9.5" style="107" customWidth="1"/>
    <col min="7427" max="7679" width="8.7109375" style="107"/>
    <col min="7680" max="7681" width="15.35546875" style="107" customWidth="1"/>
    <col min="7682" max="7682" width="9.5" style="107" customWidth="1"/>
    <col min="7683" max="7935" width="8.7109375" style="107"/>
    <col min="7936" max="7937" width="15.35546875" style="107" customWidth="1"/>
    <col min="7938" max="7938" width="9.5" style="107" customWidth="1"/>
    <col min="7939" max="8191" width="8.7109375" style="107"/>
    <col min="8192" max="8193" width="15.35546875" style="107" customWidth="1"/>
    <col min="8194" max="8194" width="9.5" style="107" customWidth="1"/>
    <col min="8195" max="8447" width="8.7109375" style="107"/>
    <col min="8448" max="8449" width="15.35546875" style="107" customWidth="1"/>
    <col min="8450" max="8450" width="9.5" style="107" customWidth="1"/>
    <col min="8451" max="8703" width="8.7109375" style="107"/>
    <col min="8704" max="8705" width="15.35546875" style="107" customWidth="1"/>
    <col min="8706" max="8706" width="9.5" style="107" customWidth="1"/>
    <col min="8707" max="8959" width="8.7109375" style="107"/>
    <col min="8960" max="8961" width="15.35546875" style="107" customWidth="1"/>
    <col min="8962" max="8962" width="9.5" style="107" customWidth="1"/>
    <col min="8963" max="9215" width="8.7109375" style="107"/>
    <col min="9216" max="9217" width="15.35546875" style="107" customWidth="1"/>
    <col min="9218" max="9218" width="9.5" style="107" customWidth="1"/>
    <col min="9219" max="9471" width="8.7109375" style="107"/>
    <col min="9472" max="9473" width="15.35546875" style="107" customWidth="1"/>
    <col min="9474" max="9474" width="9.5" style="107" customWidth="1"/>
    <col min="9475" max="9727" width="8.7109375" style="107"/>
    <col min="9728" max="9729" width="15.35546875" style="107" customWidth="1"/>
    <col min="9730" max="9730" width="9.5" style="107" customWidth="1"/>
    <col min="9731" max="9983" width="8.7109375" style="107"/>
    <col min="9984" max="9985" width="15.35546875" style="107" customWidth="1"/>
    <col min="9986" max="9986" width="9.5" style="107" customWidth="1"/>
    <col min="9987" max="10239" width="8.7109375" style="107"/>
    <col min="10240" max="10241" width="15.35546875" style="107" customWidth="1"/>
    <col min="10242" max="10242" width="9.5" style="107" customWidth="1"/>
    <col min="10243" max="10495" width="8.7109375" style="107"/>
    <col min="10496" max="10497" width="15.35546875" style="107" customWidth="1"/>
    <col min="10498" max="10498" width="9.5" style="107" customWidth="1"/>
    <col min="10499" max="10751" width="8.7109375" style="107"/>
    <col min="10752" max="10753" width="15.35546875" style="107" customWidth="1"/>
    <col min="10754" max="10754" width="9.5" style="107" customWidth="1"/>
    <col min="10755" max="11007" width="8.7109375" style="107"/>
    <col min="11008" max="11009" width="15.35546875" style="107" customWidth="1"/>
    <col min="11010" max="11010" width="9.5" style="107" customWidth="1"/>
    <col min="11011" max="11263" width="8.7109375" style="107"/>
    <col min="11264" max="11265" width="15.35546875" style="107" customWidth="1"/>
    <col min="11266" max="11266" width="9.5" style="107" customWidth="1"/>
    <col min="11267" max="11519" width="8.7109375" style="107"/>
    <col min="11520" max="11521" width="15.35546875" style="107" customWidth="1"/>
    <col min="11522" max="11522" width="9.5" style="107" customWidth="1"/>
    <col min="11523" max="11775" width="8.7109375" style="107"/>
    <col min="11776" max="11777" width="15.35546875" style="107" customWidth="1"/>
    <col min="11778" max="11778" width="9.5" style="107" customWidth="1"/>
    <col min="11779" max="12031" width="8.7109375" style="107"/>
    <col min="12032" max="12033" width="15.35546875" style="107" customWidth="1"/>
    <col min="12034" max="12034" width="9.5" style="107" customWidth="1"/>
    <col min="12035" max="12287" width="8.7109375" style="107"/>
    <col min="12288" max="12289" width="15.35546875" style="107" customWidth="1"/>
    <col min="12290" max="12290" width="9.5" style="107" customWidth="1"/>
    <col min="12291" max="12543" width="8.7109375" style="107"/>
    <col min="12544" max="12545" width="15.35546875" style="107" customWidth="1"/>
    <col min="12546" max="12546" width="9.5" style="107" customWidth="1"/>
    <col min="12547" max="12799" width="8.7109375" style="107"/>
    <col min="12800" max="12801" width="15.35546875" style="107" customWidth="1"/>
    <col min="12802" max="12802" width="9.5" style="107" customWidth="1"/>
    <col min="12803" max="13055" width="8.7109375" style="107"/>
    <col min="13056" max="13057" width="15.35546875" style="107" customWidth="1"/>
    <col min="13058" max="13058" width="9.5" style="107" customWidth="1"/>
    <col min="13059" max="13311" width="8.7109375" style="107"/>
    <col min="13312" max="13313" width="15.35546875" style="107" customWidth="1"/>
    <col min="13314" max="13314" width="9.5" style="107" customWidth="1"/>
    <col min="13315" max="13567" width="8.7109375" style="107"/>
    <col min="13568" max="13569" width="15.35546875" style="107" customWidth="1"/>
    <col min="13570" max="13570" width="9.5" style="107" customWidth="1"/>
    <col min="13571" max="13823" width="8.7109375" style="107"/>
    <col min="13824" max="13825" width="15.35546875" style="107" customWidth="1"/>
    <col min="13826" max="13826" width="9.5" style="107" customWidth="1"/>
    <col min="13827" max="14079" width="8.7109375" style="107"/>
    <col min="14080" max="14081" width="15.35546875" style="107" customWidth="1"/>
    <col min="14082" max="14082" width="9.5" style="107" customWidth="1"/>
    <col min="14083" max="14335" width="8.7109375" style="107"/>
    <col min="14336" max="14337" width="15.35546875" style="107" customWidth="1"/>
    <col min="14338" max="14338" width="9.5" style="107" customWidth="1"/>
    <col min="14339" max="14591" width="8.7109375" style="107"/>
    <col min="14592" max="14593" width="15.35546875" style="107" customWidth="1"/>
    <col min="14594" max="14594" width="9.5" style="107" customWidth="1"/>
    <col min="14595" max="14847" width="8.7109375" style="107"/>
    <col min="14848" max="14849" width="15.35546875" style="107" customWidth="1"/>
    <col min="14850" max="14850" width="9.5" style="107" customWidth="1"/>
    <col min="14851" max="15103" width="8.7109375" style="107"/>
    <col min="15104" max="15105" width="15.35546875" style="107" customWidth="1"/>
    <col min="15106" max="15106" width="9.5" style="107" customWidth="1"/>
    <col min="15107" max="15359" width="8.7109375" style="107"/>
    <col min="15360" max="15361" width="15.35546875" style="107" customWidth="1"/>
    <col min="15362" max="15362" width="9.5" style="107" customWidth="1"/>
    <col min="15363" max="15615" width="8.7109375" style="107"/>
    <col min="15616" max="15617" width="15.35546875" style="107" customWidth="1"/>
    <col min="15618" max="15618" width="9.5" style="107" customWidth="1"/>
    <col min="15619" max="15871" width="8.7109375" style="107"/>
    <col min="15872" max="15873" width="15.35546875" style="107" customWidth="1"/>
    <col min="15874" max="15874" width="9.5" style="107" customWidth="1"/>
    <col min="15875" max="16127" width="8.7109375" style="107"/>
    <col min="16128" max="16129" width="15.35546875" style="107" customWidth="1"/>
    <col min="16130" max="16130" width="9.5" style="107" customWidth="1"/>
    <col min="16131" max="16384" width="8.7109375" style="107"/>
  </cols>
  <sheetData>
    <row r="1" spans="1:41" ht="13" x14ac:dyDescent="0.3">
      <c r="A1" s="140" t="s">
        <v>357</v>
      </c>
    </row>
    <row r="2" spans="1:41" ht="13" x14ac:dyDescent="0.3">
      <c r="A2" s="106" t="s">
        <v>358</v>
      </c>
    </row>
    <row r="3" spans="1:41" ht="13" x14ac:dyDescent="0.3">
      <c r="A3" s="106"/>
    </row>
    <row r="4" spans="1:41" ht="13" x14ac:dyDescent="0.3">
      <c r="A4" s="106"/>
    </row>
    <row r="5" spans="1:41" s="118" customFormat="1" ht="13" x14ac:dyDescent="0.3">
      <c r="A5" s="112" t="s">
        <v>157</v>
      </c>
      <c r="B5" s="117" t="s">
        <v>359</v>
      </c>
      <c r="C5" s="117" t="s">
        <v>360</v>
      </c>
      <c r="D5" s="117" t="s">
        <v>361</v>
      </c>
      <c r="E5" s="117" t="s">
        <v>362</v>
      </c>
      <c r="F5" s="117" t="s">
        <v>363</v>
      </c>
      <c r="G5" s="117" t="s">
        <v>364</v>
      </c>
      <c r="H5" s="117" t="s">
        <v>365</v>
      </c>
      <c r="I5" s="117" t="s">
        <v>366</v>
      </c>
      <c r="J5" s="117" t="s">
        <v>367</v>
      </c>
      <c r="K5" s="117" t="s">
        <v>368</v>
      </c>
      <c r="L5" s="117" t="s">
        <v>369</v>
      </c>
      <c r="M5" s="117" t="s">
        <v>370</v>
      </c>
      <c r="N5" s="117" t="s">
        <v>371</v>
      </c>
      <c r="O5" s="117" t="s">
        <v>372</v>
      </c>
      <c r="P5" s="117" t="s">
        <v>373</v>
      </c>
      <c r="Q5" s="117" t="s">
        <v>374</v>
      </c>
      <c r="R5" s="117" t="s">
        <v>375</v>
      </c>
      <c r="S5" s="117" t="s">
        <v>376</v>
      </c>
      <c r="T5" s="117" t="s">
        <v>377</v>
      </c>
      <c r="U5" s="117" t="s">
        <v>378</v>
      </c>
      <c r="V5" s="117" t="s">
        <v>379</v>
      </c>
      <c r="W5" s="117" t="s">
        <v>380</v>
      </c>
      <c r="X5" s="117" t="s">
        <v>381</v>
      </c>
      <c r="Y5" s="117" t="s">
        <v>382</v>
      </c>
      <c r="Z5" s="117" t="s">
        <v>383</v>
      </c>
      <c r="AA5" s="117" t="s">
        <v>384</v>
      </c>
      <c r="AB5" s="117" t="s">
        <v>385</v>
      </c>
      <c r="AC5" s="117" t="s">
        <v>386</v>
      </c>
      <c r="AD5" s="117" t="s">
        <v>387</v>
      </c>
      <c r="AE5" s="117" t="s">
        <v>388</v>
      </c>
      <c r="AF5" s="117" t="s">
        <v>389</v>
      </c>
      <c r="AG5" s="117" t="s">
        <v>390</v>
      </c>
      <c r="AH5" s="117" t="s">
        <v>391</v>
      </c>
      <c r="AI5" s="117" t="s">
        <v>392</v>
      </c>
      <c r="AJ5" s="117" t="s">
        <v>393</v>
      </c>
      <c r="AK5" s="117" t="s">
        <v>394</v>
      </c>
      <c r="AL5" s="117" t="s">
        <v>395</v>
      </c>
      <c r="AM5" s="117" t="s">
        <v>396</v>
      </c>
      <c r="AN5" s="117" t="s">
        <v>397</v>
      </c>
      <c r="AO5" s="108" t="s">
        <v>346</v>
      </c>
    </row>
    <row r="6" spans="1:41" x14ac:dyDescent="0.25">
      <c r="A6" s="119" t="s">
        <v>42</v>
      </c>
      <c r="B6" s="111">
        <v>33.644859813084111</v>
      </c>
      <c r="C6" s="111">
        <v>63.265306122448976</v>
      </c>
      <c r="D6" s="111">
        <v>67.010309278350519</v>
      </c>
      <c r="E6" s="111">
        <v>77.142857142857139</v>
      </c>
      <c r="F6" s="111">
        <v>70</v>
      </c>
      <c r="G6" s="111">
        <v>52.727272727272727</v>
      </c>
      <c r="H6" s="111">
        <v>65.517241379310349</v>
      </c>
      <c r="I6" s="111">
        <v>35.294117647058826</v>
      </c>
      <c r="J6" s="111">
        <v>28.571428571428573</v>
      </c>
      <c r="K6" s="111">
        <v>28.571428571428573</v>
      </c>
      <c r="L6" s="111">
        <v>32.5</v>
      </c>
      <c r="M6" s="111">
        <v>47.058823529411768</v>
      </c>
      <c r="N6" s="111">
        <v>33.333333333333336</v>
      </c>
      <c r="O6" s="111">
        <v>55</v>
      </c>
      <c r="P6" s="111">
        <v>29.411764705882351</v>
      </c>
      <c r="Q6" s="111">
        <v>31.578947368421051</v>
      </c>
      <c r="R6" s="111">
        <v>18.181818181818183</v>
      </c>
      <c r="S6" s="111">
        <v>14.285714285714286</v>
      </c>
      <c r="T6" s="111">
        <v>72.549019607843135</v>
      </c>
      <c r="U6" s="111">
        <v>85.714285714285708</v>
      </c>
      <c r="V6" s="111">
        <v>86.79245283018868</v>
      </c>
      <c r="W6" s="111">
        <v>82.692307692307693</v>
      </c>
      <c r="X6" s="111">
        <v>90</v>
      </c>
      <c r="Y6" s="111">
        <v>82</v>
      </c>
      <c r="Z6" s="111">
        <v>53.846153846153847</v>
      </c>
      <c r="AA6" s="111">
        <v>60.869565217391305</v>
      </c>
      <c r="AB6" s="111">
        <v>44.444444444444443</v>
      </c>
      <c r="AC6" s="111">
        <v>51.282051282051285</v>
      </c>
      <c r="AD6" s="111">
        <v>62.5</v>
      </c>
      <c r="AE6" s="111">
        <v>83.15789473684211</v>
      </c>
      <c r="AF6" s="111">
        <v>39.285714285714285</v>
      </c>
      <c r="AG6" s="111">
        <v>55.421686746987952</v>
      </c>
      <c r="AH6" s="111">
        <v>37.837837837837839</v>
      </c>
      <c r="AI6" s="111">
        <v>19.512195121951219</v>
      </c>
      <c r="AJ6" s="111">
        <v>40</v>
      </c>
      <c r="AK6" s="111">
        <v>17.241379310344829</v>
      </c>
      <c r="AL6" s="111">
        <v>57.142857142857146</v>
      </c>
      <c r="AM6" s="111">
        <v>84.545454545454547</v>
      </c>
      <c r="AN6" s="111">
        <v>85.217391304347828</v>
      </c>
      <c r="AO6" s="119">
        <v>119</v>
      </c>
    </row>
    <row r="7" spans="1:41" x14ac:dyDescent="0.25">
      <c r="A7" s="119" t="s">
        <v>43</v>
      </c>
      <c r="B7" s="111">
        <v>51.012891344383057</v>
      </c>
      <c r="C7" s="111">
        <v>64.822134387351781</v>
      </c>
      <c r="D7" s="111">
        <v>41.914893617021278</v>
      </c>
      <c r="E7" s="111">
        <v>78.651685393258433</v>
      </c>
      <c r="F7" s="111">
        <v>65.641025641025635</v>
      </c>
      <c r="G7" s="111">
        <v>73.156342182890853</v>
      </c>
      <c r="H7" s="111">
        <v>39.814814814814817</v>
      </c>
      <c r="I7" s="111">
        <v>25.316455696202532</v>
      </c>
      <c r="J7" s="111">
        <v>27.450980392156861</v>
      </c>
      <c r="K7" s="111">
        <v>23.333333333333332</v>
      </c>
      <c r="L7" s="111">
        <v>15.044247787610619</v>
      </c>
      <c r="M7" s="111">
        <v>25.806451612903224</v>
      </c>
      <c r="N7" s="111">
        <v>20.27027027027027</v>
      </c>
      <c r="O7" s="111">
        <v>48.148148148148145</v>
      </c>
      <c r="P7" s="111">
        <v>28.205128205128204</v>
      </c>
      <c r="Q7" s="111">
        <v>33.333333333333336</v>
      </c>
      <c r="R7" s="111">
        <v>27.777777777777779</v>
      </c>
      <c r="S7" s="111">
        <v>25.531914893617021</v>
      </c>
      <c r="T7" s="111">
        <v>72.222222222222229</v>
      </c>
      <c r="U7" s="111">
        <v>85.34482758620689</v>
      </c>
      <c r="V7" s="111">
        <v>86.71875</v>
      </c>
      <c r="W7" s="111">
        <v>83.406113537117903</v>
      </c>
      <c r="X7" s="111">
        <v>78.222222222222229</v>
      </c>
      <c r="Y7" s="111">
        <v>75.581395348837205</v>
      </c>
      <c r="Z7" s="111">
        <v>58.015267175572518</v>
      </c>
      <c r="AA7" s="111">
        <v>56.140350877192979</v>
      </c>
      <c r="AB7" s="111">
        <v>55.844155844155843</v>
      </c>
      <c r="AC7" s="111">
        <v>56.321839080459768</v>
      </c>
      <c r="AD7" s="111">
        <v>70.866141732283467</v>
      </c>
      <c r="AE7" s="111">
        <v>93.929173693086</v>
      </c>
      <c r="AF7" s="111">
        <v>79.671457905544145</v>
      </c>
      <c r="AG7" s="111">
        <v>78.313253012048193</v>
      </c>
      <c r="AH7" s="111">
        <v>53.103448275862071</v>
      </c>
      <c r="AI7" s="111">
        <v>23.036649214659686</v>
      </c>
      <c r="AJ7" s="111">
        <v>13.669064748201439</v>
      </c>
      <c r="AK7" s="111">
        <v>63.953488372093027</v>
      </c>
      <c r="AL7" s="111">
        <v>29.447852760736197</v>
      </c>
      <c r="AM7" s="111">
        <v>79.328621908127204</v>
      </c>
      <c r="AN7" s="111">
        <v>72.250423011844333</v>
      </c>
      <c r="AO7" s="119">
        <v>667</v>
      </c>
    </row>
    <row r="8" spans="1:41" x14ac:dyDescent="0.25">
      <c r="A8" s="119" t="s">
        <v>44</v>
      </c>
      <c r="B8" s="111">
        <v>75.52447552447552</v>
      </c>
      <c r="C8" s="111">
        <v>82.608695652173907</v>
      </c>
      <c r="D8" s="111">
        <v>50.387596899224803</v>
      </c>
      <c r="E8" s="111">
        <v>77.777777777777771</v>
      </c>
      <c r="F8" s="111">
        <v>85.416666666666671</v>
      </c>
      <c r="G8" s="111">
        <v>67.058823529411768</v>
      </c>
      <c r="H8" s="111">
        <v>56.25</v>
      </c>
      <c r="I8" s="111">
        <v>54.545454545454547</v>
      </c>
      <c r="J8" s="111">
        <v>34.782608695652172</v>
      </c>
      <c r="K8" s="111">
        <v>32.5</v>
      </c>
      <c r="L8" s="111">
        <v>28.94736842105263</v>
      </c>
      <c r="M8" s="111">
        <v>39.393939393939391</v>
      </c>
      <c r="N8" s="111">
        <v>40</v>
      </c>
      <c r="O8" s="111">
        <v>63.333333333333336</v>
      </c>
      <c r="P8" s="111">
        <v>47.826086956521742</v>
      </c>
      <c r="Q8" s="111">
        <v>55.555555555555557</v>
      </c>
      <c r="R8" s="111">
        <v>25</v>
      </c>
      <c r="S8" s="111">
        <v>17.391304347826086</v>
      </c>
      <c r="T8" s="111">
        <v>71.875</v>
      </c>
      <c r="U8" s="111">
        <v>81.818181818181813</v>
      </c>
      <c r="V8" s="111">
        <v>83.582089552238813</v>
      </c>
      <c r="W8" s="111">
        <v>84.745762711864401</v>
      </c>
      <c r="X8" s="111">
        <v>85.454545454545453</v>
      </c>
      <c r="Y8" s="111">
        <v>51.111111111111114</v>
      </c>
      <c r="Z8" s="111">
        <v>55.555555555555557</v>
      </c>
      <c r="AA8" s="111">
        <v>67.647058823529406</v>
      </c>
      <c r="AB8" s="111">
        <v>64.285714285714292</v>
      </c>
      <c r="AC8" s="111">
        <v>46.808510638297875</v>
      </c>
      <c r="AD8" s="111">
        <v>68.292682926829272</v>
      </c>
      <c r="AE8" s="111">
        <v>92.086330935251794</v>
      </c>
      <c r="AF8" s="111">
        <v>56.179775280898873</v>
      </c>
      <c r="AG8" s="111">
        <v>68.932038834951456</v>
      </c>
      <c r="AH8" s="111">
        <v>66.666666666666671</v>
      </c>
      <c r="AI8" s="111">
        <v>25.423728813559322</v>
      </c>
      <c r="AJ8" s="111">
        <v>62.162162162162161</v>
      </c>
      <c r="AK8" s="111">
        <v>20.833333333333332</v>
      </c>
      <c r="AL8" s="111">
        <v>37.878787878787875</v>
      </c>
      <c r="AM8" s="111">
        <v>75.572519083969468</v>
      </c>
      <c r="AN8" s="111">
        <v>76.056338028169009</v>
      </c>
      <c r="AO8" s="119">
        <v>165</v>
      </c>
    </row>
    <row r="9" spans="1:41" x14ac:dyDescent="0.25">
      <c r="A9" s="119" t="s">
        <v>68</v>
      </c>
      <c r="B9" s="111">
        <v>31.861804222648754</v>
      </c>
      <c r="C9" s="111">
        <v>47.058823529411768</v>
      </c>
      <c r="D9" s="111">
        <v>34.731934731934729</v>
      </c>
      <c r="E9" s="111">
        <v>76.258992805755398</v>
      </c>
      <c r="F9" s="111">
        <v>63.414634146341463</v>
      </c>
      <c r="G9" s="111">
        <v>54.208754208754208</v>
      </c>
      <c r="H9" s="111">
        <v>29.787234042553191</v>
      </c>
      <c r="I9" s="111">
        <v>30.666666666666668</v>
      </c>
      <c r="J9" s="111">
        <v>19.26605504587156</v>
      </c>
      <c r="K9" s="111">
        <v>16.379310344827587</v>
      </c>
      <c r="L9" s="111">
        <v>14.545454545454545</v>
      </c>
      <c r="M9" s="111">
        <v>19.09090909090909</v>
      </c>
      <c r="N9" s="111">
        <v>23.943661971830984</v>
      </c>
      <c r="O9" s="111">
        <v>47.368421052631582</v>
      </c>
      <c r="P9" s="111">
        <v>23.287671232876711</v>
      </c>
      <c r="Q9" s="111">
        <v>26.506024096385541</v>
      </c>
      <c r="R9" s="111">
        <v>25</v>
      </c>
      <c r="S9" s="111">
        <v>23.636363636363637</v>
      </c>
      <c r="T9" s="111">
        <v>65.024630541871915</v>
      </c>
      <c r="U9" s="111">
        <v>72.192513368983953</v>
      </c>
      <c r="V9" s="111">
        <v>77.511961722488039</v>
      </c>
      <c r="W9" s="111">
        <v>74.226804123711347</v>
      </c>
      <c r="X9" s="111">
        <v>79.274611398963728</v>
      </c>
      <c r="Y9" s="111">
        <v>70.807453416149073</v>
      </c>
      <c r="Z9" s="111">
        <v>40.336134453781511</v>
      </c>
      <c r="AA9" s="111">
        <v>39.63963963963964</v>
      </c>
      <c r="AB9" s="111">
        <v>50</v>
      </c>
      <c r="AC9" s="111">
        <v>40</v>
      </c>
      <c r="AD9" s="111">
        <v>70.099667774086384</v>
      </c>
      <c r="AE9" s="111">
        <v>90.909090909090907</v>
      </c>
      <c r="AF9" s="111">
        <v>65.193370165745861</v>
      </c>
      <c r="AG9" s="111">
        <v>73.049645390070921</v>
      </c>
      <c r="AH9" s="111">
        <v>52.307692307692307</v>
      </c>
      <c r="AI9" s="111">
        <v>18.232044198895029</v>
      </c>
      <c r="AJ9" s="111">
        <v>15.702479338842975</v>
      </c>
      <c r="AK9" s="111">
        <v>64.349376114081991</v>
      </c>
      <c r="AL9" s="111">
        <v>34.693877551020407</v>
      </c>
      <c r="AM9" s="111">
        <v>79.135338345864668</v>
      </c>
      <c r="AN9" s="111">
        <v>74.36363636363636</v>
      </c>
      <c r="AO9" s="119">
        <v>624</v>
      </c>
    </row>
    <row r="10" spans="1:41" x14ac:dyDescent="0.25">
      <c r="A10" s="119" t="s">
        <v>2</v>
      </c>
      <c r="B10" s="111">
        <v>16.853932584269664</v>
      </c>
      <c r="C10" s="111">
        <v>51.25</v>
      </c>
      <c r="D10" s="111">
        <v>15.517241379310345</v>
      </c>
      <c r="E10" s="111">
        <v>57.142857142857146</v>
      </c>
      <c r="F10" s="111">
        <v>55.555555555555557</v>
      </c>
      <c r="G10" s="111">
        <v>47.5</v>
      </c>
      <c r="H10" s="111">
        <v>55.555555555555557</v>
      </c>
      <c r="I10" s="111">
        <v>26.666666666666668</v>
      </c>
      <c r="J10" s="111">
        <v>11.111111111111111</v>
      </c>
      <c r="K10" s="111">
        <v>36.956521739130437</v>
      </c>
      <c r="L10" s="111">
        <v>33.333333333333336</v>
      </c>
      <c r="M10" s="111">
        <v>46.153846153846153</v>
      </c>
      <c r="N10" s="111">
        <v>0</v>
      </c>
      <c r="O10" s="111">
        <v>57.142857142857146</v>
      </c>
      <c r="P10" s="111">
        <v>26.666666666666668</v>
      </c>
      <c r="Q10" s="111">
        <v>28.571428571428573</v>
      </c>
      <c r="R10" s="111">
        <v>0</v>
      </c>
      <c r="S10" s="111">
        <v>15.789473684210526</v>
      </c>
      <c r="T10" s="111">
        <v>74.418604651162795</v>
      </c>
      <c r="U10" s="111">
        <v>81.818181818181813</v>
      </c>
      <c r="V10" s="111">
        <v>83.720930232558146</v>
      </c>
      <c r="W10" s="111">
        <v>82.051282051282058</v>
      </c>
      <c r="X10" s="111">
        <v>26.666666666666668</v>
      </c>
      <c r="Y10" s="111">
        <v>25</v>
      </c>
      <c r="Z10" s="111">
        <v>30</v>
      </c>
      <c r="AA10" s="111">
        <v>31.25</v>
      </c>
      <c r="AB10" s="111">
        <v>34.615384615384613</v>
      </c>
      <c r="AC10" s="111">
        <v>76.086956521739125</v>
      </c>
      <c r="AD10" s="111">
        <v>48.148148148148145</v>
      </c>
      <c r="AE10" s="111">
        <v>80.263157894736835</v>
      </c>
      <c r="AF10" s="111">
        <v>37.037037037037038</v>
      </c>
      <c r="AG10" s="111">
        <v>62.121212121212125</v>
      </c>
      <c r="AH10" s="111">
        <v>28.125</v>
      </c>
      <c r="AI10" s="111">
        <v>57.142857142857146</v>
      </c>
      <c r="AJ10" s="111">
        <v>60.465116279069768</v>
      </c>
      <c r="AK10" s="111">
        <v>10.144927536231885</v>
      </c>
      <c r="AL10" s="111">
        <v>72.549019607843135</v>
      </c>
      <c r="AM10" s="111">
        <v>77.777777777777771</v>
      </c>
      <c r="AN10" s="111">
        <v>84.146341463414629</v>
      </c>
      <c r="AO10" s="119">
        <v>99</v>
      </c>
    </row>
    <row r="11" spans="1:41" x14ac:dyDescent="0.25">
      <c r="A11" s="119" t="s">
        <v>3</v>
      </c>
      <c r="B11" s="111">
        <v>75.812274368231044</v>
      </c>
      <c r="C11" s="111">
        <v>81.784386617100367</v>
      </c>
      <c r="D11" s="111">
        <v>65.517241379310349</v>
      </c>
      <c r="E11" s="111">
        <v>87.5</v>
      </c>
      <c r="F11" s="111">
        <v>75.581395348837205</v>
      </c>
      <c r="G11" s="111">
        <v>76.582278481012665</v>
      </c>
      <c r="H11" s="111">
        <v>53.571428571428569</v>
      </c>
      <c r="I11" s="111">
        <v>59.677419354838712</v>
      </c>
      <c r="J11" s="111">
        <v>48</v>
      </c>
      <c r="K11" s="111">
        <v>50.724637681159422</v>
      </c>
      <c r="L11" s="111">
        <v>33.823529411764703</v>
      </c>
      <c r="M11" s="111">
        <v>45.454545454545453</v>
      </c>
      <c r="N11" s="111">
        <v>37.5</v>
      </c>
      <c r="O11" s="111">
        <v>53.333333333333336</v>
      </c>
      <c r="P11" s="111">
        <v>46.341463414634148</v>
      </c>
      <c r="Q11" s="111">
        <v>40.54054054054054</v>
      </c>
      <c r="R11" s="111">
        <v>29.72972972972973</v>
      </c>
      <c r="S11" s="111">
        <v>38.095238095238095</v>
      </c>
      <c r="T11" s="111">
        <v>78.260869565217391</v>
      </c>
      <c r="U11" s="111">
        <v>85.087719298245617</v>
      </c>
      <c r="V11" s="111">
        <v>85.483870967741936</v>
      </c>
      <c r="W11" s="111">
        <v>77.966101694915253</v>
      </c>
      <c r="X11" s="111">
        <v>17.948717948717949</v>
      </c>
      <c r="Y11" s="111">
        <v>23.157894736842106</v>
      </c>
      <c r="Z11" s="111">
        <v>51.315789473684212</v>
      </c>
      <c r="AA11" s="111">
        <v>51.5625</v>
      </c>
      <c r="AB11" s="111">
        <v>58.441558441558442</v>
      </c>
      <c r="AC11" s="111">
        <v>56.179775280898873</v>
      </c>
      <c r="AD11" s="111">
        <v>69.461077844311376</v>
      </c>
      <c r="AE11" s="111">
        <v>85.714285714285708</v>
      </c>
      <c r="AF11" s="111">
        <v>52.760736196319016</v>
      </c>
      <c r="AG11" s="111">
        <v>77.884615384615387</v>
      </c>
      <c r="AH11" s="111">
        <v>56.98924731182796</v>
      </c>
      <c r="AI11" s="111">
        <v>43.373493975903614</v>
      </c>
      <c r="AJ11" s="111">
        <v>53.260869565217391</v>
      </c>
      <c r="AK11" s="111">
        <v>50.892857142857146</v>
      </c>
      <c r="AL11" s="111">
        <v>69.724770642201833</v>
      </c>
      <c r="AM11" s="111">
        <v>80.257510729613728</v>
      </c>
      <c r="AN11" s="111">
        <v>79.133858267716533</v>
      </c>
      <c r="AO11" s="119">
        <v>301</v>
      </c>
    </row>
    <row r="12" spans="1:41" x14ac:dyDescent="0.25">
      <c r="A12" s="119" t="s">
        <v>4</v>
      </c>
      <c r="B12" s="111">
        <v>49.616858237547895</v>
      </c>
      <c r="C12" s="111">
        <v>64.791666666666671</v>
      </c>
      <c r="D12" s="111">
        <v>41.043083900226755</v>
      </c>
      <c r="E12" s="111">
        <v>77.536231884057969</v>
      </c>
      <c r="F12" s="111">
        <v>60.714285714285715</v>
      </c>
      <c r="G12" s="111">
        <v>62.058823529411768</v>
      </c>
      <c r="H12" s="111">
        <v>35.537190082644628</v>
      </c>
      <c r="I12" s="111">
        <v>29.62962962962963</v>
      </c>
      <c r="J12" s="111">
        <v>28.971962616822431</v>
      </c>
      <c r="K12" s="111">
        <v>30.625</v>
      </c>
      <c r="L12" s="111">
        <v>24.242424242424242</v>
      </c>
      <c r="M12" s="111">
        <v>22.5</v>
      </c>
      <c r="N12" s="111">
        <v>25.675675675675677</v>
      </c>
      <c r="O12" s="111">
        <v>46.236559139784944</v>
      </c>
      <c r="P12" s="111">
        <v>30</v>
      </c>
      <c r="Q12" s="111">
        <v>41.77215189873418</v>
      </c>
      <c r="R12" s="111">
        <v>28.75</v>
      </c>
      <c r="S12" s="111">
        <v>26.168224299065422</v>
      </c>
      <c r="T12" s="111">
        <v>63.235294117647058</v>
      </c>
      <c r="U12" s="111">
        <v>75.268817204301072</v>
      </c>
      <c r="V12" s="111">
        <v>80.180180180180187</v>
      </c>
      <c r="W12" s="111">
        <v>78.15533980582525</v>
      </c>
      <c r="X12" s="111">
        <v>71.090047393364927</v>
      </c>
      <c r="Y12" s="111">
        <v>66.666666666666671</v>
      </c>
      <c r="Z12" s="111">
        <v>46.610169491525426</v>
      </c>
      <c r="AA12" s="111">
        <v>52.678571428571431</v>
      </c>
      <c r="AB12" s="111">
        <v>62.096774193548384</v>
      </c>
      <c r="AC12" s="111">
        <v>61.971830985915496</v>
      </c>
      <c r="AD12" s="111">
        <v>71.260997067448685</v>
      </c>
      <c r="AE12" s="111">
        <v>90.581162324649299</v>
      </c>
      <c r="AF12" s="111">
        <v>76.168224299065415</v>
      </c>
      <c r="AG12" s="111">
        <v>72.38095238095238</v>
      </c>
      <c r="AH12" s="111">
        <v>48.684210526315788</v>
      </c>
      <c r="AI12" s="111">
        <v>30.303030303030305</v>
      </c>
      <c r="AJ12" s="111">
        <v>47.435897435897438</v>
      </c>
      <c r="AK12" s="111">
        <v>27.088036117381488</v>
      </c>
      <c r="AL12" s="111">
        <v>42.138364779874216</v>
      </c>
      <c r="AM12" s="111">
        <v>70.526315789473685</v>
      </c>
      <c r="AN12" s="111">
        <v>63.0859375</v>
      </c>
      <c r="AO12" s="119">
        <v>600</v>
      </c>
    </row>
    <row r="13" spans="1:41" x14ac:dyDescent="0.25">
      <c r="A13" s="119" t="s">
        <v>46</v>
      </c>
      <c r="B13" s="111">
        <v>38.636363636363633</v>
      </c>
      <c r="C13" s="111">
        <v>66.666666666666671</v>
      </c>
      <c r="D13" s="111">
        <v>65.625</v>
      </c>
      <c r="E13" s="111">
        <v>75</v>
      </c>
      <c r="F13" s="111">
        <v>73.913043478260875</v>
      </c>
      <c r="G13" s="111">
        <v>66.21621621621621</v>
      </c>
      <c r="H13" s="111">
        <v>64.102564102564102</v>
      </c>
      <c r="I13" s="111">
        <v>63.636363636363633</v>
      </c>
      <c r="J13" s="111">
        <v>34.146341463414636</v>
      </c>
      <c r="K13" s="111">
        <v>40.384615384615387</v>
      </c>
      <c r="L13" s="111">
        <v>47.272727272727273</v>
      </c>
      <c r="M13" s="111">
        <v>46.938775510204081</v>
      </c>
      <c r="N13" s="111">
        <v>25</v>
      </c>
      <c r="O13" s="111">
        <v>41.935483870967744</v>
      </c>
      <c r="P13" s="111">
        <v>53.125</v>
      </c>
      <c r="Q13" s="111">
        <v>50</v>
      </c>
      <c r="R13" s="111">
        <v>38.46153846153846</v>
      </c>
      <c r="S13" s="111">
        <v>42.10526315789474</v>
      </c>
      <c r="T13" s="111">
        <v>77.777777777777771</v>
      </c>
      <c r="U13" s="111">
        <v>87.719298245614041</v>
      </c>
      <c r="V13" s="111">
        <v>87.5</v>
      </c>
      <c r="W13" s="111">
        <v>84.375</v>
      </c>
      <c r="X13" s="111">
        <v>82.8125</v>
      </c>
      <c r="Y13" s="111">
        <v>47.692307692307693</v>
      </c>
      <c r="Z13" s="111">
        <v>64.285714285714292</v>
      </c>
      <c r="AA13" s="111">
        <v>64.102564102564102</v>
      </c>
      <c r="AB13" s="111">
        <v>72.727272727272734</v>
      </c>
      <c r="AC13" s="111">
        <v>81.355932203389827</v>
      </c>
      <c r="AD13" s="111">
        <v>75.961538461538467</v>
      </c>
      <c r="AE13" s="111">
        <v>91.666666666666671</v>
      </c>
      <c r="AF13" s="111">
        <v>73.451327433628322</v>
      </c>
      <c r="AG13" s="111">
        <v>74.77477477477477</v>
      </c>
      <c r="AH13" s="111">
        <v>67.741935483870961</v>
      </c>
      <c r="AI13" s="111">
        <v>6.3829787234042552</v>
      </c>
      <c r="AJ13" s="111">
        <v>21.12676056338028</v>
      </c>
      <c r="AK13" s="111">
        <v>9.0909090909090917</v>
      </c>
      <c r="AL13" s="111">
        <v>54.794520547945204</v>
      </c>
      <c r="AM13" s="111">
        <v>62.878787878787875</v>
      </c>
      <c r="AN13" s="111">
        <v>70.895522388059703</v>
      </c>
      <c r="AO13" s="119">
        <v>148</v>
      </c>
    </row>
    <row r="14" spans="1:41" x14ac:dyDescent="0.25">
      <c r="A14" s="119" t="s">
        <v>5</v>
      </c>
      <c r="B14" s="111">
        <v>42.465753424657535</v>
      </c>
      <c r="C14" s="111">
        <v>57.531760435571691</v>
      </c>
      <c r="D14" s="111">
        <v>31.275720164609055</v>
      </c>
      <c r="E14" s="111">
        <v>72.549019607843135</v>
      </c>
      <c r="F14" s="111">
        <v>63.876651982378853</v>
      </c>
      <c r="G14" s="111">
        <v>66.400000000000006</v>
      </c>
      <c r="H14" s="111">
        <v>37.241379310344826</v>
      </c>
      <c r="I14" s="111">
        <v>35.582822085889568</v>
      </c>
      <c r="J14" s="111">
        <v>28.481012658227847</v>
      </c>
      <c r="K14" s="111">
        <v>22.950819672131146</v>
      </c>
      <c r="L14" s="111">
        <v>18.857142857142858</v>
      </c>
      <c r="M14" s="111">
        <v>26.595744680851062</v>
      </c>
      <c r="N14" s="111">
        <v>19.402985074626866</v>
      </c>
      <c r="O14" s="111">
        <v>49.350649350649348</v>
      </c>
      <c r="P14" s="111">
        <v>29.45736434108527</v>
      </c>
      <c r="Q14" s="111">
        <v>26.950354609929079</v>
      </c>
      <c r="R14" s="111">
        <v>20.454545454545453</v>
      </c>
      <c r="S14" s="111">
        <v>20.118343195266274</v>
      </c>
      <c r="T14" s="111">
        <v>66.2020905923345</v>
      </c>
      <c r="U14" s="111">
        <v>79.026217228464418</v>
      </c>
      <c r="V14" s="111">
        <v>83.571428571428569</v>
      </c>
      <c r="W14" s="111">
        <v>79.553903345724905</v>
      </c>
      <c r="X14" s="111">
        <v>54.307116104868911</v>
      </c>
      <c r="Y14" s="111">
        <v>65.567765567765562</v>
      </c>
      <c r="Z14" s="111">
        <v>47.120418848167539</v>
      </c>
      <c r="AA14" s="111">
        <v>45.744680851063826</v>
      </c>
      <c r="AB14" s="111">
        <v>58.045977011494251</v>
      </c>
      <c r="AC14" s="111">
        <v>60.273972602739725</v>
      </c>
      <c r="AD14" s="111">
        <v>76.525821596244128</v>
      </c>
      <c r="AE14" s="111">
        <v>90.017513134851143</v>
      </c>
      <c r="AF14" s="111">
        <v>78.556263269639061</v>
      </c>
      <c r="AG14" s="111">
        <v>80.571428571428569</v>
      </c>
      <c r="AH14" s="111">
        <v>57.711442786069654</v>
      </c>
      <c r="AI14" s="111">
        <v>32.773109243697476</v>
      </c>
      <c r="AJ14" s="111">
        <v>31.111111111111111</v>
      </c>
      <c r="AK14" s="111">
        <v>66.245487364620942</v>
      </c>
      <c r="AL14" s="111">
        <v>47.15025906735751</v>
      </c>
      <c r="AM14" s="111">
        <v>78.842676311030743</v>
      </c>
      <c r="AN14" s="111">
        <v>75.215146299483649</v>
      </c>
      <c r="AO14" s="119">
        <v>650</v>
      </c>
    </row>
    <row r="15" spans="1:41" x14ac:dyDescent="0.25">
      <c r="A15" s="119" t="s">
        <v>48</v>
      </c>
      <c r="B15" s="111">
        <v>55.118110236220474</v>
      </c>
      <c r="C15" s="111">
        <v>69.827586206896555</v>
      </c>
      <c r="D15" s="111">
        <v>41.228070175438596</v>
      </c>
      <c r="E15" s="111">
        <v>78.571428571428569</v>
      </c>
      <c r="F15" s="111">
        <v>82</v>
      </c>
      <c r="G15" s="111">
        <v>64.285714285714292</v>
      </c>
      <c r="H15" s="111">
        <v>69.767441860465112</v>
      </c>
      <c r="I15" s="111">
        <v>68.627450980392155</v>
      </c>
      <c r="J15" s="111">
        <v>62.5</v>
      </c>
      <c r="K15" s="111">
        <v>39.215686274509807</v>
      </c>
      <c r="L15" s="111">
        <v>37.254901960784316</v>
      </c>
      <c r="M15" s="111">
        <v>42.307692307692307</v>
      </c>
      <c r="N15" s="111">
        <v>50</v>
      </c>
      <c r="O15" s="111">
        <v>68.965517241379317</v>
      </c>
      <c r="P15" s="111">
        <v>58.620689655172413</v>
      </c>
      <c r="Q15" s="111">
        <v>52.38095238095238</v>
      </c>
      <c r="R15" s="111">
        <v>55.555555555555557</v>
      </c>
      <c r="S15" s="111">
        <v>38.70967741935484</v>
      </c>
      <c r="T15" s="111">
        <v>77.777777777777771</v>
      </c>
      <c r="U15" s="111">
        <v>92.727272727272734</v>
      </c>
      <c r="V15" s="111">
        <v>91.525423728813564</v>
      </c>
      <c r="W15" s="111">
        <v>93.103448275862064</v>
      </c>
      <c r="X15" s="111">
        <v>95.238095238095241</v>
      </c>
      <c r="Y15" s="111">
        <v>76.811594202898547</v>
      </c>
      <c r="Z15" s="111">
        <v>76.59574468085107</v>
      </c>
      <c r="AA15" s="111">
        <v>78.571428571428569</v>
      </c>
      <c r="AB15" s="111">
        <v>80.952380952380949</v>
      </c>
      <c r="AC15" s="111">
        <v>70.689655172413794</v>
      </c>
      <c r="AD15" s="111">
        <v>83.695652173913047</v>
      </c>
      <c r="AE15" s="111">
        <v>88.785046728971963</v>
      </c>
      <c r="AF15" s="111">
        <v>61.797752808988761</v>
      </c>
      <c r="AG15" s="111">
        <v>88.888888888888886</v>
      </c>
      <c r="AH15" s="111">
        <v>56.140350877192979</v>
      </c>
      <c r="AI15" s="111">
        <v>47.169811320754718</v>
      </c>
      <c r="AJ15" s="111">
        <v>52.941176470588232</v>
      </c>
      <c r="AK15" s="111">
        <v>15.294117647058824</v>
      </c>
      <c r="AL15" s="111">
        <v>60</v>
      </c>
      <c r="AM15" s="111">
        <v>84.070796460176993</v>
      </c>
      <c r="AN15" s="111">
        <v>71.171171171171167</v>
      </c>
      <c r="AO15" s="119">
        <v>135</v>
      </c>
    </row>
    <row r="16" spans="1:41" x14ac:dyDescent="0.25">
      <c r="A16" s="119" t="s">
        <v>49</v>
      </c>
      <c r="B16" s="111">
        <v>74.757281553398059</v>
      </c>
      <c r="C16" s="111">
        <v>84.848484848484844</v>
      </c>
      <c r="D16" s="111">
        <v>56.179775280898873</v>
      </c>
      <c r="E16" s="111">
        <v>82.5</v>
      </c>
      <c r="F16" s="111">
        <v>73.80952380952381</v>
      </c>
      <c r="G16" s="111">
        <v>72.857142857142861</v>
      </c>
      <c r="H16" s="111">
        <v>69.811320754716988</v>
      </c>
      <c r="I16" s="111">
        <v>77.049180327868854</v>
      </c>
      <c r="J16" s="111">
        <v>65.909090909090907</v>
      </c>
      <c r="K16" s="111">
        <v>67.213114754098356</v>
      </c>
      <c r="L16" s="111">
        <v>61.81818181818182</v>
      </c>
      <c r="M16" s="111">
        <v>64.285714285714292</v>
      </c>
      <c r="N16" s="111">
        <v>41.666666666666664</v>
      </c>
      <c r="O16" s="111">
        <v>59.45945945945946</v>
      </c>
      <c r="P16" s="111">
        <v>43.75</v>
      </c>
      <c r="Q16" s="111">
        <v>58.695652173913047</v>
      </c>
      <c r="R16" s="111">
        <v>38.235294117647058</v>
      </c>
      <c r="S16" s="111">
        <v>47.222222222222221</v>
      </c>
      <c r="T16" s="111">
        <v>86.666666666666671</v>
      </c>
      <c r="U16" s="111">
        <v>93.103448275862064</v>
      </c>
      <c r="V16" s="111">
        <v>91.803278688524586</v>
      </c>
      <c r="W16" s="111">
        <v>89.65517241379311</v>
      </c>
      <c r="X16" s="111">
        <v>3.9215686274509802</v>
      </c>
      <c r="Y16" s="111">
        <v>6.25</v>
      </c>
      <c r="Z16" s="111">
        <v>66.666666666666671</v>
      </c>
      <c r="AA16" s="111">
        <v>58.064516129032256</v>
      </c>
      <c r="AB16" s="111">
        <v>92.452830188679243</v>
      </c>
      <c r="AC16" s="111">
        <v>86.666666666666671</v>
      </c>
      <c r="AD16" s="111">
        <v>76.25</v>
      </c>
      <c r="AE16" s="111">
        <v>93.333333333333329</v>
      </c>
      <c r="AF16" s="111">
        <v>64.473684210526315</v>
      </c>
      <c r="AG16" s="111">
        <v>85.882352941176464</v>
      </c>
      <c r="AH16" s="111">
        <v>66.666666666666671</v>
      </c>
      <c r="AI16" s="111">
        <v>54.385964912280699</v>
      </c>
      <c r="AJ16" s="111">
        <v>64.705882352941174</v>
      </c>
      <c r="AK16" s="111">
        <v>10.975609756097562</v>
      </c>
      <c r="AL16" s="111">
        <v>46.296296296296298</v>
      </c>
      <c r="AM16" s="111">
        <v>84.21052631578948</v>
      </c>
      <c r="AN16" s="111">
        <v>87.234042553191486</v>
      </c>
      <c r="AO16" s="119">
        <v>105</v>
      </c>
    </row>
    <row r="17" spans="1:41" x14ac:dyDescent="0.25">
      <c r="A17" s="119" t="s">
        <v>50</v>
      </c>
      <c r="B17" s="111">
        <v>44.021739130434781</v>
      </c>
      <c r="C17" s="111">
        <v>68.421052631578945</v>
      </c>
      <c r="D17" s="111">
        <v>48.76543209876543</v>
      </c>
      <c r="E17" s="111">
        <v>82</v>
      </c>
      <c r="F17" s="111">
        <v>74.137931034482762</v>
      </c>
      <c r="G17" s="111">
        <v>62.352941176470587</v>
      </c>
      <c r="H17" s="111">
        <v>69.841269841269835</v>
      </c>
      <c r="I17" s="111">
        <v>61.904761904761905</v>
      </c>
      <c r="J17" s="111">
        <v>47.5</v>
      </c>
      <c r="K17" s="111">
        <v>69.411764705882348</v>
      </c>
      <c r="L17" s="111">
        <v>56.962025316455694</v>
      </c>
      <c r="M17" s="111">
        <v>59.756097560975611</v>
      </c>
      <c r="N17" s="111">
        <v>40.54054054054054</v>
      </c>
      <c r="O17" s="111">
        <v>61.363636363636367</v>
      </c>
      <c r="P17" s="111">
        <v>48.484848484848484</v>
      </c>
      <c r="Q17" s="111">
        <v>70.175438596491233</v>
      </c>
      <c r="R17" s="111">
        <v>52.941176470588232</v>
      </c>
      <c r="S17" s="111">
        <v>45</v>
      </c>
      <c r="T17" s="111">
        <v>82</v>
      </c>
      <c r="U17" s="111">
        <v>87.254901960784309</v>
      </c>
      <c r="V17" s="111">
        <v>89.215686274509807</v>
      </c>
      <c r="W17" s="111">
        <v>88.043478260869563</v>
      </c>
      <c r="X17" s="111">
        <v>89.361702127659569</v>
      </c>
      <c r="Y17" s="111">
        <v>26.829268292682926</v>
      </c>
      <c r="Z17" s="111">
        <v>66.129032258064512</v>
      </c>
      <c r="AA17" s="111">
        <v>74.418604651162795</v>
      </c>
      <c r="AB17" s="111">
        <v>84.745762711864401</v>
      </c>
      <c r="AC17" s="111">
        <v>83.544303797468359</v>
      </c>
      <c r="AD17" s="111">
        <v>89.65517241379311</v>
      </c>
      <c r="AE17" s="111">
        <v>95.151515151515156</v>
      </c>
      <c r="AF17" s="111">
        <v>78.832116788321173</v>
      </c>
      <c r="AG17" s="111">
        <v>87.974683544303801</v>
      </c>
      <c r="AH17" s="111">
        <v>79.012345679012341</v>
      </c>
      <c r="AI17" s="111">
        <v>56.521739130434781</v>
      </c>
      <c r="AJ17" s="111">
        <v>71.951219512195124</v>
      </c>
      <c r="AK17" s="111">
        <v>30.327868852459016</v>
      </c>
      <c r="AL17" s="111">
        <v>78.84615384615384</v>
      </c>
      <c r="AM17" s="111">
        <v>83.536585365853654</v>
      </c>
      <c r="AN17" s="111">
        <v>75.438596491228068</v>
      </c>
      <c r="AO17" s="119">
        <v>194</v>
      </c>
    </row>
    <row r="18" spans="1:41" x14ac:dyDescent="0.25">
      <c r="A18" s="119" t="s">
        <v>69</v>
      </c>
      <c r="B18" s="111">
        <v>48.571428571428569</v>
      </c>
      <c r="C18" s="111">
        <v>63.576158940397349</v>
      </c>
      <c r="D18" s="111">
        <v>40.659340659340657</v>
      </c>
      <c r="E18" s="111">
        <v>78.861788617886177</v>
      </c>
      <c r="F18" s="111">
        <v>71.111111111111114</v>
      </c>
      <c r="G18" s="111">
        <v>66.222222222222229</v>
      </c>
      <c r="H18" s="111">
        <v>47.787610619469028</v>
      </c>
      <c r="I18" s="111">
        <v>38.28125</v>
      </c>
      <c r="J18" s="111">
        <v>37.209302325581397</v>
      </c>
      <c r="K18" s="111">
        <v>23.239436619718308</v>
      </c>
      <c r="L18" s="111">
        <v>22.142857142857142</v>
      </c>
      <c r="M18" s="111">
        <v>27.338129496402878</v>
      </c>
      <c r="N18" s="111">
        <v>16.438356164383563</v>
      </c>
      <c r="O18" s="111">
        <v>54.651162790697676</v>
      </c>
      <c r="P18" s="111">
        <v>29.23076923076923</v>
      </c>
      <c r="Q18" s="111">
        <v>29.62962962962963</v>
      </c>
      <c r="R18" s="111">
        <v>47.761194029850749</v>
      </c>
      <c r="S18" s="111">
        <v>22.857142857142858</v>
      </c>
      <c r="T18" s="111">
        <v>69.565217391304344</v>
      </c>
      <c r="U18" s="111">
        <v>83.850931677018636</v>
      </c>
      <c r="V18" s="111">
        <v>84.831460674157299</v>
      </c>
      <c r="W18" s="111">
        <v>85.714285714285708</v>
      </c>
      <c r="X18" s="111">
        <v>77.714285714285708</v>
      </c>
      <c r="Y18" s="111">
        <v>70.786516853932582</v>
      </c>
      <c r="Z18" s="111">
        <v>55.555555555555557</v>
      </c>
      <c r="AA18" s="111">
        <v>45.263157894736842</v>
      </c>
      <c r="AB18" s="111">
        <v>55.963302752293579</v>
      </c>
      <c r="AC18" s="111">
        <v>52.991452991452988</v>
      </c>
      <c r="AD18" s="111">
        <v>71.24463519313305</v>
      </c>
      <c r="AE18" s="111">
        <v>92.10526315789474</v>
      </c>
      <c r="AF18" s="111">
        <v>81.395348837209298</v>
      </c>
      <c r="AG18" s="111">
        <v>79.197080291970806</v>
      </c>
      <c r="AH18" s="111">
        <v>52.41935483870968</v>
      </c>
      <c r="AI18" s="111">
        <v>27.777777777777779</v>
      </c>
      <c r="AJ18" s="111">
        <v>41.891891891891895</v>
      </c>
      <c r="AK18" s="111">
        <v>19.815668202764979</v>
      </c>
      <c r="AL18" s="111">
        <v>40.16393442622951</v>
      </c>
      <c r="AM18" s="111">
        <v>82.565789473684205</v>
      </c>
      <c r="AN18" s="111">
        <v>84.394904458598731</v>
      </c>
      <c r="AO18" s="119">
        <v>350</v>
      </c>
    </row>
    <row r="19" spans="1:41" x14ac:dyDescent="0.25">
      <c r="A19" s="119" t="s">
        <v>6</v>
      </c>
      <c r="B19" s="111">
        <v>29.498525073746311</v>
      </c>
      <c r="C19" s="111">
        <v>41.935483870967744</v>
      </c>
      <c r="D19" s="111">
        <v>41.970802919708028</v>
      </c>
      <c r="E19" s="111">
        <v>76.13636363636364</v>
      </c>
      <c r="F19" s="111">
        <v>57.291666666666664</v>
      </c>
      <c r="G19" s="111">
        <v>52.608695652173914</v>
      </c>
      <c r="H19" s="111">
        <v>39.63963963963964</v>
      </c>
      <c r="I19" s="111">
        <v>28.40909090909091</v>
      </c>
      <c r="J19" s="111">
        <v>30</v>
      </c>
      <c r="K19" s="111">
        <v>21.705426356589147</v>
      </c>
      <c r="L19" s="111">
        <v>17.600000000000001</v>
      </c>
      <c r="M19" s="111">
        <v>26.315789473684209</v>
      </c>
      <c r="N19" s="111">
        <v>28.571428571428573</v>
      </c>
      <c r="O19" s="111">
        <v>46.913580246913583</v>
      </c>
      <c r="P19" s="111">
        <v>20</v>
      </c>
      <c r="Q19" s="111">
        <v>38.356164383561641</v>
      </c>
      <c r="R19" s="111">
        <v>26.666666666666668</v>
      </c>
      <c r="S19" s="111">
        <v>21.568627450980394</v>
      </c>
      <c r="T19" s="111">
        <v>63.565891472868216</v>
      </c>
      <c r="U19" s="111">
        <v>77.037037037037038</v>
      </c>
      <c r="V19" s="111">
        <v>76.086956521739125</v>
      </c>
      <c r="W19" s="111">
        <v>73.84615384615384</v>
      </c>
      <c r="X19" s="111">
        <v>74.482758620689651</v>
      </c>
      <c r="Y19" s="111">
        <v>66.896551724137936</v>
      </c>
      <c r="Z19" s="111">
        <v>45.783132530120483</v>
      </c>
      <c r="AA19" s="111">
        <v>40.54054054054054</v>
      </c>
      <c r="AB19" s="111">
        <v>44.303797468354432</v>
      </c>
      <c r="AC19" s="111">
        <v>46.153846153846153</v>
      </c>
      <c r="AD19" s="111">
        <v>68.103448275862064</v>
      </c>
      <c r="AE19" s="111">
        <v>84.782608695652172</v>
      </c>
      <c r="AF19" s="111">
        <v>73.188405797101453</v>
      </c>
      <c r="AG19" s="111">
        <v>70.329670329670336</v>
      </c>
      <c r="AH19" s="111">
        <v>43.636363636363633</v>
      </c>
      <c r="AI19" s="111">
        <v>22.222222222222221</v>
      </c>
      <c r="AJ19" s="111">
        <v>43.956043956043956</v>
      </c>
      <c r="AK19" s="111">
        <v>41.216216216216218</v>
      </c>
      <c r="AL19" s="111">
        <v>47.169811320754718</v>
      </c>
      <c r="AM19" s="111">
        <v>80.487804878048777</v>
      </c>
      <c r="AN19" s="111">
        <v>75.811209439528028</v>
      </c>
      <c r="AO19" s="119">
        <v>389</v>
      </c>
    </row>
    <row r="20" spans="1:41" x14ac:dyDescent="0.25">
      <c r="A20" s="119" t="s">
        <v>70</v>
      </c>
      <c r="B20" s="111">
        <v>31.696428571428573</v>
      </c>
      <c r="C20" s="111">
        <v>52.358490566037737</v>
      </c>
      <c r="D20" s="111">
        <v>34.408602150537632</v>
      </c>
      <c r="E20" s="111">
        <v>72</v>
      </c>
      <c r="F20" s="111">
        <v>63.529411764705884</v>
      </c>
      <c r="G20" s="111">
        <v>50.413223140495866</v>
      </c>
      <c r="H20" s="111">
        <v>51.685393258426963</v>
      </c>
      <c r="I20" s="111">
        <v>50</v>
      </c>
      <c r="J20" s="111">
        <v>43.636363636363633</v>
      </c>
      <c r="K20" s="111">
        <v>36.893203883495147</v>
      </c>
      <c r="L20" s="111">
        <v>32.407407407407405</v>
      </c>
      <c r="M20" s="111">
        <v>45.370370370370374</v>
      </c>
      <c r="N20" s="111">
        <v>32.727272727272727</v>
      </c>
      <c r="O20" s="111">
        <v>62.318840579710148</v>
      </c>
      <c r="P20" s="111">
        <v>40.425531914893618</v>
      </c>
      <c r="Q20" s="111">
        <v>40.350877192982459</v>
      </c>
      <c r="R20" s="111">
        <v>35.714285714285715</v>
      </c>
      <c r="S20" s="111">
        <v>36.734693877551024</v>
      </c>
      <c r="T20" s="111">
        <v>78.181818181818187</v>
      </c>
      <c r="U20" s="111">
        <v>83.65384615384616</v>
      </c>
      <c r="V20" s="111">
        <v>86.36363636363636</v>
      </c>
      <c r="W20" s="111">
        <v>87.61904761904762</v>
      </c>
      <c r="X20" s="111">
        <v>88.888888888888886</v>
      </c>
      <c r="Y20" s="111">
        <v>62.727272727272727</v>
      </c>
      <c r="Z20" s="111">
        <v>55.405405405405403</v>
      </c>
      <c r="AA20" s="111">
        <v>65</v>
      </c>
      <c r="AB20" s="111">
        <v>55.714285714285715</v>
      </c>
      <c r="AC20" s="111">
        <v>68.367346938775512</v>
      </c>
      <c r="AD20" s="111">
        <v>76.331360946745562</v>
      </c>
      <c r="AE20" s="111">
        <v>89.637305699481871</v>
      </c>
      <c r="AF20" s="111">
        <v>61.184210526315788</v>
      </c>
      <c r="AG20" s="111">
        <v>74.712643678160916</v>
      </c>
      <c r="AH20" s="111">
        <v>55.789473684210527</v>
      </c>
      <c r="AI20" s="111">
        <v>42.424242424242422</v>
      </c>
      <c r="AJ20" s="111">
        <v>58.823529411764703</v>
      </c>
      <c r="AK20" s="111">
        <v>12.658227848101266</v>
      </c>
      <c r="AL20" s="111">
        <v>64.42307692307692</v>
      </c>
      <c r="AM20" s="111">
        <v>85.514018691588788</v>
      </c>
      <c r="AN20" s="111">
        <v>83.886255924170612</v>
      </c>
      <c r="AO20" s="119">
        <v>239</v>
      </c>
    </row>
    <row r="21" spans="1:41" x14ac:dyDescent="0.25">
      <c r="A21" s="119" t="s">
        <v>7</v>
      </c>
      <c r="B21" s="111">
        <v>51.592356687898089</v>
      </c>
      <c r="C21" s="111">
        <v>69.078947368421055</v>
      </c>
      <c r="D21" s="111">
        <v>59.574468085106382</v>
      </c>
      <c r="E21" s="111">
        <v>75.438596491228068</v>
      </c>
      <c r="F21" s="111">
        <v>62.686567164179102</v>
      </c>
      <c r="G21" s="111">
        <v>74.257425742574256</v>
      </c>
      <c r="H21" s="111">
        <v>61.29032258064516</v>
      </c>
      <c r="I21" s="111">
        <v>72.151898734177209</v>
      </c>
      <c r="J21" s="111">
        <v>56.363636363636367</v>
      </c>
      <c r="K21" s="111">
        <v>57.647058823529413</v>
      </c>
      <c r="L21" s="111">
        <v>57.142857142857146</v>
      </c>
      <c r="M21" s="111">
        <v>65.277777777777771</v>
      </c>
      <c r="N21" s="111">
        <v>49.090909090909093</v>
      </c>
      <c r="O21" s="111">
        <v>58.333333333333336</v>
      </c>
      <c r="P21" s="111">
        <v>46.296296296296298</v>
      </c>
      <c r="Q21" s="111">
        <v>59.649122807017541</v>
      </c>
      <c r="R21" s="111">
        <v>47.727272727272727</v>
      </c>
      <c r="S21" s="111">
        <v>40.816326530612244</v>
      </c>
      <c r="T21" s="111">
        <v>78.75</v>
      </c>
      <c r="U21" s="111">
        <v>84.146341463414629</v>
      </c>
      <c r="V21" s="111">
        <v>85.714285714285708</v>
      </c>
      <c r="W21" s="111">
        <v>86.206896551724142</v>
      </c>
      <c r="X21" s="111">
        <v>89.010989010989007</v>
      </c>
      <c r="Y21" s="111">
        <v>65.625</v>
      </c>
      <c r="Z21" s="111">
        <v>63.235294117647058</v>
      </c>
      <c r="AA21" s="111">
        <v>62.686567164179102</v>
      </c>
      <c r="AB21" s="111">
        <v>64.705882352941174</v>
      </c>
      <c r="AC21" s="111">
        <v>76.543209876543216</v>
      </c>
      <c r="AD21" s="111">
        <v>85.454545454545453</v>
      </c>
      <c r="AE21" s="111">
        <v>97.037037037037038</v>
      </c>
      <c r="AF21" s="111">
        <v>82.706766917293237</v>
      </c>
      <c r="AG21" s="111">
        <v>92.592592592592595</v>
      </c>
      <c r="AH21" s="111">
        <v>57.692307692307693</v>
      </c>
      <c r="AI21" s="111">
        <v>57.647058823529413</v>
      </c>
      <c r="AJ21" s="111">
        <v>50</v>
      </c>
      <c r="AK21" s="111">
        <v>30.63063063063063</v>
      </c>
      <c r="AL21" s="111">
        <v>60.674157303370784</v>
      </c>
      <c r="AM21" s="111">
        <v>85.815602836879435</v>
      </c>
      <c r="AN21" s="111">
        <v>79.591836734693871</v>
      </c>
      <c r="AO21" s="119">
        <v>168</v>
      </c>
    </row>
    <row r="22" spans="1:41" x14ac:dyDescent="0.25">
      <c r="A22" s="119" t="s">
        <v>22</v>
      </c>
      <c r="B22" s="111">
        <v>54.166666666666664</v>
      </c>
      <c r="C22" s="111">
        <v>62.068965517241381</v>
      </c>
      <c r="D22" s="111">
        <v>44.186046511627907</v>
      </c>
      <c r="E22" s="111">
        <v>78.723404255319153</v>
      </c>
      <c r="F22" s="111">
        <v>69.387755102040813</v>
      </c>
      <c r="G22" s="111">
        <v>56.25</v>
      </c>
      <c r="H22" s="111">
        <v>54.545454545454547</v>
      </c>
      <c r="I22" s="111">
        <v>50</v>
      </c>
      <c r="J22" s="111">
        <v>34.285714285714285</v>
      </c>
      <c r="K22" s="111">
        <v>44.285714285714285</v>
      </c>
      <c r="L22" s="111">
        <v>36.986301369863014</v>
      </c>
      <c r="M22" s="111">
        <v>56.71641791044776</v>
      </c>
      <c r="N22" s="111">
        <v>39.285714285714285</v>
      </c>
      <c r="O22" s="111">
        <v>46.875</v>
      </c>
      <c r="P22" s="111">
        <v>46.875</v>
      </c>
      <c r="Q22" s="111">
        <v>32.258064516129032</v>
      </c>
      <c r="R22" s="111">
        <v>16</v>
      </c>
      <c r="S22" s="111">
        <v>25.925925925925927</v>
      </c>
      <c r="T22" s="111">
        <v>73.684210526315795</v>
      </c>
      <c r="U22" s="111">
        <v>84.722222222222229</v>
      </c>
      <c r="V22" s="111">
        <v>86.419753086419746</v>
      </c>
      <c r="W22" s="111">
        <v>84.337349397590359</v>
      </c>
      <c r="X22" s="111">
        <v>77.333333333333329</v>
      </c>
      <c r="Y22" s="111">
        <v>22.727272727272727</v>
      </c>
      <c r="Z22" s="111">
        <v>55.813953488372093</v>
      </c>
      <c r="AA22" s="111">
        <v>51.515151515151516</v>
      </c>
      <c r="AB22" s="111">
        <v>63.043478260869563</v>
      </c>
      <c r="AC22" s="111">
        <v>73.529411764705884</v>
      </c>
      <c r="AD22" s="111">
        <v>84.545454545454547</v>
      </c>
      <c r="AE22" s="111">
        <v>85.211267605633807</v>
      </c>
      <c r="AF22" s="111">
        <v>79.166666666666671</v>
      </c>
      <c r="AG22" s="111">
        <v>71.134020618556704</v>
      </c>
      <c r="AH22" s="111">
        <v>50.649350649350652</v>
      </c>
      <c r="AI22" s="111">
        <v>42.25352112676056</v>
      </c>
      <c r="AJ22" s="111">
        <v>49.253731343283583</v>
      </c>
      <c r="AK22" s="111">
        <v>13.178294573643411</v>
      </c>
      <c r="AL22" s="111">
        <v>48.051948051948052</v>
      </c>
      <c r="AM22" s="111">
        <v>75.974025974025977</v>
      </c>
      <c r="AN22" s="111">
        <v>70.322580645161295</v>
      </c>
      <c r="AO22" s="119">
        <v>177</v>
      </c>
    </row>
    <row r="23" spans="1:41" x14ac:dyDescent="0.25">
      <c r="A23" s="119" t="s">
        <v>8</v>
      </c>
      <c r="B23" s="111">
        <v>39.224137931034484</v>
      </c>
      <c r="C23" s="111">
        <v>57.64192139737991</v>
      </c>
      <c r="D23" s="111">
        <v>55.357142857142854</v>
      </c>
      <c r="E23" s="111">
        <v>75.316455696202539</v>
      </c>
      <c r="F23" s="111">
        <v>64.285714285714292</v>
      </c>
      <c r="G23" s="111">
        <v>63.057324840764331</v>
      </c>
      <c r="H23" s="111">
        <v>41.721854304635762</v>
      </c>
      <c r="I23" s="111">
        <v>32.214765100671144</v>
      </c>
      <c r="J23" s="111">
        <v>36.428571428571431</v>
      </c>
      <c r="K23" s="111">
        <v>21.212121212121211</v>
      </c>
      <c r="L23" s="111">
        <v>13.917525773195877</v>
      </c>
      <c r="M23" s="111">
        <v>20.952380952380953</v>
      </c>
      <c r="N23" s="111">
        <v>23.157894736842106</v>
      </c>
      <c r="O23" s="111">
        <v>55.660377358490564</v>
      </c>
      <c r="P23" s="111">
        <v>37.272727272727273</v>
      </c>
      <c r="Q23" s="111">
        <v>35.135135135135137</v>
      </c>
      <c r="R23" s="111">
        <v>29.292929292929294</v>
      </c>
      <c r="S23" s="111">
        <v>30.578512396694215</v>
      </c>
      <c r="T23" s="111">
        <v>66.355140186915889</v>
      </c>
      <c r="U23" s="111">
        <v>79.227053140096615</v>
      </c>
      <c r="V23" s="111">
        <v>82.511210762331842</v>
      </c>
      <c r="W23" s="111">
        <v>81.067961165048544</v>
      </c>
      <c r="X23" s="111">
        <v>66.009852216748769</v>
      </c>
      <c r="Y23" s="111">
        <v>70.142180094786724</v>
      </c>
      <c r="Z23" s="111">
        <v>52.307692307692307</v>
      </c>
      <c r="AA23" s="111">
        <v>52.592592592592595</v>
      </c>
      <c r="AB23" s="111">
        <v>61.363636363636367</v>
      </c>
      <c r="AC23" s="111">
        <v>58.4</v>
      </c>
      <c r="AD23" s="111">
        <v>76.708074534161497</v>
      </c>
      <c r="AE23" s="111">
        <v>92.747252747252745</v>
      </c>
      <c r="AF23" s="111">
        <v>78.358208955223887</v>
      </c>
      <c r="AG23" s="111">
        <v>76.829268292682926</v>
      </c>
      <c r="AH23" s="111">
        <v>52.631578947368418</v>
      </c>
      <c r="AI23" s="111">
        <v>36.81318681318681</v>
      </c>
      <c r="AJ23" s="111">
        <v>37.254901960784316</v>
      </c>
      <c r="AK23" s="111">
        <v>47.761194029850749</v>
      </c>
      <c r="AL23" s="111">
        <v>48.75</v>
      </c>
      <c r="AM23" s="111">
        <v>84.888888888888886</v>
      </c>
      <c r="AN23" s="111">
        <v>81.120331950207472</v>
      </c>
      <c r="AO23" s="119">
        <v>533</v>
      </c>
    </row>
    <row r="24" spans="1:41" x14ac:dyDescent="0.25">
      <c r="A24" s="119" t="s">
        <v>9</v>
      </c>
      <c r="B24" s="111">
        <v>66.964285714285708</v>
      </c>
      <c r="C24" s="111">
        <v>79.90654205607477</v>
      </c>
      <c r="D24" s="111">
        <v>39.572192513368982</v>
      </c>
      <c r="E24" s="111">
        <v>93.670886075949369</v>
      </c>
      <c r="F24" s="111">
        <v>70.930232558139537</v>
      </c>
      <c r="G24" s="111">
        <v>64.86486486486487</v>
      </c>
      <c r="H24" s="111">
        <v>48.571428571428569</v>
      </c>
      <c r="I24" s="111">
        <v>69.387755102040813</v>
      </c>
      <c r="J24" s="111">
        <v>60.526315789473685</v>
      </c>
      <c r="K24" s="111">
        <v>48.275862068965516</v>
      </c>
      <c r="L24" s="111">
        <v>51.785714285714285</v>
      </c>
      <c r="M24" s="111">
        <v>46.808510638297875</v>
      </c>
      <c r="N24" s="111">
        <v>26.470588235294116</v>
      </c>
      <c r="O24" s="111">
        <v>59.090909090909093</v>
      </c>
      <c r="P24" s="111">
        <v>25</v>
      </c>
      <c r="Q24" s="111">
        <v>53.488372093023258</v>
      </c>
      <c r="R24" s="111">
        <v>50</v>
      </c>
      <c r="S24" s="111">
        <v>37.037037037037038</v>
      </c>
      <c r="T24" s="111">
        <v>83.478260869565219</v>
      </c>
      <c r="U24" s="111">
        <v>88.235294117647058</v>
      </c>
      <c r="V24" s="111">
        <v>92.035398230088489</v>
      </c>
      <c r="W24" s="111">
        <v>89.583333333333329</v>
      </c>
      <c r="X24" s="111">
        <v>88.607594936708864</v>
      </c>
      <c r="Y24" s="111">
        <v>59.322033898305087</v>
      </c>
      <c r="Z24" s="111">
        <v>62.745098039215684</v>
      </c>
      <c r="AA24" s="111">
        <v>68.181818181818187</v>
      </c>
      <c r="AB24" s="111">
        <v>77.5</v>
      </c>
      <c r="AC24" s="111">
        <v>58.441558441558442</v>
      </c>
      <c r="AD24" s="111">
        <v>77.181208053691279</v>
      </c>
      <c r="AE24" s="111">
        <v>90.654205607476641</v>
      </c>
      <c r="AF24" s="111">
        <v>59.090909090909093</v>
      </c>
      <c r="AG24" s="111">
        <v>73.913043478260875</v>
      </c>
      <c r="AH24" s="111">
        <v>60.563380281690144</v>
      </c>
      <c r="AI24" s="111">
        <v>42.25352112676056</v>
      </c>
      <c r="AJ24" s="111">
        <v>39.726027397260275</v>
      </c>
      <c r="AK24" s="111">
        <v>68.269230769230774</v>
      </c>
      <c r="AL24" s="111">
        <v>45.652173913043477</v>
      </c>
      <c r="AM24" s="111">
        <v>83.333333333333329</v>
      </c>
      <c r="AN24" s="111">
        <v>79.098360655737707</v>
      </c>
      <c r="AO24" s="119">
        <v>262</v>
      </c>
    </row>
    <row r="25" spans="1:41" x14ac:dyDescent="0.25">
      <c r="A25" s="119" t="s">
        <v>54</v>
      </c>
      <c r="B25" s="111">
        <v>37.414965986394556</v>
      </c>
      <c r="C25" s="111">
        <v>56.617647058823529</v>
      </c>
      <c r="D25" s="111">
        <v>43.846153846153847</v>
      </c>
      <c r="E25" s="111">
        <v>75</v>
      </c>
      <c r="F25" s="111">
        <v>69.642857142857139</v>
      </c>
      <c r="G25" s="111">
        <v>52.564102564102562</v>
      </c>
      <c r="H25" s="111">
        <v>45</v>
      </c>
      <c r="I25" s="111">
        <v>41.666666666666664</v>
      </c>
      <c r="J25" s="111">
        <v>43.18181818181818</v>
      </c>
      <c r="K25" s="111">
        <v>39.682539682539684</v>
      </c>
      <c r="L25" s="111">
        <v>31.578947368421051</v>
      </c>
      <c r="M25" s="111">
        <v>37.735849056603776</v>
      </c>
      <c r="N25" s="111">
        <v>27.027027027027028</v>
      </c>
      <c r="O25" s="111">
        <v>50</v>
      </c>
      <c r="P25" s="111">
        <v>33.333333333333336</v>
      </c>
      <c r="Q25" s="111">
        <v>46.153846153846153</v>
      </c>
      <c r="R25" s="111">
        <v>19.444444444444443</v>
      </c>
      <c r="S25" s="111">
        <v>21.05263157894737</v>
      </c>
      <c r="T25" s="111">
        <v>67.741935483870961</v>
      </c>
      <c r="U25" s="111">
        <v>76.666666666666671</v>
      </c>
      <c r="V25" s="111">
        <v>75.714285714285708</v>
      </c>
      <c r="W25" s="111">
        <v>65.671641791044777</v>
      </c>
      <c r="X25" s="111">
        <v>11.475409836065573</v>
      </c>
      <c r="Y25" s="111">
        <v>23.333333333333332</v>
      </c>
      <c r="Z25" s="111">
        <v>50</v>
      </c>
      <c r="AA25" s="111">
        <v>45.714285714285715</v>
      </c>
      <c r="AB25" s="111">
        <v>50</v>
      </c>
      <c r="AC25" s="111">
        <v>60</v>
      </c>
      <c r="AD25" s="111">
        <v>60.869565217391305</v>
      </c>
      <c r="AE25" s="111">
        <v>83.064516129032256</v>
      </c>
      <c r="AF25" s="111">
        <v>56.321839080459768</v>
      </c>
      <c r="AG25" s="111">
        <v>69.902912621359221</v>
      </c>
      <c r="AH25" s="111">
        <v>47.457627118644069</v>
      </c>
      <c r="AI25" s="111">
        <v>35.9375</v>
      </c>
      <c r="AJ25" s="111">
        <v>55.172413793103445</v>
      </c>
      <c r="AK25" s="111">
        <v>40.366972477064223</v>
      </c>
      <c r="AL25" s="111">
        <v>61.428571428571431</v>
      </c>
      <c r="AM25" s="111">
        <v>70.422535211267601</v>
      </c>
      <c r="AN25" s="111">
        <v>70.714285714285708</v>
      </c>
      <c r="AO25" s="119">
        <v>168</v>
      </c>
    </row>
    <row r="26" spans="1:41" x14ac:dyDescent="0.25">
      <c r="A26" s="119" t="s">
        <v>71</v>
      </c>
      <c r="B26" s="111">
        <v>30.434782608695652</v>
      </c>
      <c r="C26" s="111">
        <v>44.475138121546962</v>
      </c>
      <c r="D26" s="111">
        <v>30.420711974110031</v>
      </c>
      <c r="E26" s="111">
        <v>70.731707317073173</v>
      </c>
      <c r="F26" s="111">
        <v>58.333333333333336</v>
      </c>
      <c r="G26" s="111">
        <v>62.909090909090907</v>
      </c>
      <c r="H26" s="111">
        <v>37.398373983739837</v>
      </c>
      <c r="I26" s="111">
        <v>31.818181818181817</v>
      </c>
      <c r="J26" s="111">
        <v>30.555555555555557</v>
      </c>
      <c r="K26" s="111">
        <v>26.666666666666668</v>
      </c>
      <c r="L26" s="111">
        <v>21.830985915492956</v>
      </c>
      <c r="M26" s="111">
        <v>21.014492753623188</v>
      </c>
      <c r="N26" s="111">
        <v>17.567567567567568</v>
      </c>
      <c r="O26" s="111">
        <v>47.95918367346939</v>
      </c>
      <c r="P26" s="111">
        <v>22.61904761904762</v>
      </c>
      <c r="Q26" s="111">
        <v>30.120481927710845</v>
      </c>
      <c r="R26" s="111">
        <v>22.5</v>
      </c>
      <c r="S26" s="111">
        <v>27.058823529411764</v>
      </c>
      <c r="T26" s="111">
        <v>67.073170731707322</v>
      </c>
      <c r="U26" s="111">
        <v>79.354838709677423</v>
      </c>
      <c r="V26" s="111">
        <v>84.357541899441344</v>
      </c>
      <c r="W26" s="111">
        <v>83.62573099415205</v>
      </c>
      <c r="X26" s="111">
        <v>78.735632183908052</v>
      </c>
      <c r="Y26" s="111">
        <v>69.743589743589737</v>
      </c>
      <c r="Z26" s="111">
        <v>55.357142857142854</v>
      </c>
      <c r="AA26" s="111">
        <v>53.921568627450981</v>
      </c>
      <c r="AB26" s="111">
        <v>52.991452991452988</v>
      </c>
      <c r="AC26" s="111">
        <v>61.53846153846154</v>
      </c>
      <c r="AD26" s="111">
        <v>74.662162162162161</v>
      </c>
      <c r="AE26" s="111">
        <v>90.136986301369859</v>
      </c>
      <c r="AF26" s="111">
        <v>75.949367088607602</v>
      </c>
      <c r="AG26" s="111">
        <v>72.256097560975604</v>
      </c>
      <c r="AH26" s="111">
        <v>55.633802816901408</v>
      </c>
      <c r="AI26" s="111">
        <v>40.972222222222221</v>
      </c>
      <c r="AJ26" s="111">
        <v>44.852941176470587</v>
      </c>
      <c r="AK26" s="111">
        <v>43.40836012861736</v>
      </c>
      <c r="AL26" s="111">
        <v>54.60526315789474</v>
      </c>
      <c r="AM26" s="111">
        <v>80.108991825613074</v>
      </c>
      <c r="AN26" s="111">
        <v>76.178010471204189</v>
      </c>
      <c r="AO26" s="119">
        <v>437</v>
      </c>
    </row>
    <row r="27" spans="1:41" x14ac:dyDescent="0.25">
      <c r="A27" s="119" t="s">
        <v>10</v>
      </c>
      <c r="B27" s="111">
        <v>47</v>
      </c>
      <c r="C27" s="111">
        <v>63.636363636363633</v>
      </c>
      <c r="D27" s="111">
        <v>26.543209876543209</v>
      </c>
      <c r="E27" s="111">
        <v>69.736842105263165</v>
      </c>
      <c r="F27" s="111">
        <v>70.454545454545453</v>
      </c>
      <c r="G27" s="111">
        <v>65.765765765765764</v>
      </c>
      <c r="H27" s="111">
        <v>73.84615384615384</v>
      </c>
      <c r="I27" s="111">
        <v>53.125</v>
      </c>
      <c r="J27" s="111">
        <v>31.428571428571427</v>
      </c>
      <c r="K27" s="111">
        <v>46.987951807228917</v>
      </c>
      <c r="L27" s="111">
        <v>38.554216867469883</v>
      </c>
      <c r="M27" s="111">
        <v>63.218390804597703</v>
      </c>
      <c r="N27" s="111">
        <v>23.529411764705884</v>
      </c>
      <c r="O27" s="111">
        <v>44.897959183673471</v>
      </c>
      <c r="P27" s="111">
        <v>20</v>
      </c>
      <c r="Q27" s="111">
        <v>43.902439024390247</v>
      </c>
      <c r="R27" s="111">
        <v>28.125</v>
      </c>
      <c r="S27" s="111">
        <v>30</v>
      </c>
      <c r="T27" s="111">
        <v>81.25</v>
      </c>
      <c r="U27" s="111">
        <v>92.660550458715591</v>
      </c>
      <c r="V27" s="111">
        <v>90.909090909090907</v>
      </c>
      <c r="W27" s="111">
        <v>86.36363636363636</v>
      </c>
      <c r="X27" s="111">
        <v>80.582524271844662</v>
      </c>
      <c r="Y27" s="111">
        <v>66.265060240963862</v>
      </c>
      <c r="Z27" s="111">
        <v>64.705882352941174</v>
      </c>
      <c r="AA27" s="111">
        <v>65.384615384615387</v>
      </c>
      <c r="AB27" s="111">
        <v>64.285714285714292</v>
      </c>
      <c r="AC27" s="111">
        <v>74.444444444444443</v>
      </c>
      <c r="AD27" s="111">
        <v>79.617834394904463</v>
      </c>
      <c r="AE27" s="111">
        <v>86.740331491712709</v>
      </c>
      <c r="AF27" s="111">
        <v>60.975609756097562</v>
      </c>
      <c r="AG27" s="111">
        <v>62.601626016260163</v>
      </c>
      <c r="AH27" s="111">
        <v>46.268656716417908</v>
      </c>
      <c r="AI27" s="111">
        <v>34.848484848484851</v>
      </c>
      <c r="AJ27" s="111">
        <v>38.271604938271608</v>
      </c>
      <c r="AK27" s="111">
        <v>10.596026490066226</v>
      </c>
      <c r="AL27" s="111">
        <v>58.620689655172413</v>
      </c>
      <c r="AM27" s="111">
        <v>81.666666666666671</v>
      </c>
      <c r="AN27" s="111">
        <v>85.561497326203209</v>
      </c>
      <c r="AO27" s="119">
        <v>219</v>
      </c>
    </row>
    <row r="28" spans="1:41" x14ac:dyDescent="0.25">
      <c r="A28" s="119" t="s">
        <v>56</v>
      </c>
      <c r="B28" s="111">
        <v>17.159763313609467</v>
      </c>
      <c r="C28" s="111">
        <v>46.913580246913583</v>
      </c>
      <c r="D28" s="111">
        <v>63.576158940397349</v>
      </c>
      <c r="E28" s="111">
        <v>79.220779220779221</v>
      </c>
      <c r="F28" s="111">
        <v>61.643835616438359</v>
      </c>
      <c r="G28" s="111">
        <v>48.35164835164835</v>
      </c>
      <c r="H28" s="111">
        <v>41.333333333333336</v>
      </c>
      <c r="I28" s="111">
        <v>42.168674698795179</v>
      </c>
      <c r="J28" s="111">
        <v>30.508474576271187</v>
      </c>
      <c r="K28" s="111">
        <v>26.436781609195403</v>
      </c>
      <c r="L28" s="111">
        <v>26.744186046511629</v>
      </c>
      <c r="M28" s="111">
        <v>38.46153846153846</v>
      </c>
      <c r="N28" s="111">
        <v>16.666666666666668</v>
      </c>
      <c r="O28" s="111">
        <v>42.307692307692307</v>
      </c>
      <c r="P28" s="111">
        <v>39.534883720930232</v>
      </c>
      <c r="Q28" s="111">
        <v>43.39622641509434</v>
      </c>
      <c r="R28" s="111">
        <v>23.255813953488371</v>
      </c>
      <c r="S28" s="111">
        <v>29.62962962962963</v>
      </c>
      <c r="T28" s="111">
        <v>72.826086956521735</v>
      </c>
      <c r="U28" s="111">
        <v>86</v>
      </c>
      <c r="V28" s="111">
        <v>87.735849056603769</v>
      </c>
      <c r="W28" s="111">
        <v>80.769230769230774</v>
      </c>
      <c r="X28" s="111">
        <v>90.909090909090907</v>
      </c>
      <c r="Y28" s="111">
        <v>84.482758620689651</v>
      </c>
      <c r="Z28" s="111">
        <v>67.123287671232873</v>
      </c>
      <c r="AA28" s="111">
        <v>64.15094339622641</v>
      </c>
      <c r="AB28" s="111">
        <v>49.152542372881356</v>
      </c>
      <c r="AC28" s="111">
        <v>60.919540229885058</v>
      </c>
      <c r="AD28" s="111">
        <v>81.538461538461533</v>
      </c>
      <c r="AE28" s="111">
        <v>90.728476821192046</v>
      </c>
      <c r="AF28" s="111">
        <v>54.954954954954957</v>
      </c>
      <c r="AG28" s="111">
        <v>91.724137931034477</v>
      </c>
      <c r="AH28" s="111">
        <v>54.216867469879517</v>
      </c>
      <c r="AI28" s="111">
        <v>53.409090909090907</v>
      </c>
      <c r="AJ28" s="111">
        <v>56.790123456790127</v>
      </c>
      <c r="AK28" s="111">
        <v>22.881355932203391</v>
      </c>
      <c r="AL28" s="111">
        <v>58.94736842105263</v>
      </c>
      <c r="AM28" s="111">
        <v>76.470588235294116</v>
      </c>
      <c r="AN28" s="111">
        <v>75.159235668789805</v>
      </c>
      <c r="AO28" s="119">
        <v>179</v>
      </c>
    </row>
    <row r="29" spans="1:41" x14ac:dyDescent="0.25">
      <c r="A29" s="119" t="s">
        <v>11</v>
      </c>
      <c r="B29" s="111">
        <v>23.272727272727273</v>
      </c>
      <c r="C29" s="111">
        <v>35.621521335807053</v>
      </c>
      <c r="D29" s="111">
        <v>32.567849686847602</v>
      </c>
      <c r="E29" s="111">
        <v>70.744680851063833</v>
      </c>
      <c r="F29" s="111">
        <v>58.904109589041099</v>
      </c>
      <c r="G29" s="111">
        <v>53.708439897698213</v>
      </c>
      <c r="H29" s="111">
        <v>28.901734104046241</v>
      </c>
      <c r="I29" s="111">
        <v>29.19254658385093</v>
      </c>
      <c r="J29" s="111">
        <v>15.340909090909092</v>
      </c>
      <c r="K29" s="111">
        <v>20</v>
      </c>
      <c r="L29" s="111">
        <v>15.458937198067632</v>
      </c>
      <c r="M29" s="111">
        <v>21.782178217821784</v>
      </c>
      <c r="N29" s="111">
        <v>16.666666666666668</v>
      </c>
      <c r="O29" s="111">
        <v>41.666666666666664</v>
      </c>
      <c r="P29" s="111">
        <v>21.969696969696969</v>
      </c>
      <c r="Q29" s="111">
        <v>29.411764705882351</v>
      </c>
      <c r="R29" s="111">
        <v>17.647058823529413</v>
      </c>
      <c r="S29" s="111">
        <v>23.668639053254438</v>
      </c>
      <c r="T29" s="111">
        <v>68.320610687022906</v>
      </c>
      <c r="U29" s="111">
        <v>74.193548387096769</v>
      </c>
      <c r="V29" s="111">
        <v>83.754512635379058</v>
      </c>
      <c r="W29" s="111">
        <v>83.141762452107287</v>
      </c>
      <c r="X29" s="111">
        <v>80.620155038759691</v>
      </c>
      <c r="Y29" s="111">
        <v>71.936758893280626</v>
      </c>
      <c r="Z29" s="111">
        <v>46.428571428571431</v>
      </c>
      <c r="AA29" s="111">
        <v>48.80952380952381</v>
      </c>
      <c r="AB29" s="111">
        <v>35.326086956521742</v>
      </c>
      <c r="AC29" s="111">
        <v>50.657894736842103</v>
      </c>
      <c r="AD29" s="111">
        <v>70.78947368421052</v>
      </c>
      <c r="AE29" s="111">
        <v>91.036906854130052</v>
      </c>
      <c r="AF29" s="111">
        <v>79.218106995884767</v>
      </c>
      <c r="AG29" s="111">
        <v>75.896414342629484</v>
      </c>
      <c r="AH29" s="111">
        <v>52.736318407960198</v>
      </c>
      <c r="AI29" s="111">
        <v>41.85022026431718</v>
      </c>
      <c r="AJ29" s="111">
        <v>40.72164948453608</v>
      </c>
      <c r="AK29" s="111">
        <v>46.972477064220186</v>
      </c>
      <c r="AL29" s="111">
        <v>49.074074074074076</v>
      </c>
      <c r="AM29" s="111">
        <v>79.143389199255125</v>
      </c>
      <c r="AN29" s="111">
        <v>77.622377622377627</v>
      </c>
      <c r="AO29" s="119">
        <v>639</v>
      </c>
    </row>
    <row r="30" spans="1:41" x14ac:dyDescent="0.25">
      <c r="A30" s="119" t="s">
        <v>58</v>
      </c>
      <c r="B30" s="111">
        <v>25.242718446601941</v>
      </c>
      <c r="C30" s="111">
        <v>63.106796116504853</v>
      </c>
      <c r="D30" s="111">
        <v>52.873563218390807</v>
      </c>
      <c r="E30" s="111">
        <v>82.926829268292678</v>
      </c>
      <c r="F30" s="111">
        <v>70.731707317073173</v>
      </c>
      <c r="G30" s="111">
        <v>44.444444444444443</v>
      </c>
      <c r="H30" s="111">
        <v>55.263157894736842</v>
      </c>
      <c r="I30" s="111">
        <v>23.333333333333332</v>
      </c>
      <c r="J30" s="111">
        <v>39.393939393939391</v>
      </c>
      <c r="K30" s="111">
        <v>39.473684210526315</v>
      </c>
      <c r="L30" s="111">
        <v>38.235294117647058</v>
      </c>
      <c r="M30" s="111">
        <v>51.219512195121951</v>
      </c>
      <c r="N30" s="111">
        <v>36</v>
      </c>
      <c r="O30" s="111">
        <v>61.764705882352942</v>
      </c>
      <c r="P30" s="111">
        <v>42.307692307692307</v>
      </c>
      <c r="Q30" s="111">
        <v>50</v>
      </c>
      <c r="R30" s="111">
        <v>26.923076923076923</v>
      </c>
      <c r="S30" s="111">
        <v>31.03448275862069</v>
      </c>
      <c r="T30" s="111">
        <v>83.018867924528308</v>
      </c>
      <c r="U30" s="111">
        <v>81.632653061224488</v>
      </c>
      <c r="V30" s="111">
        <v>84.905660377358487</v>
      </c>
      <c r="W30" s="111">
        <v>82.692307692307693</v>
      </c>
      <c r="X30" s="111">
        <v>84.615384615384613</v>
      </c>
      <c r="Y30" s="111">
        <v>37.5</v>
      </c>
      <c r="Z30" s="111">
        <v>65.714285714285708</v>
      </c>
      <c r="AA30" s="111">
        <v>70.588235294117652</v>
      </c>
      <c r="AB30" s="111">
        <v>80.487804878048777</v>
      </c>
      <c r="AC30" s="111">
        <v>74</v>
      </c>
      <c r="AD30" s="111">
        <v>86.419753086419746</v>
      </c>
      <c r="AE30" s="111">
        <v>91.397849462365585</v>
      </c>
      <c r="AF30" s="111">
        <v>61.194029850746269</v>
      </c>
      <c r="AG30" s="111">
        <v>69.135802469135797</v>
      </c>
      <c r="AH30" s="111">
        <v>56.25</v>
      </c>
      <c r="AI30" s="111">
        <v>60</v>
      </c>
      <c r="AJ30" s="111">
        <v>62</v>
      </c>
      <c r="AK30" s="111">
        <v>25</v>
      </c>
      <c r="AL30" s="111">
        <v>66.666666666666671</v>
      </c>
      <c r="AM30" s="111">
        <v>79.381443298969074</v>
      </c>
      <c r="AN30" s="111">
        <v>82.978723404255319</v>
      </c>
      <c r="AO30" s="119">
        <v>114</v>
      </c>
    </row>
    <row r="31" spans="1:41" x14ac:dyDescent="0.25">
      <c r="A31" s="119" t="s">
        <v>59</v>
      </c>
      <c r="B31" s="111">
        <v>53.623188405797102</v>
      </c>
      <c r="C31" s="111">
        <v>62.790697674418603</v>
      </c>
      <c r="D31" s="111">
        <v>48.672566371681413</v>
      </c>
      <c r="E31" s="111">
        <v>86.04651162790698</v>
      </c>
      <c r="F31" s="111">
        <v>81.25</v>
      </c>
      <c r="G31" s="111">
        <v>59.154929577464792</v>
      </c>
      <c r="H31" s="111">
        <v>54.545454545454547</v>
      </c>
      <c r="I31" s="111">
        <v>56.666666666666664</v>
      </c>
      <c r="J31" s="111">
        <v>41.176470588235297</v>
      </c>
      <c r="K31" s="111">
        <v>36.619718309859152</v>
      </c>
      <c r="L31" s="111">
        <v>36.231884057971016</v>
      </c>
      <c r="M31" s="111">
        <v>48.529411764705884</v>
      </c>
      <c r="N31" s="111">
        <v>30.303030303030305</v>
      </c>
      <c r="O31" s="111">
        <v>58.333333333333336</v>
      </c>
      <c r="P31" s="111">
        <v>41.935483870967744</v>
      </c>
      <c r="Q31" s="111">
        <v>55.813953488372093</v>
      </c>
      <c r="R31" s="111">
        <v>36.666666666666664</v>
      </c>
      <c r="S31" s="111">
        <v>47.368421052631582</v>
      </c>
      <c r="T31" s="111">
        <v>79.6875</v>
      </c>
      <c r="U31" s="111">
        <v>84.848484848484844</v>
      </c>
      <c r="V31" s="111">
        <v>83.582089552238813</v>
      </c>
      <c r="W31" s="111">
        <v>86.36363636363636</v>
      </c>
      <c r="X31" s="111">
        <v>78.461538461538467</v>
      </c>
      <c r="Y31" s="111">
        <v>32.857142857142854</v>
      </c>
      <c r="Z31" s="111">
        <v>55.555555555555557</v>
      </c>
      <c r="AA31" s="111">
        <v>61.111111111111114</v>
      </c>
      <c r="AB31" s="111">
        <v>55.357142857142854</v>
      </c>
      <c r="AC31" s="111">
        <v>72.857142857142861</v>
      </c>
      <c r="AD31" s="111">
        <v>77.570093457943926</v>
      </c>
      <c r="AE31" s="111">
        <v>89.922480620155042</v>
      </c>
      <c r="AF31" s="111">
        <v>57.692307692307693</v>
      </c>
      <c r="AG31" s="111">
        <v>69.298245614035082</v>
      </c>
      <c r="AH31" s="111">
        <v>52.459016393442624</v>
      </c>
      <c r="AI31" s="111">
        <v>42.028985507246375</v>
      </c>
      <c r="AJ31" s="111">
        <v>64.102564102564102</v>
      </c>
      <c r="AK31" s="111">
        <v>25.263157894736842</v>
      </c>
      <c r="AL31" s="111">
        <v>61.842105263157897</v>
      </c>
      <c r="AM31" s="111">
        <v>83.59375</v>
      </c>
      <c r="AN31" s="111">
        <v>83.84615384615384</v>
      </c>
      <c r="AO31" s="119">
        <v>143</v>
      </c>
    </row>
    <row r="32" spans="1:41" x14ac:dyDescent="0.25">
      <c r="A32" s="119" t="s">
        <v>60</v>
      </c>
      <c r="B32" s="111">
        <v>70.542635658914733</v>
      </c>
      <c r="C32" s="111">
        <v>82.539682539682545</v>
      </c>
      <c r="D32" s="111">
        <v>72.033898305084747</v>
      </c>
      <c r="E32" s="111">
        <v>86.666666666666671</v>
      </c>
      <c r="F32" s="111">
        <v>69.230769230769226</v>
      </c>
      <c r="G32" s="111">
        <v>46.875</v>
      </c>
      <c r="H32" s="111">
        <v>52.38095238095238</v>
      </c>
      <c r="I32" s="111">
        <v>38.46153846153846</v>
      </c>
      <c r="J32" s="111">
        <v>38.70967741935484</v>
      </c>
      <c r="K32" s="111">
        <v>56.140350877192979</v>
      </c>
      <c r="L32" s="111">
        <v>43.39622641509434</v>
      </c>
      <c r="M32" s="111">
        <v>57.407407407407405</v>
      </c>
      <c r="N32" s="111">
        <v>35.483870967741936</v>
      </c>
      <c r="O32" s="111">
        <v>48.571428571428569</v>
      </c>
      <c r="P32" s="111">
        <v>26.666666666666668</v>
      </c>
      <c r="Q32" s="111">
        <v>40</v>
      </c>
      <c r="R32" s="111">
        <v>38.70967741935484</v>
      </c>
      <c r="S32" s="111">
        <v>31.25</v>
      </c>
      <c r="T32" s="111">
        <v>88</v>
      </c>
      <c r="U32" s="111">
        <v>88.732394366197184</v>
      </c>
      <c r="V32" s="111">
        <v>89.743589743589737</v>
      </c>
      <c r="W32" s="111">
        <v>90.410958904109592</v>
      </c>
      <c r="X32" s="111">
        <v>82.857142857142861</v>
      </c>
      <c r="Y32" s="111">
        <v>30.508474576271187</v>
      </c>
      <c r="Z32" s="111">
        <v>74</v>
      </c>
      <c r="AA32" s="111">
        <v>70.731707317073173</v>
      </c>
      <c r="AB32" s="111">
        <v>71.929824561403507</v>
      </c>
      <c r="AC32" s="111">
        <v>72.727272727272734</v>
      </c>
      <c r="AD32" s="111">
        <v>78.723404255319153</v>
      </c>
      <c r="AE32" s="111">
        <v>89.473684210526315</v>
      </c>
      <c r="AF32" s="111">
        <v>73.958333333333329</v>
      </c>
      <c r="AG32" s="111">
        <v>83.962264150943398</v>
      </c>
      <c r="AH32" s="111">
        <v>59.420289855072461</v>
      </c>
      <c r="AI32" s="111">
        <v>36.92307692307692</v>
      </c>
      <c r="AJ32" s="111">
        <v>59.25925925925926</v>
      </c>
      <c r="AK32" s="111">
        <v>41.48936170212766</v>
      </c>
      <c r="AL32" s="111">
        <v>72.5</v>
      </c>
      <c r="AM32" s="111">
        <v>76.422764227642276</v>
      </c>
      <c r="AN32" s="111">
        <v>62.096774193548384</v>
      </c>
      <c r="AO32" s="119">
        <v>144</v>
      </c>
    </row>
    <row r="33" spans="1:41" x14ac:dyDescent="0.25">
      <c r="A33" s="119" t="s">
        <v>12</v>
      </c>
      <c r="B33" s="111">
        <v>32.283464566929133</v>
      </c>
      <c r="C33" s="111">
        <v>51.282051282051285</v>
      </c>
      <c r="D33" s="111">
        <v>65.306122448979593</v>
      </c>
      <c r="E33" s="111">
        <v>82.051282051282058</v>
      </c>
      <c r="F33" s="111">
        <v>77.551020408163268</v>
      </c>
      <c r="G33" s="111">
        <v>43.548387096774192</v>
      </c>
      <c r="H33" s="111">
        <v>46.153846153846153</v>
      </c>
      <c r="I33" s="111">
        <v>41.81818181818182</v>
      </c>
      <c r="J33" s="111">
        <v>44.444444444444443</v>
      </c>
      <c r="K33" s="111">
        <v>54.6875</v>
      </c>
      <c r="L33" s="111">
        <v>44.444444444444443</v>
      </c>
      <c r="M33" s="111">
        <v>34.920634920634917</v>
      </c>
      <c r="N33" s="111">
        <v>31.428571428571427</v>
      </c>
      <c r="O33" s="111">
        <v>42.424242424242422</v>
      </c>
      <c r="P33" s="111">
        <v>40</v>
      </c>
      <c r="Q33" s="111">
        <v>57.142857142857146</v>
      </c>
      <c r="R33" s="111">
        <v>32.142857142857146</v>
      </c>
      <c r="S33" s="111">
        <v>33.333333333333336</v>
      </c>
      <c r="T33" s="111">
        <v>73.07692307692308</v>
      </c>
      <c r="U33" s="111">
        <v>87.719298245614041</v>
      </c>
      <c r="V33" s="111">
        <v>92.857142857142861</v>
      </c>
      <c r="W33" s="111">
        <v>91.304347826086953</v>
      </c>
      <c r="X33" s="111">
        <v>90.769230769230774</v>
      </c>
      <c r="Y33" s="111">
        <v>54.545454545454547</v>
      </c>
      <c r="Z33" s="111">
        <v>71.739130434782609</v>
      </c>
      <c r="AA33" s="111">
        <v>71.794871794871796</v>
      </c>
      <c r="AB33" s="111">
        <v>68.181818181818187</v>
      </c>
      <c r="AC33" s="111">
        <v>83.870967741935488</v>
      </c>
      <c r="AD33" s="111">
        <v>77.272727272727266</v>
      </c>
      <c r="AE33" s="111">
        <v>86.538461538461533</v>
      </c>
      <c r="AF33" s="111">
        <v>62.820512820512818</v>
      </c>
      <c r="AG33" s="111">
        <v>72.527472527472526</v>
      </c>
      <c r="AH33" s="111">
        <v>47.272727272727273</v>
      </c>
      <c r="AI33" s="111">
        <v>24.590163934426229</v>
      </c>
      <c r="AJ33" s="111">
        <v>29.787234042553191</v>
      </c>
      <c r="AK33" s="111">
        <v>29.487179487179485</v>
      </c>
      <c r="AL33" s="111">
        <v>55.072463768115945</v>
      </c>
      <c r="AM33" s="111">
        <v>69.230769230769226</v>
      </c>
      <c r="AN33" s="111">
        <v>63.793103448275865</v>
      </c>
      <c r="AO33" s="119">
        <v>135</v>
      </c>
    </row>
    <row r="34" spans="1:41" x14ac:dyDescent="0.25">
      <c r="A34" s="119" t="s">
        <v>61</v>
      </c>
      <c r="B34" s="111">
        <v>36.231884057971016</v>
      </c>
      <c r="C34" s="111">
        <v>58.854166666666664</v>
      </c>
      <c r="D34" s="111">
        <v>57.89473684210526</v>
      </c>
      <c r="E34" s="111">
        <v>84.313725490196077</v>
      </c>
      <c r="F34" s="111">
        <v>68.115942028985501</v>
      </c>
      <c r="G34" s="111">
        <v>62.5</v>
      </c>
      <c r="H34" s="111">
        <v>52.272727272727273</v>
      </c>
      <c r="I34" s="111">
        <v>47.368421052631582</v>
      </c>
      <c r="J34" s="111">
        <v>40</v>
      </c>
      <c r="K34" s="111">
        <v>51.020408163265309</v>
      </c>
      <c r="L34" s="111">
        <v>35.714285714285715</v>
      </c>
      <c r="M34" s="111">
        <v>51.92307692307692</v>
      </c>
      <c r="N34" s="111">
        <v>29.62962962962963</v>
      </c>
      <c r="O34" s="111">
        <v>65.714285714285708</v>
      </c>
      <c r="P34" s="111">
        <v>51.612903225806448</v>
      </c>
      <c r="Q34" s="111">
        <v>58.823529411764703</v>
      </c>
      <c r="R34" s="111">
        <v>40.909090909090907</v>
      </c>
      <c r="S34" s="111">
        <v>44.827586206896555</v>
      </c>
      <c r="T34" s="111">
        <v>79.487179487179489</v>
      </c>
      <c r="U34" s="111">
        <v>83.950617283950621</v>
      </c>
      <c r="V34" s="111">
        <v>88.541666666666671</v>
      </c>
      <c r="W34" s="111">
        <v>80.851063829787236</v>
      </c>
      <c r="X34" s="111">
        <v>89.411764705882348</v>
      </c>
      <c r="Y34" s="111">
        <v>82.142857142857139</v>
      </c>
      <c r="Z34" s="111">
        <v>64.583333333333329</v>
      </c>
      <c r="AA34" s="111">
        <v>70</v>
      </c>
      <c r="AB34" s="111">
        <v>73.07692307692308</v>
      </c>
      <c r="AC34" s="111">
        <v>62.162162162162161</v>
      </c>
      <c r="AD34" s="111">
        <v>86.821705426356587</v>
      </c>
      <c r="AE34" s="111">
        <v>95.192307692307693</v>
      </c>
      <c r="AF34" s="111">
        <v>72</v>
      </c>
      <c r="AG34" s="111">
        <v>83.720930232558146</v>
      </c>
      <c r="AH34" s="111">
        <v>74.137931034482762</v>
      </c>
      <c r="AI34" s="111">
        <v>32.142857142857146</v>
      </c>
      <c r="AJ34" s="111">
        <v>52.702702702702702</v>
      </c>
      <c r="AK34" s="111">
        <v>73.096446700507613</v>
      </c>
      <c r="AL34" s="111">
        <v>71.014492753623188</v>
      </c>
      <c r="AM34" s="111">
        <v>84.331797235023046</v>
      </c>
      <c r="AN34" s="111">
        <v>75.336322869955154</v>
      </c>
      <c r="AO34" s="119">
        <v>248</v>
      </c>
    </row>
    <row r="35" spans="1:41" x14ac:dyDescent="0.25">
      <c r="A35" s="119" t="s">
        <v>62</v>
      </c>
      <c r="B35" s="111">
        <v>78.504672897196258</v>
      </c>
      <c r="C35" s="111">
        <v>79</v>
      </c>
      <c r="D35" s="111">
        <v>65.555555555555557</v>
      </c>
      <c r="E35" s="111">
        <v>86.666666666666671</v>
      </c>
      <c r="F35" s="111">
        <v>80.434782608695656</v>
      </c>
      <c r="G35" s="111">
        <v>55.769230769230766</v>
      </c>
      <c r="H35" s="111">
        <v>69.230769230769226</v>
      </c>
      <c r="I35" s="111">
        <v>43.75</v>
      </c>
      <c r="J35" s="111">
        <v>55.882352941176471</v>
      </c>
      <c r="K35" s="111">
        <v>34.782608695652172</v>
      </c>
      <c r="L35" s="111">
        <v>44.186046511627907</v>
      </c>
      <c r="M35" s="111">
        <v>60.377358490566039</v>
      </c>
      <c r="N35" s="111">
        <v>35.714285714285715</v>
      </c>
      <c r="O35" s="111">
        <v>61.764705882352942</v>
      </c>
      <c r="P35" s="111">
        <v>48.148148148148145</v>
      </c>
      <c r="Q35" s="111">
        <v>53.125</v>
      </c>
      <c r="R35" s="111">
        <v>38.095238095238095</v>
      </c>
      <c r="S35" s="111">
        <v>46.428571428571431</v>
      </c>
      <c r="T35" s="111">
        <v>80</v>
      </c>
      <c r="U35" s="111">
        <v>86.538461538461533</v>
      </c>
      <c r="V35" s="111">
        <v>91.803278688524586</v>
      </c>
      <c r="W35" s="111">
        <v>90</v>
      </c>
      <c r="X35" s="111">
        <v>90.476190476190482</v>
      </c>
      <c r="Y35" s="111">
        <v>17.073170731707318</v>
      </c>
      <c r="Z35" s="111">
        <v>61.904761904761905</v>
      </c>
      <c r="AA35" s="111">
        <v>64.705882352941174</v>
      </c>
      <c r="AB35" s="111">
        <v>56.756756756756758</v>
      </c>
      <c r="AC35" s="111">
        <v>68.518518518518519</v>
      </c>
      <c r="AD35" s="111">
        <v>79.220779220779221</v>
      </c>
      <c r="AE35" s="111">
        <v>86.597938144329902</v>
      </c>
      <c r="AF35" s="111">
        <v>69.047619047619051</v>
      </c>
      <c r="AG35" s="111">
        <v>84.090909090909093</v>
      </c>
      <c r="AH35" s="111">
        <v>56.363636363636367</v>
      </c>
      <c r="AI35" s="111">
        <v>38.596491228070178</v>
      </c>
      <c r="AJ35" s="111">
        <v>48.936170212765958</v>
      </c>
      <c r="AK35" s="111">
        <v>10.256410256410257</v>
      </c>
      <c r="AL35" s="111">
        <v>81.428571428571431</v>
      </c>
      <c r="AM35" s="111">
        <v>85.4368932038835</v>
      </c>
      <c r="AN35" s="111">
        <v>82</v>
      </c>
      <c r="AO35" s="119">
        <v>115</v>
      </c>
    </row>
    <row r="36" spans="1:41" x14ac:dyDescent="0.25">
      <c r="A36" s="119" t="s">
        <v>23</v>
      </c>
      <c r="B36" s="111">
        <v>34.40514469453376</v>
      </c>
      <c r="C36" s="111">
        <v>52.127659574468083</v>
      </c>
      <c r="D36" s="111">
        <v>59.362549800796813</v>
      </c>
      <c r="E36" s="111">
        <v>65.555555555555557</v>
      </c>
      <c r="F36" s="111">
        <v>66.34615384615384</v>
      </c>
      <c r="G36" s="111">
        <v>60.386473429951693</v>
      </c>
      <c r="H36" s="111">
        <v>37.078651685393261</v>
      </c>
      <c r="I36" s="111">
        <v>25.641025641025642</v>
      </c>
      <c r="J36" s="111">
        <v>37.931034482758619</v>
      </c>
      <c r="K36" s="111">
        <v>28.260869565217391</v>
      </c>
      <c r="L36" s="111">
        <v>25.714285714285715</v>
      </c>
      <c r="M36" s="111">
        <v>29.62962962962963</v>
      </c>
      <c r="N36" s="111">
        <v>17.241379310344829</v>
      </c>
      <c r="O36" s="111">
        <v>45.454545454545453</v>
      </c>
      <c r="P36" s="111">
        <v>27.118644067796609</v>
      </c>
      <c r="Q36" s="111">
        <v>32.89473684210526</v>
      </c>
      <c r="R36" s="111">
        <v>18.032786885245901</v>
      </c>
      <c r="S36" s="111">
        <v>20.547945205479451</v>
      </c>
      <c r="T36" s="111">
        <v>72.847682119205302</v>
      </c>
      <c r="U36" s="111">
        <v>78.523489932885909</v>
      </c>
      <c r="V36" s="111">
        <v>81.502890173410407</v>
      </c>
      <c r="W36" s="111">
        <v>80.722891566265062</v>
      </c>
      <c r="X36" s="111">
        <v>80.368098159509202</v>
      </c>
      <c r="Y36" s="111">
        <v>61.875</v>
      </c>
      <c r="Z36" s="111">
        <v>39.772727272727273</v>
      </c>
      <c r="AA36" s="111">
        <v>43.820224719101127</v>
      </c>
      <c r="AB36" s="111">
        <v>56.756756756756758</v>
      </c>
      <c r="AC36" s="111">
        <v>55.223880597014926</v>
      </c>
      <c r="AD36" s="111">
        <v>69.957081545064383</v>
      </c>
      <c r="AE36" s="111">
        <v>86.281588447653434</v>
      </c>
      <c r="AF36" s="111">
        <v>63.725490196078432</v>
      </c>
      <c r="AG36" s="111">
        <v>71.078431372549019</v>
      </c>
      <c r="AH36" s="111">
        <v>43.333333333333336</v>
      </c>
      <c r="AI36" s="111">
        <v>30.075187969924812</v>
      </c>
      <c r="AJ36" s="111">
        <v>41.95804195804196</v>
      </c>
      <c r="AK36" s="111">
        <v>17.2</v>
      </c>
      <c r="AL36" s="111">
        <v>28.666666666666668</v>
      </c>
      <c r="AM36" s="111">
        <v>74.914089347079042</v>
      </c>
      <c r="AN36" s="111">
        <v>73</v>
      </c>
      <c r="AO36" s="119">
        <v>348</v>
      </c>
    </row>
    <row r="37" spans="1:41" x14ac:dyDescent="0.25">
      <c r="A37" s="119" t="s">
        <v>13</v>
      </c>
      <c r="B37" s="111">
        <v>55.693581780538302</v>
      </c>
      <c r="C37" s="111">
        <v>67.928730512249444</v>
      </c>
      <c r="D37" s="111">
        <v>43.367346938775512</v>
      </c>
      <c r="E37" s="111">
        <v>72.602739726027394</v>
      </c>
      <c r="F37" s="111">
        <v>69.090909090909093</v>
      </c>
      <c r="G37" s="111">
        <v>66.666666666666671</v>
      </c>
      <c r="H37" s="111">
        <v>48.07692307692308</v>
      </c>
      <c r="I37" s="111">
        <v>45.333333333333336</v>
      </c>
      <c r="J37" s="111">
        <v>44.144144144144143</v>
      </c>
      <c r="K37" s="111">
        <v>18.285714285714285</v>
      </c>
      <c r="L37" s="111">
        <v>16.402116402116402</v>
      </c>
      <c r="M37" s="111">
        <v>26.903553299492387</v>
      </c>
      <c r="N37" s="111">
        <v>25</v>
      </c>
      <c r="O37" s="111">
        <v>50.892857142857146</v>
      </c>
      <c r="P37" s="111">
        <v>25.490196078431371</v>
      </c>
      <c r="Q37" s="111">
        <v>43.589743589743591</v>
      </c>
      <c r="R37" s="111">
        <v>34.782608695652172</v>
      </c>
      <c r="S37" s="111">
        <v>22.680412371134022</v>
      </c>
      <c r="T37" s="111">
        <v>75.490196078431367</v>
      </c>
      <c r="U37" s="111">
        <v>82.383419689119165</v>
      </c>
      <c r="V37" s="111">
        <v>86.79245283018868</v>
      </c>
      <c r="W37" s="111">
        <v>87.5</v>
      </c>
      <c r="X37" s="111">
        <v>90.049751243781088</v>
      </c>
      <c r="Y37" s="111">
        <v>78.260869565217391</v>
      </c>
      <c r="Z37" s="111">
        <v>63.779527559055119</v>
      </c>
      <c r="AA37" s="111">
        <v>66.379310344827587</v>
      </c>
      <c r="AB37" s="111">
        <v>64.444444444444443</v>
      </c>
      <c r="AC37" s="111">
        <v>55.151515151515149</v>
      </c>
      <c r="AD37" s="111">
        <v>78.59327217125383</v>
      </c>
      <c r="AE37" s="111">
        <v>88.235294117647058</v>
      </c>
      <c r="AF37" s="111">
        <v>71.17647058823529</v>
      </c>
      <c r="AG37" s="111">
        <v>80.152671755725194</v>
      </c>
      <c r="AH37" s="111">
        <v>54.285714285714285</v>
      </c>
      <c r="AI37" s="111">
        <v>42.95774647887324</v>
      </c>
      <c r="AJ37" s="111">
        <v>56.551724137931032</v>
      </c>
      <c r="AK37" s="111">
        <v>18.010752688172044</v>
      </c>
      <c r="AL37" s="111">
        <v>47.904191616766468</v>
      </c>
      <c r="AM37" s="111">
        <v>79.074889867841406</v>
      </c>
      <c r="AN37" s="111">
        <v>74.242424242424249</v>
      </c>
      <c r="AO37" s="119">
        <v>525</v>
      </c>
    </row>
    <row r="38" spans="1:41" x14ac:dyDescent="0.25">
      <c r="A38" s="119" t="s">
        <v>14</v>
      </c>
      <c r="B38" s="111">
        <v>50.364963503649633</v>
      </c>
      <c r="C38" s="111">
        <v>62.698412698412696</v>
      </c>
      <c r="D38" s="111">
        <v>54.621848739495796</v>
      </c>
      <c r="E38" s="111">
        <v>70.454545454545453</v>
      </c>
      <c r="F38" s="111">
        <v>59.574468085106382</v>
      </c>
      <c r="G38" s="111">
        <v>58.18181818181818</v>
      </c>
      <c r="H38" s="111">
        <v>40</v>
      </c>
      <c r="I38" s="111">
        <v>32</v>
      </c>
      <c r="J38" s="111">
        <v>40</v>
      </c>
      <c r="K38" s="111">
        <v>63.157894736842103</v>
      </c>
      <c r="L38" s="111">
        <v>40</v>
      </c>
      <c r="M38" s="111">
        <v>50</v>
      </c>
      <c r="N38" s="111">
        <v>47.058823529411768</v>
      </c>
      <c r="O38" s="111">
        <v>50</v>
      </c>
      <c r="P38" s="111">
        <v>47.61904761904762</v>
      </c>
      <c r="Q38" s="111">
        <v>38.888888888888886</v>
      </c>
      <c r="R38" s="111">
        <v>41.176470588235297</v>
      </c>
      <c r="S38" s="111">
        <v>38.46153846153846</v>
      </c>
      <c r="T38" s="111">
        <v>79.032258064516128</v>
      </c>
      <c r="U38" s="111">
        <v>82.456140350877192</v>
      </c>
      <c r="V38" s="111">
        <v>79.032258064516128</v>
      </c>
      <c r="W38" s="111">
        <v>69.491525423728817</v>
      </c>
      <c r="X38" s="111">
        <v>72.41379310344827</v>
      </c>
      <c r="Y38" s="111">
        <v>43.243243243243242</v>
      </c>
      <c r="Z38" s="111">
        <v>43.75</v>
      </c>
      <c r="AA38" s="111">
        <v>51.515151515151516</v>
      </c>
      <c r="AB38" s="111">
        <v>73.80952380952381</v>
      </c>
      <c r="AC38" s="111">
        <v>54.761904761904759</v>
      </c>
      <c r="AD38" s="111">
        <v>75.257731958762889</v>
      </c>
      <c r="AE38" s="111">
        <v>88.709677419354833</v>
      </c>
      <c r="AF38" s="111">
        <v>56.98924731182796</v>
      </c>
      <c r="AG38" s="111">
        <v>65.686274509803923</v>
      </c>
      <c r="AH38" s="111">
        <v>41.176470588235297</v>
      </c>
      <c r="AI38" s="111">
        <v>20</v>
      </c>
      <c r="AJ38" s="111">
        <v>33.333333333333336</v>
      </c>
      <c r="AK38" s="111">
        <v>27.559055118110237</v>
      </c>
      <c r="AL38" s="111">
        <v>41.53846153846154</v>
      </c>
      <c r="AM38" s="111">
        <v>79.432624113475171</v>
      </c>
      <c r="AN38" s="111">
        <v>76.978417266187051</v>
      </c>
      <c r="AO38" s="119">
        <v>158</v>
      </c>
    </row>
    <row r="39" spans="1:41" x14ac:dyDescent="0.25">
      <c r="A39" s="119" t="s">
        <v>64</v>
      </c>
      <c r="B39" s="111">
        <v>85.454545454545453</v>
      </c>
      <c r="C39" s="111">
        <v>89.932885906040269</v>
      </c>
      <c r="D39" s="111">
        <v>82.962962962962962</v>
      </c>
      <c r="E39" s="111">
        <v>82.258064516129039</v>
      </c>
      <c r="F39" s="111">
        <v>79.66101694915254</v>
      </c>
      <c r="G39" s="111">
        <v>72.093023255813947</v>
      </c>
      <c r="H39" s="111">
        <v>84.615384615384613</v>
      </c>
      <c r="I39" s="111">
        <v>77.272727272727266</v>
      </c>
      <c r="J39" s="111">
        <v>59.090909090909093</v>
      </c>
      <c r="K39" s="111">
        <v>64.86486486486487</v>
      </c>
      <c r="L39" s="111">
        <v>59.016393442622949</v>
      </c>
      <c r="M39" s="111">
        <v>66.666666666666671</v>
      </c>
      <c r="N39" s="111">
        <v>54.285714285714285</v>
      </c>
      <c r="O39" s="111">
        <v>69.565217391304344</v>
      </c>
      <c r="P39" s="111">
        <v>55.882352941176471</v>
      </c>
      <c r="Q39" s="111">
        <v>61.702127659574465</v>
      </c>
      <c r="R39" s="111">
        <v>50</v>
      </c>
      <c r="S39" s="111">
        <v>47.058823529411768</v>
      </c>
      <c r="T39" s="111">
        <v>80.952380952380949</v>
      </c>
      <c r="U39" s="111">
        <v>91.463414634146346</v>
      </c>
      <c r="V39" s="111">
        <v>89.534883720930239</v>
      </c>
      <c r="W39" s="111">
        <v>86.075949367088612</v>
      </c>
      <c r="X39" s="111">
        <v>89.156626506024097</v>
      </c>
      <c r="Y39" s="111">
        <v>46.031746031746032</v>
      </c>
      <c r="Z39" s="111">
        <v>72.340425531914889</v>
      </c>
      <c r="AA39" s="111">
        <v>65.714285714285708</v>
      </c>
      <c r="AB39" s="111">
        <v>73.469387755102048</v>
      </c>
      <c r="AC39" s="111">
        <v>82.191780821917803</v>
      </c>
      <c r="AD39" s="111">
        <v>83.870967741935488</v>
      </c>
      <c r="AE39" s="111">
        <v>94.074074074074076</v>
      </c>
      <c r="AF39" s="111">
        <v>67.289719626168221</v>
      </c>
      <c r="AG39" s="111">
        <v>77.685950413223139</v>
      </c>
      <c r="AH39" s="111">
        <v>64.0625</v>
      </c>
      <c r="AI39" s="111">
        <v>60.24096385542169</v>
      </c>
      <c r="AJ39" s="111">
        <v>74.074074074074076</v>
      </c>
      <c r="AK39" s="111">
        <v>16.814159292035399</v>
      </c>
      <c r="AL39" s="111">
        <v>71.264367816091948</v>
      </c>
      <c r="AM39" s="111">
        <v>83.108108108108112</v>
      </c>
      <c r="AN39" s="111">
        <v>75.324675324675326</v>
      </c>
      <c r="AO39" s="119">
        <v>167</v>
      </c>
    </row>
    <row r="40" spans="1:41" x14ac:dyDescent="0.25">
      <c r="A40" s="119" t="s">
        <v>65</v>
      </c>
      <c r="B40" s="111">
        <v>37.241379310344826</v>
      </c>
      <c r="C40" s="111">
        <v>52.612612612612615</v>
      </c>
      <c r="D40" s="111">
        <v>31.526104417670684</v>
      </c>
      <c r="E40" s="111">
        <v>78.94736842105263</v>
      </c>
      <c r="F40" s="111">
        <v>62.962962962962962</v>
      </c>
      <c r="G40" s="111">
        <v>69.638554216867476</v>
      </c>
      <c r="H40" s="111">
        <v>42.666666666666664</v>
      </c>
      <c r="I40" s="111">
        <v>44.444444444444443</v>
      </c>
      <c r="J40" s="111">
        <v>21.348314606741575</v>
      </c>
      <c r="K40" s="111">
        <v>20.512820512820515</v>
      </c>
      <c r="L40" s="111">
        <v>14.213197969543147</v>
      </c>
      <c r="M40" s="111">
        <v>22.596153846153847</v>
      </c>
      <c r="N40" s="111">
        <v>24.299065420560748</v>
      </c>
      <c r="O40" s="111">
        <v>43.442622950819676</v>
      </c>
      <c r="P40" s="111">
        <v>34.782608695652172</v>
      </c>
      <c r="Q40" s="111">
        <v>34.848484848484851</v>
      </c>
      <c r="R40" s="111">
        <v>33.928571428571431</v>
      </c>
      <c r="S40" s="111">
        <v>24.137931034482758</v>
      </c>
      <c r="T40" s="111">
        <v>70.042194092827003</v>
      </c>
      <c r="U40" s="111">
        <v>82.589285714285708</v>
      </c>
      <c r="V40" s="111">
        <v>84.584980237154156</v>
      </c>
      <c r="W40" s="111">
        <v>82.916666666666671</v>
      </c>
      <c r="X40" s="111">
        <v>80.408163265306129</v>
      </c>
      <c r="Y40" s="111">
        <v>74.793388429752071</v>
      </c>
      <c r="Z40" s="111">
        <v>43.70860927152318</v>
      </c>
      <c r="AA40" s="111">
        <v>52.258064516129032</v>
      </c>
      <c r="AB40" s="111">
        <v>64.634146341463421</v>
      </c>
      <c r="AC40" s="111">
        <v>50.877192982456137</v>
      </c>
      <c r="AD40" s="111">
        <v>83.682983682983689</v>
      </c>
      <c r="AE40" s="111">
        <v>94.224422442244219</v>
      </c>
      <c r="AF40" s="111">
        <v>85.714285714285708</v>
      </c>
      <c r="AG40" s="111">
        <v>74.501992031872504</v>
      </c>
      <c r="AH40" s="111">
        <v>53.968253968253968</v>
      </c>
      <c r="AI40" s="111">
        <v>23.605150214592275</v>
      </c>
      <c r="AJ40" s="111">
        <v>21.348314606741575</v>
      </c>
      <c r="AK40" s="111">
        <v>83.2012678288431</v>
      </c>
      <c r="AL40" s="111">
        <v>48.192771084337352</v>
      </c>
      <c r="AM40" s="111">
        <v>80.677966101694921</v>
      </c>
      <c r="AN40" s="111">
        <v>74.877650897226758</v>
      </c>
      <c r="AO40" s="119">
        <v>692</v>
      </c>
    </row>
    <row r="41" spans="1:41" x14ac:dyDescent="0.25">
      <c r="A41" s="119" t="s">
        <v>66</v>
      </c>
      <c r="B41" s="111">
        <v>30.27027027027027</v>
      </c>
      <c r="C41" s="111">
        <v>54.857142857142854</v>
      </c>
      <c r="D41" s="111">
        <v>37.654320987654323</v>
      </c>
      <c r="E41" s="111">
        <v>78.378378378378372</v>
      </c>
      <c r="F41" s="111">
        <v>67.045454545454547</v>
      </c>
      <c r="G41" s="111">
        <v>51.754385964912281</v>
      </c>
      <c r="H41" s="111">
        <v>37.878787878787875</v>
      </c>
      <c r="I41" s="111">
        <v>46.478873239436616</v>
      </c>
      <c r="J41" s="111">
        <v>53.623188405797102</v>
      </c>
      <c r="K41" s="111">
        <v>29.11392405063291</v>
      </c>
      <c r="L41" s="111">
        <v>22.891566265060241</v>
      </c>
      <c r="M41" s="111">
        <v>37.179487179487182</v>
      </c>
      <c r="N41" s="111">
        <v>18.518518518518519</v>
      </c>
      <c r="O41" s="111">
        <v>35.593220338983052</v>
      </c>
      <c r="P41" s="111">
        <v>25.925925925925927</v>
      </c>
      <c r="Q41" s="111">
        <v>31.481481481481481</v>
      </c>
      <c r="R41" s="111">
        <v>29.787234042553191</v>
      </c>
      <c r="S41" s="111">
        <v>22.641509433962263</v>
      </c>
      <c r="T41" s="111">
        <v>60</v>
      </c>
      <c r="U41" s="111">
        <v>82.291666666666671</v>
      </c>
      <c r="V41" s="111">
        <v>85.57692307692308</v>
      </c>
      <c r="W41" s="111">
        <v>81.25</v>
      </c>
      <c r="X41" s="111">
        <v>82.178217821782184</v>
      </c>
      <c r="Y41" s="111">
        <v>71.028037383177576</v>
      </c>
      <c r="Z41" s="111">
        <v>57.142857142857146</v>
      </c>
      <c r="AA41" s="111">
        <v>60.344827586206897</v>
      </c>
      <c r="AB41" s="111">
        <v>58.46153846153846</v>
      </c>
      <c r="AC41" s="111">
        <v>55.813953488372093</v>
      </c>
      <c r="AD41" s="111">
        <v>70</v>
      </c>
      <c r="AE41" s="111">
        <v>83.236994219653184</v>
      </c>
      <c r="AF41" s="111">
        <v>61.904761904761905</v>
      </c>
      <c r="AG41" s="111">
        <v>72.151898734177209</v>
      </c>
      <c r="AH41" s="111">
        <v>46.875</v>
      </c>
      <c r="AI41" s="111">
        <v>41.05263157894737</v>
      </c>
      <c r="AJ41" s="111">
        <v>41.573033707865171</v>
      </c>
      <c r="AK41" s="111">
        <v>26.666666666666668</v>
      </c>
      <c r="AL41" s="111">
        <v>51.25</v>
      </c>
      <c r="AM41" s="111">
        <v>80.540540540540547</v>
      </c>
      <c r="AN41" s="111">
        <v>74.456521739130437</v>
      </c>
      <c r="AO41" s="119">
        <v>202</v>
      </c>
    </row>
    <row r="42" spans="1:41" x14ac:dyDescent="0.25">
      <c r="A42" s="119" t="s">
        <v>15</v>
      </c>
      <c r="B42" s="111">
        <v>44.487427466150869</v>
      </c>
      <c r="C42" s="111">
        <v>60.2510460251046</v>
      </c>
      <c r="D42" s="111">
        <v>33.103448275862071</v>
      </c>
      <c r="E42" s="111">
        <v>77.70700636942675</v>
      </c>
      <c r="F42" s="111">
        <v>64.921465968586389</v>
      </c>
      <c r="G42" s="111">
        <v>68.405797101449281</v>
      </c>
      <c r="H42" s="111">
        <v>40.458015267175576</v>
      </c>
      <c r="I42" s="111">
        <v>28.30188679245283</v>
      </c>
      <c r="J42" s="111">
        <v>23.566878980891719</v>
      </c>
      <c r="K42" s="111">
        <v>25.748502994011975</v>
      </c>
      <c r="L42" s="111">
        <v>18.64406779661017</v>
      </c>
      <c r="M42" s="111">
        <v>24.043715846994534</v>
      </c>
      <c r="N42" s="111">
        <v>16.483516483516482</v>
      </c>
      <c r="O42" s="111">
        <v>51.304347826086953</v>
      </c>
      <c r="P42" s="111">
        <v>29.20353982300885</v>
      </c>
      <c r="Q42" s="111">
        <v>31.25</v>
      </c>
      <c r="R42" s="111">
        <v>17.821782178217823</v>
      </c>
      <c r="S42" s="111">
        <v>20.138888888888889</v>
      </c>
      <c r="T42" s="111">
        <v>64.43514644351464</v>
      </c>
      <c r="U42" s="111">
        <v>78.571428571428569</v>
      </c>
      <c r="V42" s="111">
        <v>86.666666666666671</v>
      </c>
      <c r="W42" s="111">
        <v>83.333333333333329</v>
      </c>
      <c r="X42" s="111">
        <v>82.456140350877192</v>
      </c>
      <c r="Y42" s="111">
        <v>71.491228070175438</v>
      </c>
      <c r="Z42" s="111">
        <v>44.897959183673471</v>
      </c>
      <c r="AA42" s="111">
        <v>49.668874172185433</v>
      </c>
      <c r="AB42" s="111">
        <v>56.363636363636367</v>
      </c>
      <c r="AC42" s="111">
        <v>43.08943089430894</v>
      </c>
      <c r="AD42" s="111">
        <v>72.144846796657376</v>
      </c>
      <c r="AE42" s="111">
        <v>91.028037383177576</v>
      </c>
      <c r="AF42" s="111">
        <v>83.67768595041322</v>
      </c>
      <c r="AG42" s="111">
        <v>79.600886917960082</v>
      </c>
      <c r="AH42" s="111">
        <v>53.529411764705884</v>
      </c>
      <c r="AI42" s="111">
        <v>29.439252336448597</v>
      </c>
      <c r="AJ42" s="111">
        <v>26.470588235294116</v>
      </c>
      <c r="AK42" s="111">
        <v>81.70289855072464</v>
      </c>
      <c r="AL42" s="111">
        <v>43.137254901960787</v>
      </c>
      <c r="AM42" s="111">
        <v>74.007936507936506</v>
      </c>
      <c r="AN42" s="111">
        <v>68.555758683729437</v>
      </c>
      <c r="AO42" s="119">
        <v>627</v>
      </c>
    </row>
    <row r="43" spans="1:41" x14ac:dyDescent="0.25">
      <c r="A43" s="119" t="s">
        <v>16</v>
      </c>
      <c r="B43" s="111">
        <v>29.117647058823529</v>
      </c>
      <c r="C43" s="111">
        <v>55.319148936170215</v>
      </c>
      <c r="D43" s="111">
        <v>22.073578595317727</v>
      </c>
      <c r="E43" s="111">
        <v>78.84615384615384</v>
      </c>
      <c r="F43" s="111">
        <v>69.402985074626869</v>
      </c>
      <c r="G43" s="111">
        <v>71.367521367521363</v>
      </c>
      <c r="H43" s="111">
        <v>52.80898876404494</v>
      </c>
      <c r="I43" s="111">
        <v>44.736842105263158</v>
      </c>
      <c r="J43" s="111">
        <v>26.027397260273972</v>
      </c>
      <c r="K43" s="111">
        <v>34.375</v>
      </c>
      <c r="L43" s="111">
        <v>27.906976744186046</v>
      </c>
      <c r="M43" s="111">
        <v>43.2</v>
      </c>
      <c r="N43" s="111">
        <v>24.137931034482758</v>
      </c>
      <c r="O43" s="111">
        <v>54.794520547945204</v>
      </c>
      <c r="P43" s="111">
        <v>43.859649122807021</v>
      </c>
      <c r="Q43" s="111">
        <v>47.297297297297298</v>
      </c>
      <c r="R43" s="111">
        <v>39.344262295081968</v>
      </c>
      <c r="S43" s="111">
        <v>25</v>
      </c>
      <c r="T43" s="111">
        <v>70.625</v>
      </c>
      <c r="U43" s="111">
        <v>79.194630872483216</v>
      </c>
      <c r="V43" s="111">
        <v>85.393258426966298</v>
      </c>
      <c r="W43" s="111">
        <v>86.227544910179645</v>
      </c>
      <c r="X43" s="111">
        <v>88.81987577639751</v>
      </c>
      <c r="Y43" s="111">
        <v>85.31073446327683</v>
      </c>
      <c r="Z43" s="111">
        <v>62.886597938144327</v>
      </c>
      <c r="AA43" s="111">
        <v>64</v>
      </c>
      <c r="AB43" s="111">
        <v>56.701030927835049</v>
      </c>
      <c r="AC43" s="111">
        <v>57.446808510638299</v>
      </c>
      <c r="AD43" s="111">
        <v>76.984126984126988</v>
      </c>
      <c r="AE43" s="111">
        <v>88.9908256880734</v>
      </c>
      <c r="AF43" s="111">
        <v>80.782918149466198</v>
      </c>
      <c r="AG43" s="111">
        <v>75.088967971530252</v>
      </c>
      <c r="AH43" s="111">
        <v>50.877192982456137</v>
      </c>
      <c r="AI43" s="111">
        <v>44.516129032258064</v>
      </c>
      <c r="AJ43" s="111">
        <v>44.852941176470587</v>
      </c>
      <c r="AK43" s="111">
        <v>34.736842105263158</v>
      </c>
      <c r="AL43" s="111">
        <v>41.6</v>
      </c>
      <c r="AM43" s="111">
        <v>82.165605095541395</v>
      </c>
      <c r="AN43" s="111">
        <v>82.582582582582589</v>
      </c>
      <c r="AO43" s="119">
        <v>387</v>
      </c>
    </row>
    <row r="44" spans="1:41" x14ac:dyDescent="0.25">
      <c r="A44" s="119" t="s">
        <v>17</v>
      </c>
      <c r="B44" s="111">
        <v>26.595744680851062</v>
      </c>
      <c r="C44" s="111">
        <v>48.936170212765958</v>
      </c>
      <c r="D44" s="111">
        <v>29.411764705882351</v>
      </c>
      <c r="E44" s="111">
        <v>73.170731707317074</v>
      </c>
      <c r="F44" s="111">
        <v>65.217391304347828</v>
      </c>
      <c r="G44" s="111">
        <v>30.188679245283019</v>
      </c>
      <c r="H44" s="111">
        <v>41.463414634146339</v>
      </c>
      <c r="I44" s="111">
        <v>35.714285714285715</v>
      </c>
      <c r="J44" s="111">
        <v>47.058823529411768</v>
      </c>
      <c r="K44" s="111">
        <v>56.363636363636367</v>
      </c>
      <c r="L44" s="111">
        <v>54.716981132075475</v>
      </c>
      <c r="M44" s="111">
        <v>45.833333333333336</v>
      </c>
      <c r="N44" s="111">
        <v>19.23076923076923</v>
      </c>
      <c r="O44" s="111">
        <v>60.606060606060609</v>
      </c>
      <c r="P44" s="111">
        <v>46.428571428571431</v>
      </c>
      <c r="Q44" s="111">
        <v>58.333333333333336</v>
      </c>
      <c r="R44" s="111">
        <v>34.615384615384613</v>
      </c>
      <c r="S44" s="111">
        <v>38.46153846153846</v>
      </c>
      <c r="T44" s="111">
        <v>73.214285714285708</v>
      </c>
      <c r="U44" s="111">
        <v>83.928571428571431</v>
      </c>
      <c r="V44" s="111">
        <v>82.8125</v>
      </c>
      <c r="W44" s="111">
        <v>84.126984126984127</v>
      </c>
      <c r="X44" s="111">
        <v>82.8125</v>
      </c>
      <c r="Y44" s="111">
        <v>41.071428571428569</v>
      </c>
      <c r="Z44" s="111">
        <v>67.391304347826093</v>
      </c>
      <c r="AA44" s="111">
        <v>50</v>
      </c>
      <c r="AB44" s="111">
        <v>54.054054054054056</v>
      </c>
      <c r="AC44" s="111">
        <v>64.81481481481481</v>
      </c>
      <c r="AD44" s="111">
        <v>58.823529411764703</v>
      </c>
      <c r="AE44" s="111">
        <v>81.395348837209298</v>
      </c>
      <c r="AF44" s="111">
        <v>32.8125</v>
      </c>
      <c r="AG44" s="111">
        <v>71.951219512195124</v>
      </c>
      <c r="AH44" s="111">
        <v>28.571428571428573</v>
      </c>
      <c r="AI44" s="111">
        <v>29.032258064516128</v>
      </c>
      <c r="AJ44" s="111">
        <v>46.551724137931032</v>
      </c>
      <c r="AK44" s="111">
        <v>9.5890410958904102</v>
      </c>
      <c r="AL44" s="111">
        <v>32.203389830508478</v>
      </c>
      <c r="AM44" s="111">
        <v>77.528089887640448</v>
      </c>
      <c r="AN44" s="111">
        <v>67.741935483870961</v>
      </c>
      <c r="AO44" s="119">
        <v>99</v>
      </c>
    </row>
    <row r="45" spans="1:41" x14ac:dyDescent="0.25">
      <c r="A45" s="119" t="s">
        <v>24</v>
      </c>
      <c r="B45" s="111">
        <v>64.772727272727266</v>
      </c>
      <c r="C45" s="111">
        <v>84.023668639053255</v>
      </c>
      <c r="D45" s="111">
        <v>62.758620689655174</v>
      </c>
      <c r="E45" s="111">
        <v>79.710144927536234</v>
      </c>
      <c r="F45" s="111">
        <v>68.75</v>
      </c>
      <c r="G45" s="111">
        <v>71.900826446280988</v>
      </c>
      <c r="H45" s="111">
        <v>74.545454545454547</v>
      </c>
      <c r="I45" s="111">
        <v>84.415584415584419</v>
      </c>
      <c r="J45" s="111">
        <v>46.153846153846153</v>
      </c>
      <c r="K45" s="111">
        <v>70.454545454545453</v>
      </c>
      <c r="L45" s="111">
        <v>71.111111111111114</v>
      </c>
      <c r="M45" s="111">
        <v>75.294117647058826</v>
      </c>
      <c r="N45" s="111">
        <v>52.941176470588232</v>
      </c>
      <c r="O45" s="111">
        <v>60</v>
      </c>
      <c r="P45" s="111">
        <v>55.555555555555557</v>
      </c>
      <c r="Q45" s="111">
        <v>64.102564102564102</v>
      </c>
      <c r="R45" s="111">
        <v>23.333333333333332</v>
      </c>
      <c r="S45" s="111">
        <v>38.46153846153846</v>
      </c>
      <c r="T45" s="111">
        <v>84.466019417475735</v>
      </c>
      <c r="U45" s="111">
        <v>90.909090909090907</v>
      </c>
      <c r="V45" s="111">
        <v>88.695652173913047</v>
      </c>
      <c r="W45" s="111">
        <v>85.454545454545453</v>
      </c>
      <c r="X45" s="111">
        <v>86.915887850467286</v>
      </c>
      <c r="Y45" s="111">
        <v>46.341463414634148</v>
      </c>
      <c r="Z45" s="111">
        <v>62.857142857142854</v>
      </c>
      <c r="AA45" s="111">
        <v>58.490566037735846</v>
      </c>
      <c r="AB45" s="111">
        <v>57.971014492753625</v>
      </c>
      <c r="AC45" s="111">
        <v>72.916666666666671</v>
      </c>
      <c r="AD45" s="111">
        <v>83.453237410071949</v>
      </c>
      <c r="AE45" s="111">
        <v>87.671232876712324</v>
      </c>
      <c r="AF45" s="111">
        <v>61.855670103092784</v>
      </c>
      <c r="AG45" s="111">
        <v>81.355932203389827</v>
      </c>
      <c r="AH45" s="111">
        <v>43.055555555555557</v>
      </c>
      <c r="AI45" s="111">
        <v>52.475247524752476</v>
      </c>
      <c r="AJ45" s="111">
        <v>68.316831683168317</v>
      </c>
      <c r="AK45" s="111">
        <v>19.512195121951219</v>
      </c>
      <c r="AL45" s="111">
        <v>69.791666666666671</v>
      </c>
      <c r="AM45" s="111">
        <v>84.523809523809518</v>
      </c>
      <c r="AN45" s="111">
        <v>85.11904761904762</v>
      </c>
      <c r="AO45" s="119">
        <v>185</v>
      </c>
    </row>
    <row r="48" spans="1:41" ht="13" x14ac:dyDescent="0.3">
      <c r="A48" s="106" t="s">
        <v>398</v>
      </c>
    </row>
    <row r="51" spans="1:41" ht="13" x14ac:dyDescent="0.3">
      <c r="A51" s="109" t="s">
        <v>254</v>
      </c>
      <c r="B51" s="117" t="s">
        <v>359</v>
      </c>
      <c r="C51" s="117" t="s">
        <v>360</v>
      </c>
      <c r="D51" s="117" t="s">
        <v>361</v>
      </c>
      <c r="E51" s="117" t="s">
        <v>362</v>
      </c>
      <c r="F51" s="117" t="s">
        <v>363</v>
      </c>
      <c r="G51" s="117" t="s">
        <v>364</v>
      </c>
      <c r="H51" s="117" t="s">
        <v>365</v>
      </c>
      <c r="I51" s="117" t="s">
        <v>366</v>
      </c>
      <c r="J51" s="117" t="s">
        <v>367</v>
      </c>
      <c r="K51" s="117" t="s">
        <v>368</v>
      </c>
      <c r="L51" s="117" t="s">
        <v>369</v>
      </c>
      <c r="M51" s="117" t="s">
        <v>370</v>
      </c>
      <c r="N51" s="117" t="s">
        <v>371</v>
      </c>
      <c r="O51" s="117" t="s">
        <v>372</v>
      </c>
      <c r="P51" s="117" t="s">
        <v>373</v>
      </c>
      <c r="Q51" s="117" t="s">
        <v>374</v>
      </c>
      <c r="R51" s="117" t="s">
        <v>375</v>
      </c>
      <c r="S51" s="117" t="s">
        <v>376</v>
      </c>
      <c r="T51" s="117" t="s">
        <v>377</v>
      </c>
      <c r="U51" s="117" t="s">
        <v>378</v>
      </c>
      <c r="V51" s="117" t="s">
        <v>379</v>
      </c>
      <c r="W51" s="117" t="s">
        <v>380</v>
      </c>
      <c r="X51" s="117" t="s">
        <v>381</v>
      </c>
      <c r="Y51" s="117" t="s">
        <v>382</v>
      </c>
      <c r="Z51" s="117" t="s">
        <v>383</v>
      </c>
      <c r="AA51" s="117" t="s">
        <v>384</v>
      </c>
      <c r="AB51" s="117" t="s">
        <v>385</v>
      </c>
      <c r="AC51" s="117" t="s">
        <v>386</v>
      </c>
      <c r="AD51" s="117" t="s">
        <v>387</v>
      </c>
      <c r="AE51" s="117" t="s">
        <v>388</v>
      </c>
      <c r="AF51" s="117" t="s">
        <v>389</v>
      </c>
      <c r="AG51" s="117" t="s">
        <v>390</v>
      </c>
      <c r="AH51" s="117" t="s">
        <v>391</v>
      </c>
      <c r="AI51" s="117" t="s">
        <v>392</v>
      </c>
      <c r="AJ51" s="117" t="s">
        <v>393</v>
      </c>
      <c r="AK51" s="117" t="s">
        <v>394</v>
      </c>
      <c r="AL51" s="117" t="s">
        <v>395</v>
      </c>
      <c r="AM51" s="117" t="s">
        <v>396</v>
      </c>
      <c r="AN51" s="117" t="s">
        <v>397</v>
      </c>
      <c r="AO51" s="108" t="s">
        <v>346</v>
      </c>
    </row>
    <row r="52" spans="1:41" x14ac:dyDescent="0.25">
      <c r="A52" s="113" t="s">
        <v>74</v>
      </c>
      <c r="B52" s="114">
        <v>50.88</v>
      </c>
      <c r="C52" s="114">
        <v>69.60132890365449</v>
      </c>
      <c r="D52" s="114">
        <v>51.992409867172675</v>
      </c>
      <c r="E52" s="114">
        <v>79.583333333333329</v>
      </c>
      <c r="F52" s="114">
        <v>70.078740157480311</v>
      </c>
      <c r="G52" s="114">
        <v>50.750750750750754</v>
      </c>
      <c r="H52" s="114">
        <v>57.831325301204821</v>
      </c>
      <c r="I52" s="114">
        <v>45.299145299145302</v>
      </c>
      <c r="J52" s="114">
        <v>46.907216494845358</v>
      </c>
      <c r="K52" s="114">
        <v>50.165016501650165</v>
      </c>
      <c r="L52" s="114">
        <v>46.996466431095406</v>
      </c>
      <c r="M52" s="114">
        <v>54.982817869415804</v>
      </c>
      <c r="N52" s="114">
        <v>30.864197530864196</v>
      </c>
      <c r="O52" s="114">
        <v>58.24742268041237</v>
      </c>
      <c r="P52" s="114">
        <v>39.87341772151899</v>
      </c>
      <c r="Q52" s="114">
        <v>50</v>
      </c>
      <c r="R52" s="114">
        <v>31.612903225806452</v>
      </c>
      <c r="S52" s="114">
        <v>36.470588235294116</v>
      </c>
      <c r="T52" s="114">
        <v>81.578947368421055</v>
      </c>
      <c r="U52" s="114">
        <v>86.36363636363636</v>
      </c>
      <c r="V52" s="114">
        <v>87.777777777777771</v>
      </c>
      <c r="W52" s="114">
        <v>86.956521739130437</v>
      </c>
      <c r="X52" s="114">
        <v>67.272727272727266</v>
      </c>
      <c r="Y52" s="114">
        <v>26.811594202898551</v>
      </c>
      <c r="Z52" s="114">
        <v>64.285714285714292</v>
      </c>
      <c r="AA52" s="114">
        <v>60.526315789473685</v>
      </c>
      <c r="AB52" s="114">
        <v>68.924302788844628</v>
      </c>
      <c r="AC52" s="114">
        <v>73.939393939393938</v>
      </c>
      <c r="AD52" s="114">
        <v>73.127753303964752</v>
      </c>
      <c r="AE52" s="114">
        <v>87.410071942446038</v>
      </c>
      <c r="AF52" s="114">
        <v>58.956916099773245</v>
      </c>
      <c r="AG52" s="114">
        <v>77.165354330708666</v>
      </c>
      <c r="AH52" s="114">
        <v>50.955414012738856</v>
      </c>
      <c r="AI52" s="114">
        <v>45.18950437317784</v>
      </c>
      <c r="AJ52" s="114">
        <v>56.969696969696969</v>
      </c>
      <c r="AK52" s="114">
        <v>18.695652173913043</v>
      </c>
      <c r="AL52" s="114">
        <v>63.043478260869563</v>
      </c>
      <c r="AM52" s="114">
        <v>80.102040816326536</v>
      </c>
      <c r="AN52" s="114">
        <v>76.831345826235093</v>
      </c>
      <c r="AO52" s="110">
        <v>676</v>
      </c>
    </row>
    <row r="53" spans="1:41" x14ac:dyDescent="0.25">
      <c r="A53" s="110" t="s">
        <v>75</v>
      </c>
      <c r="B53" s="114">
        <v>56.747404844290656</v>
      </c>
      <c r="C53" s="114">
        <v>71.680594243268331</v>
      </c>
      <c r="D53" s="114">
        <v>60.882956878850102</v>
      </c>
      <c r="E53" s="114">
        <v>80.156657963446477</v>
      </c>
      <c r="F53" s="114">
        <v>76.020408163265301</v>
      </c>
      <c r="G53" s="114">
        <v>62.944983818770226</v>
      </c>
      <c r="H53" s="114">
        <v>65.459610027855149</v>
      </c>
      <c r="I53" s="114">
        <v>62.264150943396224</v>
      </c>
      <c r="J53" s="114">
        <v>42.063492063492063</v>
      </c>
      <c r="K53" s="114">
        <v>49.898580121703851</v>
      </c>
      <c r="L53" s="114">
        <v>47.131147540983605</v>
      </c>
      <c r="M53" s="114">
        <v>54.446854663774403</v>
      </c>
      <c r="N53" s="114">
        <v>39.130434782608695</v>
      </c>
      <c r="O53" s="114">
        <v>55.642023346303503</v>
      </c>
      <c r="P53" s="114">
        <v>47.863247863247864</v>
      </c>
      <c r="Q53" s="114">
        <v>53.113553113553117</v>
      </c>
      <c r="R53" s="114">
        <v>31.794871794871796</v>
      </c>
      <c r="S53" s="114">
        <v>36.283185840707965</v>
      </c>
      <c r="T53" s="114">
        <v>77.737226277372258</v>
      </c>
      <c r="U53" s="114">
        <v>87.5</v>
      </c>
      <c r="V53" s="114">
        <v>87.58278145695364</v>
      </c>
      <c r="W53" s="114">
        <v>85.763293310463126</v>
      </c>
      <c r="X53" s="114">
        <v>85.13274336283186</v>
      </c>
      <c r="Y53" s="114">
        <v>46.653543307086615</v>
      </c>
      <c r="Z53" s="114">
        <v>62.25352112676056</v>
      </c>
      <c r="AA53" s="114">
        <v>62.542955326460479</v>
      </c>
      <c r="AB53" s="114">
        <v>62.864721485411138</v>
      </c>
      <c r="AC53" s="114">
        <v>72.568093385214013</v>
      </c>
      <c r="AD53" s="114">
        <v>78.144078144078151</v>
      </c>
      <c r="AE53" s="114">
        <v>89.128305582761996</v>
      </c>
      <c r="AF53" s="114">
        <v>64.136125654450268</v>
      </c>
      <c r="AG53" s="114">
        <v>72.076372315035798</v>
      </c>
      <c r="AH53" s="114">
        <v>53.781512605042018</v>
      </c>
      <c r="AI53" s="114">
        <v>35.640138408304502</v>
      </c>
      <c r="AJ53" s="114">
        <v>54.382826475849733</v>
      </c>
      <c r="AK53" s="114">
        <v>18.362573099415204</v>
      </c>
      <c r="AL53" s="114">
        <v>57.841483979763915</v>
      </c>
      <c r="AM53" s="114">
        <v>77.644894204231832</v>
      </c>
      <c r="AN53" s="114">
        <v>76.570915619389581</v>
      </c>
      <c r="AO53" s="110">
        <v>1238</v>
      </c>
    </row>
    <row r="54" spans="1:41" x14ac:dyDescent="0.25">
      <c r="A54" s="110" t="s">
        <v>76</v>
      </c>
      <c r="B54" s="114">
        <v>42.691622103386813</v>
      </c>
      <c r="C54" s="114">
        <v>62.226450999048524</v>
      </c>
      <c r="D54" s="114">
        <v>48.061224489795919</v>
      </c>
      <c r="E54" s="114">
        <v>75.429975429975428</v>
      </c>
      <c r="F54" s="114">
        <v>68.181818181818187</v>
      </c>
      <c r="G54" s="114">
        <v>61.317567567567565</v>
      </c>
      <c r="H54" s="114">
        <v>58.55614973262032</v>
      </c>
      <c r="I54" s="114">
        <v>55.072463768115945</v>
      </c>
      <c r="J54" s="114">
        <v>44.481605351170572</v>
      </c>
      <c r="K54" s="114">
        <v>48.478701825557806</v>
      </c>
      <c r="L54" s="114">
        <v>41.594827586206897</v>
      </c>
      <c r="M54" s="114">
        <v>51.914893617021278</v>
      </c>
      <c r="N54" s="114">
        <v>35.135135135135137</v>
      </c>
      <c r="O54" s="114">
        <v>52.861952861952865</v>
      </c>
      <c r="P54" s="114">
        <v>41.700404858299592</v>
      </c>
      <c r="Q54" s="114">
        <v>52.750809061488674</v>
      </c>
      <c r="R54" s="114">
        <v>37.860082304526749</v>
      </c>
      <c r="S54" s="114">
        <v>34.375</v>
      </c>
      <c r="T54" s="114">
        <v>77.442273534635873</v>
      </c>
      <c r="U54" s="114">
        <v>86.39575971731449</v>
      </c>
      <c r="V54" s="114">
        <v>86.415711947626846</v>
      </c>
      <c r="W54" s="114">
        <v>82.149046793760832</v>
      </c>
      <c r="X54" s="114">
        <v>78.793103448275858</v>
      </c>
      <c r="Y54" s="114">
        <v>59.116022099447513</v>
      </c>
      <c r="Z54" s="114">
        <v>63.131313131313128</v>
      </c>
      <c r="AA54" s="114">
        <v>64.110429447852766</v>
      </c>
      <c r="AB54" s="114">
        <v>66.40625</v>
      </c>
      <c r="AC54" s="114">
        <v>69.920318725099605</v>
      </c>
      <c r="AD54" s="114">
        <v>80.315917375455655</v>
      </c>
      <c r="AE54" s="114">
        <v>90.091001011122344</v>
      </c>
      <c r="AF54" s="114">
        <v>66.149870801033586</v>
      </c>
      <c r="AG54" s="114">
        <v>81.028571428571425</v>
      </c>
      <c r="AH54" s="114">
        <v>55.974842767295598</v>
      </c>
      <c r="AI54" s="114">
        <v>46.153846153846153</v>
      </c>
      <c r="AJ54" s="114">
        <v>51.906779661016948</v>
      </c>
      <c r="AK54" s="114">
        <v>25</v>
      </c>
      <c r="AL54" s="114">
        <v>61.307420494699649</v>
      </c>
      <c r="AM54" s="114">
        <v>80.212355212355206</v>
      </c>
      <c r="AN54" s="114">
        <v>76.82811016144349</v>
      </c>
      <c r="AO54" s="110">
        <v>1223</v>
      </c>
    </row>
    <row r="55" spans="1:41" x14ac:dyDescent="0.25">
      <c r="A55" s="110" t="s">
        <v>77</v>
      </c>
      <c r="B55" s="114">
        <v>47.160068846815832</v>
      </c>
      <c r="C55" s="114">
        <v>63.791008505467801</v>
      </c>
      <c r="D55" s="114">
        <v>48.56361149110807</v>
      </c>
      <c r="E55" s="114">
        <v>79.545454545454547</v>
      </c>
      <c r="F55" s="114">
        <v>69.065849923430321</v>
      </c>
      <c r="G55" s="114">
        <v>62.614913176710928</v>
      </c>
      <c r="H55" s="114">
        <v>46.341463414634148</v>
      </c>
      <c r="I55" s="114">
        <v>45.833333333333336</v>
      </c>
      <c r="J55" s="114">
        <v>44.470588235294116</v>
      </c>
      <c r="K55" s="114">
        <v>34.639498432601883</v>
      </c>
      <c r="L55" s="114">
        <v>29.513343799058084</v>
      </c>
      <c r="M55" s="114">
        <v>37.6</v>
      </c>
      <c r="N55" s="114">
        <v>24.046920821114369</v>
      </c>
      <c r="O55" s="114">
        <v>52.970297029702969</v>
      </c>
      <c r="P55" s="114">
        <v>33.738601823708208</v>
      </c>
      <c r="Q55" s="114">
        <v>38.481675392670155</v>
      </c>
      <c r="R55" s="114">
        <v>34.563758389261743</v>
      </c>
      <c r="S55" s="114">
        <v>29.154518950437318</v>
      </c>
      <c r="T55" s="114">
        <v>74.303030303030297</v>
      </c>
      <c r="U55" s="114">
        <v>83.395291201982658</v>
      </c>
      <c r="V55" s="114">
        <v>85.857461024498889</v>
      </c>
      <c r="W55" s="114">
        <v>83.27402135231317</v>
      </c>
      <c r="X55" s="114">
        <v>74.033816425120776</v>
      </c>
      <c r="Y55" s="114">
        <v>62.547288776796975</v>
      </c>
      <c r="Z55" s="114">
        <v>53.980582524271846</v>
      </c>
      <c r="AA55" s="114">
        <v>54.888888888888886</v>
      </c>
      <c r="AB55" s="114">
        <v>61.347517730496456</v>
      </c>
      <c r="AC55" s="114">
        <v>57.836990595611283</v>
      </c>
      <c r="AD55" s="114">
        <v>73.688524590163937</v>
      </c>
      <c r="AE55" s="114">
        <v>89.095415117719952</v>
      </c>
      <c r="AF55" s="114">
        <v>65.876375952582563</v>
      </c>
      <c r="AG55" s="114">
        <v>76.273653566229981</v>
      </c>
      <c r="AH55" s="114">
        <v>53.881278538812786</v>
      </c>
      <c r="AI55" s="114">
        <v>35.976505139500738</v>
      </c>
      <c r="AJ55" s="114">
        <v>46.601941747572816</v>
      </c>
      <c r="AK55" s="114">
        <v>38.888888888888886</v>
      </c>
      <c r="AL55" s="114">
        <v>50.550964187327821</v>
      </c>
      <c r="AM55" s="114">
        <v>81.399521531100476</v>
      </c>
      <c r="AN55" s="114">
        <v>78.612716763005778</v>
      </c>
      <c r="AO55" s="110">
        <v>1950</v>
      </c>
    </row>
    <row r="56" spans="1:41" x14ac:dyDescent="0.25">
      <c r="A56" s="110" t="s">
        <v>78</v>
      </c>
      <c r="B56" s="114">
        <v>40.504334121355399</v>
      </c>
      <c r="C56" s="114">
        <v>56.640134059488901</v>
      </c>
      <c r="D56" s="114">
        <v>40.028490028490026</v>
      </c>
      <c r="E56" s="114">
        <v>75.033025099075303</v>
      </c>
      <c r="F56" s="114">
        <v>63.497267759562838</v>
      </c>
      <c r="G56" s="114">
        <v>63.226571767497035</v>
      </c>
      <c r="H56" s="114">
        <v>42.343541944074566</v>
      </c>
      <c r="I56" s="114">
        <v>35.588235294117645</v>
      </c>
      <c r="J56" s="114">
        <v>33.333333333333336</v>
      </c>
      <c r="K56" s="114">
        <v>25</v>
      </c>
      <c r="L56" s="114">
        <v>19.809322033898304</v>
      </c>
      <c r="M56" s="114">
        <v>26.064382139148496</v>
      </c>
      <c r="N56" s="114">
        <v>23.903508771929825</v>
      </c>
      <c r="O56" s="114">
        <v>50.444049733570161</v>
      </c>
      <c r="P56" s="114">
        <v>29.622266401590458</v>
      </c>
      <c r="Q56" s="114">
        <v>39.292364990689016</v>
      </c>
      <c r="R56" s="114">
        <v>29.979466119096511</v>
      </c>
      <c r="S56" s="114">
        <v>25.680272108843539</v>
      </c>
      <c r="T56" s="114">
        <v>67.877094972067042</v>
      </c>
      <c r="U56" s="114">
        <v>78.829268292682926</v>
      </c>
      <c r="V56" s="114">
        <v>82.797567332754127</v>
      </c>
      <c r="W56" s="114">
        <v>82.020389249304912</v>
      </c>
      <c r="X56" s="114">
        <v>77.879341864716636</v>
      </c>
      <c r="Y56" s="114">
        <v>72.863436123348023</v>
      </c>
      <c r="Z56" s="114">
        <v>54.722638680659671</v>
      </c>
      <c r="AA56" s="114">
        <v>55.712050078247259</v>
      </c>
      <c r="AB56" s="114">
        <v>58.040935672514621</v>
      </c>
      <c r="AC56" s="114">
        <v>57.493188010899182</v>
      </c>
      <c r="AD56" s="114">
        <v>74.56189937817976</v>
      </c>
      <c r="AE56" s="114">
        <v>89.497716894977174</v>
      </c>
      <c r="AF56" s="114">
        <v>76.003917727717919</v>
      </c>
      <c r="AG56" s="114">
        <v>74.809885931558938</v>
      </c>
      <c r="AH56" s="114">
        <v>51.421800947867297</v>
      </c>
      <c r="AI56" s="114">
        <v>36.403033586132175</v>
      </c>
      <c r="AJ56" s="114">
        <v>45.833333333333336</v>
      </c>
      <c r="AK56" s="114">
        <v>34.867172675521822</v>
      </c>
      <c r="AL56" s="114">
        <v>47.235023041474655</v>
      </c>
      <c r="AM56" s="114">
        <v>79.220779220779221</v>
      </c>
      <c r="AN56" s="114">
        <v>74.890394579513753</v>
      </c>
      <c r="AO56" s="110">
        <v>2870</v>
      </c>
    </row>
    <row r="57" spans="1:41" x14ac:dyDescent="0.25">
      <c r="A57" s="110" t="s">
        <v>79</v>
      </c>
      <c r="B57" s="114">
        <v>38.391502276176027</v>
      </c>
      <c r="C57" s="114">
        <v>52.850241545893716</v>
      </c>
      <c r="D57" s="114">
        <v>34.143725420092956</v>
      </c>
      <c r="E57" s="114">
        <v>75.602700096432017</v>
      </c>
      <c r="F57" s="114">
        <v>63.206751054852319</v>
      </c>
      <c r="G57" s="114">
        <v>64.431082331174835</v>
      </c>
      <c r="H57" s="114">
        <v>36.454431960049938</v>
      </c>
      <c r="I57" s="114">
        <v>33.241758241758241</v>
      </c>
      <c r="J57" s="114">
        <v>22.272727272727273</v>
      </c>
      <c r="K57" s="114">
        <v>21.610601427115188</v>
      </c>
      <c r="L57" s="114">
        <v>16.241062308478039</v>
      </c>
      <c r="M57" s="114">
        <v>23.448275862068964</v>
      </c>
      <c r="N57" s="114">
        <v>19.900497512437809</v>
      </c>
      <c r="O57" s="114">
        <v>46.918767507002798</v>
      </c>
      <c r="P57" s="114">
        <v>27.96875</v>
      </c>
      <c r="Q57" s="114">
        <v>30.341880341880341</v>
      </c>
      <c r="R57" s="114">
        <v>23.355263157894736</v>
      </c>
      <c r="S57" s="114">
        <v>22.674418604651162</v>
      </c>
      <c r="T57" s="114">
        <v>67.770270270270274</v>
      </c>
      <c r="U57" s="114">
        <v>78.801169590643269</v>
      </c>
      <c r="V57" s="114">
        <v>83.960396039603964</v>
      </c>
      <c r="W57" s="114">
        <v>81.263307310149045</v>
      </c>
      <c r="X57" s="114">
        <v>75.353107344632775</v>
      </c>
      <c r="Y57" s="114">
        <v>71.407072987208423</v>
      </c>
      <c r="Z57" s="114">
        <v>46.747519294377071</v>
      </c>
      <c r="AA57" s="114">
        <v>48.70349492671928</v>
      </c>
      <c r="AB57" s="114">
        <v>53.160621761658028</v>
      </c>
      <c r="AC57" s="114">
        <v>50.932568149210901</v>
      </c>
      <c r="AD57" s="114">
        <v>74.428822495606326</v>
      </c>
      <c r="AE57" s="114">
        <v>91.92307692307692</v>
      </c>
      <c r="AF57" s="114">
        <v>79.376328844790933</v>
      </c>
      <c r="AG57" s="114">
        <v>77.076870044812139</v>
      </c>
      <c r="AH57" s="114">
        <v>54.054054054054056</v>
      </c>
      <c r="AI57" s="114">
        <v>28.660436137071652</v>
      </c>
      <c r="AJ57" s="114">
        <v>26.054852320675106</v>
      </c>
      <c r="AK57" s="114">
        <v>68.069666182873732</v>
      </c>
      <c r="AL57" s="114">
        <v>42.581888246628132</v>
      </c>
      <c r="AM57" s="114">
        <v>78.610603290676423</v>
      </c>
      <c r="AN57" s="114">
        <v>73.856398378691367</v>
      </c>
      <c r="AO57" s="110">
        <v>3899</v>
      </c>
    </row>
    <row r="60" spans="1:41" ht="13" x14ac:dyDescent="0.3">
      <c r="A60" s="110"/>
      <c r="B60" s="117" t="s">
        <v>359</v>
      </c>
      <c r="C60" s="117" t="s">
        <v>360</v>
      </c>
      <c r="D60" s="117" t="s">
        <v>361</v>
      </c>
      <c r="E60" s="117" t="s">
        <v>362</v>
      </c>
      <c r="F60" s="117" t="s">
        <v>363</v>
      </c>
      <c r="G60" s="117" t="s">
        <v>364</v>
      </c>
      <c r="H60" s="117" t="s">
        <v>365</v>
      </c>
      <c r="I60" s="117" t="s">
        <v>366</v>
      </c>
      <c r="J60" s="117" t="s">
        <v>367</v>
      </c>
      <c r="K60" s="117" t="s">
        <v>368</v>
      </c>
      <c r="L60" s="117" t="s">
        <v>369</v>
      </c>
      <c r="M60" s="117" t="s">
        <v>370</v>
      </c>
      <c r="N60" s="117" t="s">
        <v>371</v>
      </c>
      <c r="O60" s="117" t="s">
        <v>372</v>
      </c>
      <c r="P60" s="117" t="s">
        <v>373</v>
      </c>
      <c r="Q60" s="117" t="s">
        <v>374</v>
      </c>
      <c r="R60" s="117" t="s">
        <v>375</v>
      </c>
      <c r="S60" s="117" t="s">
        <v>376</v>
      </c>
      <c r="T60" s="117" t="s">
        <v>377</v>
      </c>
      <c r="U60" s="117" t="s">
        <v>378</v>
      </c>
      <c r="V60" s="117" t="s">
        <v>379</v>
      </c>
      <c r="W60" s="117" t="s">
        <v>380</v>
      </c>
      <c r="X60" s="117" t="s">
        <v>381</v>
      </c>
      <c r="Y60" s="117" t="s">
        <v>382</v>
      </c>
      <c r="Z60" s="117" t="s">
        <v>383</v>
      </c>
      <c r="AA60" s="117" t="s">
        <v>384</v>
      </c>
      <c r="AB60" s="117" t="s">
        <v>385</v>
      </c>
      <c r="AC60" s="117" t="s">
        <v>386</v>
      </c>
      <c r="AD60" s="117" t="s">
        <v>387</v>
      </c>
      <c r="AE60" s="117" t="s">
        <v>388</v>
      </c>
      <c r="AF60" s="117" t="s">
        <v>389</v>
      </c>
      <c r="AG60" s="117" t="s">
        <v>390</v>
      </c>
      <c r="AH60" s="117" t="s">
        <v>391</v>
      </c>
      <c r="AI60" s="117" t="s">
        <v>392</v>
      </c>
      <c r="AJ60" s="117" t="s">
        <v>393</v>
      </c>
      <c r="AK60" s="117" t="s">
        <v>394</v>
      </c>
      <c r="AL60" s="117" t="s">
        <v>395</v>
      </c>
      <c r="AM60" s="117" t="s">
        <v>396</v>
      </c>
      <c r="AN60" s="117" t="s">
        <v>397</v>
      </c>
      <c r="AO60" s="108" t="s">
        <v>346</v>
      </c>
    </row>
    <row r="61" spans="1:41" ht="13" x14ac:dyDescent="0.3">
      <c r="A61" s="109" t="s">
        <v>255</v>
      </c>
      <c r="B61" s="114">
        <v>43.591945796354615</v>
      </c>
      <c r="C61" s="114">
        <v>59.667612484799349</v>
      </c>
      <c r="D61" s="114">
        <v>43.477277865702014</v>
      </c>
      <c r="E61" s="114">
        <v>76.914016489988228</v>
      </c>
      <c r="F61" s="114">
        <v>66.605886949726496</v>
      </c>
      <c r="G61" s="114">
        <v>62.684458398744113</v>
      </c>
      <c r="H61" s="114">
        <v>47.455386649041642</v>
      </c>
      <c r="I61" s="114">
        <v>44.015957446808514</v>
      </c>
      <c r="J61" s="114">
        <v>34.51097062104872</v>
      </c>
      <c r="K61" s="114">
        <v>33.913721413721412</v>
      </c>
      <c r="L61" s="114">
        <v>28.722002635046113</v>
      </c>
      <c r="M61" s="114">
        <v>36.052287581699346</v>
      </c>
      <c r="N61" s="114">
        <v>26.426133593369087</v>
      </c>
      <c r="O61" s="114">
        <v>51.296829971181559</v>
      </c>
      <c r="P61" s="114">
        <v>33.964945523448606</v>
      </c>
      <c r="Q61" s="114">
        <v>40.74074074074074</v>
      </c>
      <c r="R61" s="114">
        <v>29.909365558912388</v>
      </c>
      <c r="S61" s="114">
        <v>27.752762996316005</v>
      </c>
      <c r="T61" s="114">
        <v>72.144039735099341</v>
      </c>
      <c r="U61" s="114">
        <v>82.081174438687398</v>
      </c>
      <c r="V61" s="114">
        <v>85.016540182914966</v>
      </c>
      <c r="W61" s="114">
        <v>82.837055417700583</v>
      </c>
      <c r="X61" s="114">
        <v>76.70891335965095</v>
      </c>
      <c r="Y61" s="114">
        <v>63.35078534031414</v>
      </c>
      <c r="Z61" s="114">
        <v>54.938271604938272</v>
      </c>
      <c r="AA61" s="114">
        <v>55.371900826446279</v>
      </c>
      <c r="AB61" s="114">
        <v>59.565891472868216</v>
      </c>
      <c r="AC61" s="114">
        <v>61.903367496339676</v>
      </c>
      <c r="AD61" s="114">
        <v>75.329438934927325</v>
      </c>
      <c r="AE61" s="114">
        <v>90.159494432741496</v>
      </c>
      <c r="AF61" s="114">
        <v>72.68195413758724</v>
      </c>
      <c r="AG61" s="114">
        <v>76.313953488372093</v>
      </c>
      <c r="AH61" s="114">
        <v>53.391167192429023</v>
      </c>
      <c r="AI61" s="114">
        <v>35.742505228910062</v>
      </c>
      <c r="AJ61" s="114">
        <v>44.045761830473218</v>
      </c>
      <c r="AK61" s="114">
        <v>44.79991204925242</v>
      </c>
      <c r="AL61" s="114">
        <v>51.478720846357298</v>
      </c>
      <c r="AM61" s="114">
        <v>79.367290091524069</v>
      </c>
      <c r="AN61" s="114">
        <v>75.648511534411796</v>
      </c>
      <c r="AO61" s="110">
        <v>11856</v>
      </c>
    </row>
    <row r="64" spans="1:41" ht="13" x14ac:dyDescent="0.3">
      <c r="A64" s="109" t="s">
        <v>399</v>
      </c>
    </row>
    <row r="67" spans="1:3" ht="13" x14ac:dyDescent="0.3">
      <c r="A67" s="123" t="s">
        <v>112</v>
      </c>
      <c r="B67" s="106" t="s">
        <v>257</v>
      </c>
      <c r="C67" s="106"/>
    </row>
    <row r="68" spans="1:3" ht="13" x14ac:dyDescent="0.3">
      <c r="A68" s="117" t="s">
        <v>359</v>
      </c>
      <c r="B68" s="107" t="s">
        <v>258</v>
      </c>
      <c r="C68" s="124">
        <v>43.591945796354615</v>
      </c>
    </row>
    <row r="69" spans="1:3" ht="13" x14ac:dyDescent="0.3">
      <c r="A69" s="117" t="s">
        <v>360</v>
      </c>
      <c r="B69" s="107" t="s">
        <v>259</v>
      </c>
      <c r="C69" s="124">
        <v>59.667612484799349</v>
      </c>
    </row>
    <row r="70" spans="1:3" ht="13" x14ac:dyDescent="0.3">
      <c r="A70" s="117" t="s">
        <v>361</v>
      </c>
      <c r="B70" s="107" t="s">
        <v>260</v>
      </c>
      <c r="C70" s="124">
        <v>43.477277865702014</v>
      </c>
    </row>
    <row r="71" spans="1:3" ht="13" x14ac:dyDescent="0.3">
      <c r="A71" s="117" t="s">
        <v>362</v>
      </c>
      <c r="B71" s="107" t="s">
        <v>261</v>
      </c>
      <c r="C71" s="124">
        <v>76.914016489988228</v>
      </c>
    </row>
    <row r="72" spans="1:3" ht="13" x14ac:dyDescent="0.3">
      <c r="A72" s="117" t="s">
        <v>363</v>
      </c>
      <c r="B72" s="107" t="s">
        <v>262</v>
      </c>
      <c r="C72" s="124">
        <v>66.605886949726496</v>
      </c>
    </row>
    <row r="73" spans="1:3" ht="13" x14ac:dyDescent="0.3">
      <c r="A73" s="117" t="s">
        <v>364</v>
      </c>
      <c r="B73" s="107" t="s">
        <v>263</v>
      </c>
      <c r="C73" s="124">
        <v>62.684458398744113</v>
      </c>
    </row>
    <row r="74" spans="1:3" ht="13" x14ac:dyDescent="0.3">
      <c r="A74" s="117" t="s">
        <v>365</v>
      </c>
      <c r="B74" s="107" t="s">
        <v>264</v>
      </c>
      <c r="C74" s="124">
        <v>47.455386649041642</v>
      </c>
    </row>
    <row r="75" spans="1:3" ht="13" x14ac:dyDescent="0.3">
      <c r="A75" s="117" t="s">
        <v>366</v>
      </c>
      <c r="B75" s="107" t="s">
        <v>265</v>
      </c>
      <c r="C75" s="124">
        <v>44.015957446808514</v>
      </c>
    </row>
    <row r="76" spans="1:3" ht="13" x14ac:dyDescent="0.3">
      <c r="A76" s="117" t="s">
        <v>367</v>
      </c>
      <c r="B76" s="107" t="s">
        <v>266</v>
      </c>
      <c r="C76" s="124">
        <v>34.51097062104872</v>
      </c>
    </row>
    <row r="77" spans="1:3" ht="13" x14ac:dyDescent="0.3">
      <c r="A77" s="117"/>
      <c r="B77" s="106" t="s">
        <v>267</v>
      </c>
      <c r="C77" s="106"/>
    </row>
    <row r="78" spans="1:3" ht="13" x14ac:dyDescent="0.3">
      <c r="A78" s="117" t="s">
        <v>368</v>
      </c>
      <c r="B78" s="107" t="s">
        <v>268</v>
      </c>
      <c r="C78" s="114">
        <v>33.913721413721412</v>
      </c>
    </row>
    <row r="79" spans="1:3" ht="13" x14ac:dyDescent="0.3">
      <c r="A79" s="117" t="s">
        <v>369</v>
      </c>
      <c r="B79" s="107" t="s">
        <v>269</v>
      </c>
      <c r="C79" s="114">
        <v>28.722002635046113</v>
      </c>
    </row>
    <row r="80" spans="1:3" ht="13" x14ac:dyDescent="0.3">
      <c r="A80" s="117" t="s">
        <v>370</v>
      </c>
      <c r="B80" s="107" t="s">
        <v>270</v>
      </c>
      <c r="C80" s="114">
        <v>36.052287581699346</v>
      </c>
    </row>
    <row r="81" spans="1:3" ht="13" x14ac:dyDescent="0.3">
      <c r="A81" s="117" t="s">
        <v>371</v>
      </c>
      <c r="B81" s="107" t="s">
        <v>271</v>
      </c>
      <c r="C81" s="114">
        <v>26.426133593369087</v>
      </c>
    </row>
    <row r="82" spans="1:3" ht="13" x14ac:dyDescent="0.3">
      <c r="A82" s="117" t="s">
        <v>372</v>
      </c>
      <c r="B82" s="107" t="s">
        <v>272</v>
      </c>
      <c r="C82" s="114">
        <v>51.296829971181559</v>
      </c>
    </row>
    <row r="83" spans="1:3" ht="13" x14ac:dyDescent="0.3">
      <c r="A83" s="117" t="s">
        <v>373</v>
      </c>
      <c r="B83" s="107" t="s">
        <v>273</v>
      </c>
      <c r="C83" s="114">
        <v>33.964945523448606</v>
      </c>
    </row>
    <row r="84" spans="1:3" ht="13" x14ac:dyDescent="0.3">
      <c r="A84" s="117" t="s">
        <v>374</v>
      </c>
      <c r="B84" s="107" t="s">
        <v>275</v>
      </c>
      <c r="C84" s="114">
        <v>40.74074074074074</v>
      </c>
    </row>
    <row r="85" spans="1:3" ht="13" x14ac:dyDescent="0.3">
      <c r="A85" s="117" t="s">
        <v>375</v>
      </c>
      <c r="B85" s="107" t="s">
        <v>276</v>
      </c>
      <c r="C85" s="114">
        <v>29.909365558912388</v>
      </c>
    </row>
    <row r="86" spans="1:3" ht="13" x14ac:dyDescent="0.3">
      <c r="A86" s="117" t="s">
        <v>376</v>
      </c>
      <c r="B86" s="107" t="s">
        <v>277</v>
      </c>
      <c r="C86" s="114">
        <v>27.752762996316005</v>
      </c>
    </row>
    <row r="87" spans="1:3" ht="13" x14ac:dyDescent="0.3">
      <c r="A87" s="117"/>
      <c r="B87" s="106" t="s">
        <v>278</v>
      </c>
      <c r="C87" s="106"/>
    </row>
    <row r="88" spans="1:3" ht="13" x14ac:dyDescent="0.3">
      <c r="A88" s="117" t="s">
        <v>377</v>
      </c>
      <c r="B88" s="107" t="s">
        <v>279</v>
      </c>
      <c r="C88" s="114">
        <v>72.144039735099341</v>
      </c>
    </row>
    <row r="89" spans="1:3" ht="13" x14ac:dyDescent="0.3">
      <c r="A89" s="117" t="s">
        <v>378</v>
      </c>
      <c r="B89" s="107" t="s">
        <v>280</v>
      </c>
      <c r="C89" s="114">
        <v>82.081174438687398</v>
      </c>
    </row>
    <row r="90" spans="1:3" ht="13" x14ac:dyDescent="0.3">
      <c r="A90" s="117" t="s">
        <v>379</v>
      </c>
      <c r="B90" s="107" t="s">
        <v>281</v>
      </c>
      <c r="C90" s="114">
        <v>85.016540182914966</v>
      </c>
    </row>
    <row r="91" spans="1:3" ht="13" x14ac:dyDescent="0.3">
      <c r="A91" s="117" t="s">
        <v>380</v>
      </c>
      <c r="B91" s="107" t="s">
        <v>282</v>
      </c>
      <c r="C91" s="114">
        <v>82.837055417700583</v>
      </c>
    </row>
    <row r="92" spans="1:3" ht="13" x14ac:dyDescent="0.3">
      <c r="A92" s="117" t="s">
        <v>381</v>
      </c>
      <c r="B92" s="107" t="s">
        <v>283</v>
      </c>
      <c r="C92" s="114">
        <v>76.70891335965095</v>
      </c>
    </row>
    <row r="93" spans="1:3" ht="13" x14ac:dyDescent="0.3">
      <c r="A93" s="117" t="s">
        <v>382</v>
      </c>
      <c r="B93" s="107" t="s">
        <v>284</v>
      </c>
      <c r="C93" s="114">
        <v>63.35078534031414</v>
      </c>
    </row>
    <row r="94" spans="1:3" ht="13" x14ac:dyDescent="0.3">
      <c r="A94" s="117" t="s">
        <v>383</v>
      </c>
      <c r="B94" s="107" t="s">
        <v>285</v>
      </c>
      <c r="C94" s="114">
        <v>54.938271604938272</v>
      </c>
    </row>
    <row r="95" spans="1:3" ht="13" x14ac:dyDescent="0.3">
      <c r="A95" s="117" t="s">
        <v>384</v>
      </c>
      <c r="B95" s="107" t="s">
        <v>286</v>
      </c>
      <c r="C95" s="114">
        <v>55.371900826446279</v>
      </c>
    </row>
    <row r="96" spans="1:3" ht="13" x14ac:dyDescent="0.3">
      <c r="A96" s="117" t="s">
        <v>385</v>
      </c>
      <c r="B96" s="107" t="s">
        <v>287</v>
      </c>
      <c r="C96" s="114">
        <v>59.565891472868216</v>
      </c>
    </row>
    <row r="97" spans="1:3" ht="13" x14ac:dyDescent="0.3">
      <c r="A97" s="117" t="s">
        <v>386</v>
      </c>
      <c r="B97" s="107" t="s">
        <v>288</v>
      </c>
      <c r="C97" s="114">
        <v>61.903367496339676</v>
      </c>
    </row>
    <row r="98" spans="1:3" ht="13" x14ac:dyDescent="0.3">
      <c r="A98" s="117" t="s">
        <v>387</v>
      </c>
      <c r="B98" s="107" t="s">
        <v>289</v>
      </c>
      <c r="C98" s="114">
        <v>75.329438934927325</v>
      </c>
    </row>
    <row r="99" spans="1:3" ht="13" x14ac:dyDescent="0.3">
      <c r="A99" s="117" t="s">
        <v>388</v>
      </c>
      <c r="B99" s="107" t="s">
        <v>290</v>
      </c>
      <c r="C99" s="114">
        <v>90.159494432741496</v>
      </c>
    </row>
    <row r="100" spans="1:3" ht="13" x14ac:dyDescent="0.3">
      <c r="A100" s="117" t="s">
        <v>389</v>
      </c>
      <c r="B100" s="107" t="s">
        <v>291</v>
      </c>
      <c r="C100" s="114">
        <v>72.68195413758724</v>
      </c>
    </row>
    <row r="101" spans="1:3" ht="13" x14ac:dyDescent="0.3">
      <c r="A101" s="117" t="s">
        <v>390</v>
      </c>
      <c r="B101" s="107" t="s">
        <v>292</v>
      </c>
      <c r="C101" s="114">
        <v>76.313953488372093</v>
      </c>
    </row>
    <row r="102" spans="1:3" ht="13" x14ac:dyDescent="0.3">
      <c r="A102" s="117" t="s">
        <v>391</v>
      </c>
      <c r="B102" s="107" t="s">
        <v>293</v>
      </c>
      <c r="C102" s="114">
        <v>53.391167192429023</v>
      </c>
    </row>
    <row r="103" spans="1:3" ht="13" x14ac:dyDescent="0.3">
      <c r="A103" s="117"/>
      <c r="B103" s="106" t="s">
        <v>294</v>
      </c>
      <c r="C103" s="106"/>
    </row>
    <row r="104" spans="1:3" ht="13" x14ac:dyDescent="0.3">
      <c r="A104" s="117" t="s">
        <v>392</v>
      </c>
      <c r="B104" s="107" t="s">
        <v>295</v>
      </c>
      <c r="C104" s="114">
        <v>35.742505228910062</v>
      </c>
    </row>
    <row r="105" spans="1:3" ht="13" x14ac:dyDescent="0.3">
      <c r="A105" s="117" t="s">
        <v>393</v>
      </c>
      <c r="B105" s="107" t="s">
        <v>296</v>
      </c>
      <c r="C105" s="114">
        <v>44.045761830473218</v>
      </c>
    </row>
    <row r="106" spans="1:3" ht="13" x14ac:dyDescent="0.3">
      <c r="A106" s="117" t="s">
        <v>394</v>
      </c>
      <c r="B106" s="107" t="s">
        <v>297</v>
      </c>
      <c r="C106" s="114">
        <v>44.79991204925242</v>
      </c>
    </row>
    <row r="107" spans="1:3" ht="13" x14ac:dyDescent="0.3">
      <c r="A107" s="117" t="s">
        <v>395</v>
      </c>
      <c r="B107" s="107" t="s">
        <v>298</v>
      </c>
      <c r="C107" s="114">
        <v>51.478720846357298</v>
      </c>
    </row>
    <row r="108" spans="1:3" ht="13" x14ac:dyDescent="0.3">
      <c r="A108" s="117" t="s">
        <v>396</v>
      </c>
      <c r="B108" s="107" t="s">
        <v>299</v>
      </c>
      <c r="C108" s="114">
        <v>79.367290091524069</v>
      </c>
    </row>
    <row r="109" spans="1:3" ht="13" x14ac:dyDescent="0.3">
      <c r="A109" s="117" t="s">
        <v>397</v>
      </c>
      <c r="B109" s="107" t="s">
        <v>300</v>
      </c>
      <c r="C109" s="114">
        <v>75.648511534411796</v>
      </c>
    </row>
    <row r="110" spans="1:3" ht="13" x14ac:dyDescent="0.3">
      <c r="A110" s="117"/>
    </row>
    <row r="111" spans="1:3" ht="13" x14ac:dyDescent="0.3">
      <c r="A111" s="117"/>
    </row>
    <row r="112" spans="1:3" ht="13" x14ac:dyDescent="0.3">
      <c r="A112" s="117"/>
    </row>
    <row r="113" spans="1:1" ht="13" x14ac:dyDescent="0.3">
      <c r="A113" s="117"/>
    </row>
  </sheetData>
  <pageMargins left="0.7" right="0.7" top="0.75" bottom="0.75" header="0.3" footer="0.3"/>
  <pageSetup paperSize="9" orientation="portrait" horizontalDpi="360" verticalDpi="360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A6" sqref="A6"/>
    </sheetView>
  </sheetViews>
  <sheetFormatPr defaultRowHeight="12.5" x14ac:dyDescent="0.25"/>
  <cols>
    <col min="1" max="1" width="18.85546875" style="107" customWidth="1"/>
    <col min="2" max="255" width="8.7109375" style="107"/>
    <col min="256" max="256" width="14.35546875" style="107" customWidth="1"/>
    <col min="257" max="257" width="18.85546875" style="107" customWidth="1"/>
    <col min="258" max="511" width="8.7109375" style="107"/>
    <col min="512" max="512" width="14.35546875" style="107" customWidth="1"/>
    <col min="513" max="513" width="18.85546875" style="107" customWidth="1"/>
    <col min="514" max="767" width="8.7109375" style="107"/>
    <col min="768" max="768" width="14.35546875" style="107" customWidth="1"/>
    <col min="769" max="769" width="18.85546875" style="107" customWidth="1"/>
    <col min="770" max="1023" width="8.7109375" style="107"/>
    <col min="1024" max="1024" width="14.35546875" style="107" customWidth="1"/>
    <col min="1025" max="1025" width="18.85546875" style="107" customWidth="1"/>
    <col min="1026" max="1279" width="8.7109375" style="107"/>
    <col min="1280" max="1280" width="14.35546875" style="107" customWidth="1"/>
    <col min="1281" max="1281" width="18.85546875" style="107" customWidth="1"/>
    <col min="1282" max="1535" width="8.7109375" style="107"/>
    <col min="1536" max="1536" width="14.35546875" style="107" customWidth="1"/>
    <col min="1537" max="1537" width="18.85546875" style="107" customWidth="1"/>
    <col min="1538" max="1791" width="8.7109375" style="107"/>
    <col min="1792" max="1792" width="14.35546875" style="107" customWidth="1"/>
    <col min="1793" max="1793" width="18.85546875" style="107" customWidth="1"/>
    <col min="1794" max="2047" width="8.7109375" style="107"/>
    <col min="2048" max="2048" width="14.35546875" style="107" customWidth="1"/>
    <col min="2049" max="2049" width="18.85546875" style="107" customWidth="1"/>
    <col min="2050" max="2303" width="8.7109375" style="107"/>
    <col min="2304" max="2304" width="14.35546875" style="107" customWidth="1"/>
    <col min="2305" max="2305" width="18.85546875" style="107" customWidth="1"/>
    <col min="2306" max="2559" width="8.7109375" style="107"/>
    <col min="2560" max="2560" width="14.35546875" style="107" customWidth="1"/>
    <col min="2561" max="2561" width="18.85546875" style="107" customWidth="1"/>
    <col min="2562" max="2815" width="8.7109375" style="107"/>
    <col min="2816" max="2816" width="14.35546875" style="107" customWidth="1"/>
    <col min="2817" max="2817" width="18.85546875" style="107" customWidth="1"/>
    <col min="2818" max="3071" width="8.7109375" style="107"/>
    <col min="3072" max="3072" width="14.35546875" style="107" customWidth="1"/>
    <col min="3073" max="3073" width="18.85546875" style="107" customWidth="1"/>
    <col min="3074" max="3327" width="8.7109375" style="107"/>
    <col min="3328" max="3328" width="14.35546875" style="107" customWidth="1"/>
    <col min="3329" max="3329" width="18.85546875" style="107" customWidth="1"/>
    <col min="3330" max="3583" width="8.7109375" style="107"/>
    <col min="3584" max="3584" width="14.35546875" style="107" customWidth="1"/>
    <col min="3585" max="3585" width="18.85546875" style="107" customWidth="1"/>
    <col min="3586" max="3839" width="8.7109375" style="107"/>
    <col min="3840" max="3840" width="14.35546875" style="107" customWidth="1"/>
    <col min="3841" max="3841" width="18.85546875" style="107" customWidth="1"/>
    <col min="3842" max="4095" width="8.7109375" style="107"/>
    <col min="4096" max="4096" width="14.35546875" style="107" customWidth="1"/>
    <col min="4097" max="4097" width="18.85546875" style="107" customWidth="1"/>
    <col min="4098" max="4351" width="8.7109375" style="107"/>
    <col min="4352" max="4352" width="14.35546875" style="107" customWidth="1"/>
    <col min="4353" max="4353" width="18.85546875" style="107" customWidth="1"/>
    <col min="4354" max="4607" width="8.7109375" style="107"/>
    <col min="4608" max="4608" width="14.35546875" style="107" customWidth="1"/>
    <col min="4609" max="4609" width="18.85546875" style="107" customWidth="1"/>
    <col min="4610" max="4863" width="8.7109375" style="107"/>
    <col min="4864" max="4864" width="14.35546875" style="107" customWidth="1"/>
    <col min="4865" max="4865" width="18.85546875" style="107" customWidth="1"/>
    <col min="4866" max="5119" width="8.7109375" style="107"/>
    <col min="5120" max="5120" width="14.35546875" style="107" customWidth="1"/>
    <col min="5121" max="5121" width="18.85546875" style="107" customWidth="1"/>
    <col min="5122" max="5375" width="8.7109375" style="107"/>
    <col min="5376" max="5376" width="14.35546875" style="107" customWidth="1"/>
    <col min="5377" max="5377" width="18.85546875" style="107" customWidth="1"/>
    <col min="5378" max="5631" width="8.7109375" style="107"/>
    <col min="5632" max="5632" width="14.35546875" style="107" customWidth="1"/>
    <col min="5633" max="5633" width="18.85546875" style="107" customWidth="1"/>
    <col min="5634" max="5887" width="8.7109375" style="107"/>
    <col min="5888" max="5888" width="14.35546875" style="107" customWidth="1"/>
    <col min="5889" max="5889" width="18.85546875" style="107" customWidth="1"/>
    <col min="5890" max="6143" width="8.7109375" style="107"/>
    <col min="6144" max="6144" width="14.35546875" style="107" customWidth="1"/>
    <col min="6145" max="6145" width="18.85546875" style="107" customWidth="1"/>
    <col min="6146" max="6399" width="8.7109375" style="107"/>
    <col min="6400" max="6400" width="14.35546875" style="107" customWidth="1"/>
    <col min="6401" max="6401" width="18.85546875" style="107" customWidth="1"/>
    <col min="6402" max="6655" width="8.7109375" style="107"/>
    <col min="6656" max="6656" width="14.35546875" style="107" customWidth="1"/>
    <col min="6657" max="6657" width="18.85546875" style="107" customWidth="1"/>
    <col min="6658" max="6911" width="8.7109375" style="107"/>
    <col min="6912" max="6912" width="14.35546875" style="107" customWidth="1"/>
    <col min="6913" max="6913" width="18.85546875" style="107" customWidth="1"/>
    <col min="6914" max="7167" width="8.7109375" style="107"/>
    <col min="7168" max="7168" width="14.35546875" style="107" customWidth="1"/>
    <col min="7169" max="7169" width="18.85546875" style="107" customWidth="1"/>
    <col min="7170" max="7423" width="8.7109375" style="107"/>
    <col min="7424" max="7424" width="14.35546875" style="107" customWidth="1"/>
    <col min="7425" max="7425" width="18.85546875" style="107" customWidth="1"/>
    <col min="7426" max="7679" width="8.7109375" style="107"/>
    <col min="7680" max="7680" width="14.35546875" style="107" customWidth="1"/>
    <col min="7681" max="7681" width="18.85546875" style="107" customWidth="1"/>
    <col min="7682" max="7935" width="8.7109375" style="107"/>
    <col min="7936" max="7936" width="14.35546875" style="107" customWidth="1"/>
    <col min="7937" max="7937" width="18.85546875" style="107" customWidth="1"/>
    <col min="7938" max="8191" width="8.7109375" style="107"/>
    <col min="8192" max="8192" width="14.35546875" style="107" customWidth="1"/>
    <col min="8193" max="8193" width="18.85546875" style="107" customWidth="1"/>
    <col min="8194" max="8447" width="8.7109375" style="107"/>
    <col min="8448" max="8448" width="14.35546875" style="107" customWidth="1"/>
    <col min="8449" max="8449" width="18.85546875" style="107" customWidth="1"/>
    <col min="8450" max="8703" width="8.7109375" style="107"/>
    <col min="8704" max="8704" width="14.35546875" style="107" customWidth="1"/>
    <col min="8705" max="8705" width="18.85546875" style="107" customWidth="1"/>
    <col min="8706" max="8959" width="8.7109375" style="107"/>
    <col min="8960" max="8960" width="14.35546875" style="107" customWidth="1"/>
    <col min="8961" max="8961" width="18.85546875" style="107" customWidth="1"/>
    <col min="8962" max="9215" width="8.7109375" style="107"/>
    <col min="9216" max="9216" width="14.35546875" style="107" customWidth="1"/>
    <col min="9217" max="9217" width="18.85546875" style="107" customWidth="1"/>
    <col min="9218" max="9471" width="8.7109375" style="107"/>
    <col min="9472" max="9472" width="14.35546875" style="107" customWidth="1"/>
    <col min="9473" max="9473" width="18.85546875" style="107" customWidth="1"/>
    <col min="9474" max="9727" width="8.7109375" style="107"/>
    <col min="9728" max="9728" width="14.35546875" style="107" customWidth="1"/>
    <col min="9729" max="9729" width="18.85546875" style="107" customWidth="1"/>
    <col min="9730" max="9983" width="8.7109375" style="107"/>
    <col min="9984" max="9984" width="14.35546875" style="107" customWidth="1"/>
    <col min="9985" max="9985" width="18.85546875" style="107" customWidth="1"/>
    <col min="9986" max="10239" width="8.7109375" style="107"/>
    <col min="10240" max="10240" width="14.35546875" style="107" customWidth="1"/>
    <col min="10241" max="10241" width="18.85546875" style="107" customWidth="1"/>
    <col min="10242" max="10495" width="8.7109375" style="107"/>
    <col min="10496" max="10496" width="14.35546875" style="107" customWidth="1"/>
    <col min="10497" max="10497" width="18.85546875" style="107" customWidth="1"/>
    <col min="10498" max="10751" width="8.7109375" style="107"/>
    <col min="10752" max="10752" width="14.35546875" style="107" customWidth="1"/>
    <col min="10753" max="10753" width="18.85546875" style="107" customWidth="1"/>
    <col min="10754" max="11007" width="8.7109375" style="107"/>
    <col min="11008" max="11008" width="14.35546875" style="107" customWidth="1"/>
    <col min="11009" max="11009" width="18.85546875" style="107" customWidth="1"/>
    <col min="11010" max="11263" width="8.7109375" style="107"/>
    <col min="11264" max="11264" width="14.35546875" style="107" customWidth="1"/>
    <col min="11265" max="11265" width="18.85546875" style="107" customWidth="1"/>
    <col min="11266" max="11519" width="8.7109375" style="107"/>
    <col min="11520" max="11520" width="14.35546875" style="107" customWidth="1"/>
    <col min="11521" max="11521" width="18.85546875" style="107" customWidth="1"/>
    <col min="11522" max="11775" width="8.7109375" style="107"/>
    <col min="11776" max="11776" width="14.35546875" style="107" customWidth="1"/>
    <col min="11777" max="11777" width="18.85546875" style="107" customWidth="1"/>
    <col min="11778" max="12031" width="8.7109375" style="107"/>
    <col min="12032" max="12032" width="14.35546875" style="107" customWidth="1"/>
    <col min="12033" max="12033" width="18.85546875" style="107" customWidth="1"/>
    <col min="12034" max="12287" width="8.7109375" style="107"/>
    <col min="12288" max="12288" width="14.35546875" style="107" customWidth="1"/>
    <col min="12289" max="12289" width="18.85546875" style="107" customWidth="1"/>
    <col min="12290" max="12543" width="8.7109375" style="107"/>
    <col min="12544" max="12544" width="14.35546875" style="107" customWidth="1"/>
    <col min="12545" max="12545" width="18.85546875" style="107" customWidth="1"/>
    <col min="12546" max="12799" width="8.7109375" style="107"/>
    <col min="12800" max="12800" width="14.35546875" style="107" customWidth="1"/>
    <col min="12801" max="12801" width="18.85546875" style="107" customWidth="1"/>
    <col min="12802" max="13055" width="8.7109375" style="107"/>
    <col min="13056" max="13056" width="14.35546875" style="107" customWidth="1"/>
    <col min="13057" max="13057" width="18.85546875" style="107" customWidth="1"/>
    <col min="13058" max="13311" width="8.7109375" style="107"/>
    <col min="13312" max="13312" width="14.35546875" style="107" customWidth="1"/>
    <col min="13313" max="13313" width="18.85546875" style="107" customWidth="1"/>
    <col min="13314" max="13567" width="8.7109375" style="107"/>
    <col min="13568" max="13568" width="14.35546875" style="107" customWidth="1"/>
    <col min="13569" max="13569" width="18.85546875" style="107" customWidth="1"/>
    <col min="13570" max="13823" width="8.7109375" style="107"/>
    <col min="13824" max="13824" width="14.35546875" style="107" customWidth="1"/>
    <col min="13825" max="13825" width="18.85546875" style="107" customWidth="1"/>
    <col min="13826" max="14079" width="8.7109375" style="107"/>
    <col min="14080" max="14080" width="14.35546875" style="107" customWidth="1"/>
    <col min="14081" max="14081" width="18.85546875" style="107" customWidth="1"/>
    <col min="14082" max="14335" width="8.7109375" style="107"/>
    <col min="14336" max="14336" width="14.35546875" style="107" customWidth="1"/>
    <col min="14337" max="14337" width="18.85546875" style="107" customWidth="1"/>
    <col min="14338" max="14591" width="8.7109375" style="107"/>
    <col min="14592" max="14592" width="14.35546875" style="107" customWidth="1"/>
    <col min="14593" max="14593" width="18.85546875" style="107" customWidth="1"/>
    <col min="14594" max="14847" width="8.7109375" style="107"/>
    <col min="14848" max="14848" width="14.35546875" style="107" customWidth="1"/>
    <col min="14849" max="14849" width="18.85546875" style="107" customWidth="1"/>
    <col min="14850" max="15103" width="8.7109375" style="107"/>
    <col min="15104" max="15104" width="14.35546875" style="107" customWidth="1"/>
    <col min="15105" max="15105" width="18.85546875" style="107" customWidth="1"/>
    <col min="15106" max="15359" width="8.7109375" style="107"/>
    <col min="15360" max="15360" width="14.35546875" style="107" customWidth="1"/>
    <col min="15361" max="15361" width="18.85546875" style="107" customWidth="1"/>
    <col min="15362" max="15615" width="8.7109375" style="107"/>
    <col min="15616" max="15616" width="14.35546875" style="107" customWidth="1"/>
    <col min="15617" max="15617" width="18.85546875" style="107" customWidth="1"/>
    <col min="15618" max="15871" width="8.7109375" style="107"/>
    <col min="15872" max="15872" width="14.35546875" style="107" customWidth="1"/>
    <col min="15873" max="15873" width="18.85546875" style="107" customWidth="1"/>
    <col min="15874" max="16127" width="8.7109375" style="107"/>
    <col min="16128" max="16128" width="14.35546875" style="107" customWidth="1"/>
    <col min="16129" max="16129" width="18.85546875" style="107" customWidth="1"/>
    <col min="16130" max="16384" width="8.7109375" style="107"/>
  </cols>
  <sheetData>
    <row r="1" spans="1:8" ht="39" x14ac:dyDescent="0.3">
      <c r="A1" s="120" t="s">
        <v>400</v>
      </c>
    </row>
    <row r="2" spans="1:8" ht="13" x14ac:dyDescent="0.3">
      <c r="A2" s="106" t="s">
        <v>401</v>
      </c>
    </row>
    <row r="3" spans="1:8" ht="13" x14ac:dyDescent="0.3">
      <c r="A3" s="120"/>
    </row>
    <row r="4" spans="1:8" ht="13" x14ac:dyDescent="0.3">
      <c r="A4" s="112" t="s">
        <v>157</v>
      </c>
      <c r="B4" s="117" t="s">
        <v>402</v>
      </c>
      <c r="C4" s="117" t="s">
        <v>403</v>
      </c>
      <c r="D4" s="117" t="s">
        <v>404</v>
      </c>
      <c r="E4" s="117" t="s">
        <v>405</v>
      </c>
      <c r="F4" s="117" t="s">
        <v>406</v>
      </c>
      <c r="G4" s="117" t="s">
        <v>407</v>
      </c>
      <c r="H4" s="108" t="s">
        <v>346</v>
      </c>
    </row>
    <row r="5" spans="1:8" x14ac:dyDescent="0.25">
      <c r="A5" s="119" t="s">
        <v>42</v>
      </c>
      <c r="B5" s="114">
        <v>71.186440677966104</v>
      </c>
      <c r="C5" s="114">
        <v>31.304347826086957</v>
      </c>
      <c r="D5" s="114">
        <v>0.93457943925233644</v>
      </c>
      <c r="E5" s="114">
        <v>3.669724770642202</v>
      </c>
      <c r="F5" s="114">
        <v>0.93457943925233644</v>
      </c>
      <c r="G5" s="114">
        <v>1.8518518518518519</v>
      </c>
      <c r="H5" s="110">
        <v>119</v>
      </c>
    </row>
    <row r="6" spans="1:8" x14ac:dyDescent="0.25">
      <c r="A6" s="119" t="s">
        <v>43</v>
      </c>
      <c r="B6" s="114">
        <v>72.754946727549466</v>
      </c>
      <c r="C6" s="114">
        <v>58.950617283950621</v>
      </c>
      <c r="D6" s="114">
        <v>4.0916530278232406</v>
      </c>
      <c r="E6" s="114">
        <v>3.089430894308943</v>
      </c>
      <c r="F6" s="114">
        <v>0.9771986970684039</v>
      </c>
      <c r="G6" s="114">
        <v>0.81967213114754101</v>
      </c>
      <c r="H6" s="110">
        <v>667</v>
      </c>
    </row>
    <row r="7" spans="1:8" x14ac:dyDescent="0.25">
      <c r="A7" s="119" t="s">
        <v>44</v>
      </c>
      <c r="B7" s="114">
        <v>58.641975308641975</v>
      </c>
      <c r="C7" s="114">
        <v>45.679012345679013</v>
      </c>
      <c r="D7" s="114">
        <v>1.3071895424836601</v>
      </c>
      <c r="E7" s="114">
        <v>0</v>
      </c>
      <c r="F7" s="114">
        <v>1.9736842105263157</v>
      </c>
      <c r="G7" s="114">
        <v>3.9735099337748343</v>
      </c>
      <c r="H7" s="110">
        <v>165</v>
      </c>
    </row>
    <row r="8" spans="1:8" x14ac:dyDescent="0.25">
      <c r="A8" s="119" t="s">
        <v>68</v>
      </c>
      <c r="B8" s="114">
        <v>68.403908794788279</v>
      </c>
      <c r="C8" s="114">
        <v>54.242928452579037</v>
      </c>
      <c r="D8" s="114">
        <v>2.1352313167259784</v>
      </c>
      <c r="E8" s="114">
        <v>1.7667844522968197</v>
      </c>
      <c r="F8" s="114">
        <v>0.70796460176991149</v>
      </c>
      <c r="G8" s="114">
        <v>0.88967971530249113</v>
      </c>
      <c r="H8" s="110">
        <v>624</v>
      </c>
    </row>
    <row r="9" spans="1:8" x14ac:dyDescent="0.25">
      <c r="A9" s="119" t="s">
        <v>2</v>
      </c>
      <c r="B9" s="114">
        <v>59.375</v>
      </c>
      <c r="C9" s="114">
        <v>58.064516129032256</v>
      </c>
      <c r="D9" s="114">
        <v>2.3529411764705883</v>
      </c>
      <c r="E9" s="114">
        <v>5.7471264367816088</v>
      </c>
      <c r="F9" s="114">
        <v>1.1494252873563218</v>
      </c>
      <c r="G9" s="114">
        <v>2.2988505747126435</v>
      </c>
      <c r="H9" s="110">
        <v>99</v>
      </c>
    </row>
    <row r="10" spans="1:8" x14ac:dyDescent="0.25">
      <c r="A10" s="119" t="s">
        <v>3</v>
      </c>
      <c r="B10" s="114">
        <v>53.448275862068968</v>
      </c>
      <c r="C10" s="114">
        <v>39.930555555555557</v>
      </c>
      <c r="D10" s="114">
        <v>2.5454545454545454</v>
      </c>
      <c r="E10" s="114">
        <v>2.8985507246376812</v>
      </c>
      <c r="F10" s="114">
        <v>1.8315018315018314</v>
      </c>
      <c r="G10" s="114">
        <v>0.36496350364963503</v>
      </c>
      <c r="H10" s="110">
        <v>301</v>
      </c>
    </row>
    <row r="11" spans="1:8" x14ac:dyDescent="0.25">
      <c r="A11" s="119" t="s">
        <v>4</v>
      </c>
      <c r="B11" s="114">
        <v>64.147627416520208</v>
      </c>
      <c r="C11" s="114">
        <v>47.678571428571431</v>
      </c>
      <c r="D11" s="114">
        <v>4.0384615384615383</v>
      </c>
      <c r="E11" s="114">
        <v>3.0476190476190474</v>
      </c>
      <c r="F11" s="114">
        <v>2.0992366412213741</v>
      </c>
      <c r="G11" s="114">
        <v>2.2944550669216062</v>
      </c>
      <c r="H11" s="110">
        <v>600</v>
      </c>
    </row>
    <row r="12" spans="1:8" x14ac:dyDescent="0.25">
      <c r="A12" s="119" t="s">
        <v>46</v>
      </c>
      <c r="B12" s="114">
        <v>47.183098591549296</v>
      </c>
      <c r="C12" s="114">
        <v>28.057553956834532</v>
      </c>
      <c r="D12" s="114">
        <v>0.7407407407407407</v>
      </c>
      <c r="E12" s="114">
        <v>1.5037593984962405</v>
      </c>
      <c r="F12" s="114">
        <v>0</v>
      </c>
      <c r="G12" s="114">
        <v>0</v>
      </c>
      <c r="H12" s="110">
        <v>148</v>
      </c>
    </row>
    <row r="13" spans="1:8" x14ac:dyDescent="0.25">
      <c r="A13" s="119" t="s">
        <v>5</v>
      </c>
      <c r="B13" s="114">
        <v>52.96</v>
      </c>
      <c r="C13" s="114">
        <v>47.030497592295347</v>
      </c>
      <c r="D13" s="114">
        <v>3.8851351351351351</v>
      </c>
      <c r="E13" s="114">
        <v>0.84317032040472173</v>
      </c>
      <c r="F13" s="114">
        <v>1.0101010101010102</v>
      </c>
      <c r="G13" s="114">
        <v>0.84175084175084181</v>
      </c>
      <c r="H13" s="110">
        <v>650</v>
      </c>
    </row>
    <row r="14" spans="1:8" x14ac:dyDescent="0.25">
      <c r="A14" s="119" t="s">
        <v>48</v>
      </c>
      <c r="B14" s="114">
        <v>56.91056910569106</v>
      </c>
      <c r="C14" s="114">
        <v>43.30708661417323</v>
      </c>
      <c r="D14" s="114">
        <v>0.86956521739130432</v>
      </c>
      <c r="E14" s="114">
        <v>1.6949152542372881</v>
      </c>
      <c r="F14" s="114">
        <v>1.7391304347826086</v>
      </c>
      <c r="G14" s="114">
        <v>1.7543859649122806</v>
      </c>
      <c r="H14" s="110">
        <v>135</v>
      </c>
    </row>
    <row r="15" spans="1:8" x14ac:dyDescent="0.25">
      <c r="A15" s="119" t="s">
        <v>49</v>
      </c>
      <c r="B15" s="114">
        <v>38.383838383838381</v>
      </c>
      <c r="C15" s="114">
        <v>36.734693877551024</v>
      </c>
      <c r="D15" s="114">
        <v>1.075268817204301</v>
      </c>
      <c r="E15" s="114">
        <v>6.25</v>
      </c>
      <c r="F15" s="114">
        <v>1.0638297872340425</v>
      </c>
      <c r="G15" s="114">
        <v>1.0526315789473684</v>
      </c>
      <c r="H15" s="110">
        <v>105</v>
      </c>
    </row>
    <row r="16" spans="1:8" x14ac:dyDescent="0.25">
      <c r="A16" s="119" t="s">
        <v>50</v>
      </c>
      <c r="B16" s="114">
        <v>47.311827956989248</v>
      </c>
      <c r="C16" s="114">
        <v>30.219780219780219</v>
      </c>
      <c r="D16" s="114">
        <v>2.9069767441860463</v>
      </c>
      <c r="E16" s="114">
        <v>2.8901734104046244</v>
      </c>
      <c r="F16" s="114">
        <v>2.2988505747126435</v>
      </c>
      <c r="G16" s="114">
        <v>2.2857142857142856</v>
      </c>
      <c r="H16" s="110">
        <v>194</v>
      </c>
    </row>
    <row r="17" spans="1:8" x14ac:dyDescent="0.25">
      <c r="A17" s="119" t="s">
        <v>69</v>
      </c>
      <c r="B17" s="114">
        <v>57.270029673590507</v>
      </c>
      <c r="C17" s="114">
        <v>40.498442367601243</v>
      </c>
      <c r="D17" s="114">
        <v>0.99337748344370858</v>
      </c>
      <c r="E17" s="114">
        <v>4.9504950495049505</v>
      </c>
      <c r="F17" s="114">
        <v>4.2904290429042904</v>
      </c>
      <c r="G17" s="114">
        <v>2.6490066225165565</v>
      </c>
      <c r="H17" s="110">
        <v>350</v>
      </c>
    </row>
    <row r="18" spans="1:8" x14ac:dyDescent="0.25">
      <c r="A18" s="119" t="s">
        <v>6</v>
      </c>
      <c r="B18" s="114">
        <v>64.480874316939889</v>
      </c>
      <c r="C18" s="114">
        <v>52.043596730245234</v>
      </c>
      <c r="D18" s="114">
        <v>2.0588235294117645</v>
      </c>
      <c r="E18" s="114">
        <v>5</v>
      </c>
      <c r="F18" s="114">
        <v>0.59171597633136097</v>
      </c>
      <c r="G18" s="114">
        <v>1.4880952380952381</v>
      </c>
      <c r="H18" s="110">
        <v>389</v>
      </c>
    </row>
    <row r="19" spans="1:8" x14ac:dyDescent="0.25">
      <c r="A19" s="119" t="s">
        <v>70</v>
      </c>
      <c r="B19" s="114">
        <v>53.846153846153847</v>
      </c>
      <c r="C19" s="114">
        <v>44.933920704845818</v>
      </c>
      <c r="D19" s="114">
        <v>2.3809523809523809</v>
      </c>
      <c r="E19" s="114">
        <v>1.4150943396226414</v>
      </c>
      <c r="F19" s="114">
        <v>0.94339622641509435</v>
      </c>
      <c r="G19" s="114">
        <v>2.3809523809523809</v>
      </c>
      <c r="H19" s="110">
        <v>239</v>
      </c>
    </row>
    <row r="20" spans="1:8" x14ac:dyDescent="0.25">
      <c r="A20" s="119" t="s">
        <v>7</v>
      </c>
      <c r="B20" s="114">
        <v>48.125</v>
      </c>
      <c r="C20" s="114">
        <v>34.810126582278478</v>
      </c>
      <c r="D20" s="114">
        <v>0.68493150684931503</v>
      </c>
      <c r="E20" s="114">
        <v>3.3783783783783785</v>
      </c>
      <c r="F20" s="114">
        <v>2.7210884353741496</v>
      </c>
      <c r="G20" s="114">
        <v>1.3793103448275863</v>
      </c>
      <c r="H20" s="110">
        <v>168</v>
      </c>
    </row>
    <row r="21" spans="1:8" x14ac:dyDescent="0.25">
      <c r="A21" s="119" t="s">
        <v>22</v>
      </c>
      <c r="B21" s="114">
        <v>50.295857988165679</v>
      </c>
      <c r="C21" s="114">
        <v>42.424242424242422</v>
      </c>
      <c r="D21" s="114">
        <v>0.62893081761006286</v>
      </c>
      <c r="E21" s="114">
        <v>3.7267080745341614</v>
      </c>
      <c r="F21" s="114">
        <v>1.2422360248447204</v>
      </c>
      <c r="G21" s="114">
        <v>1.25</v>
      </c>
      <c r="H21" s="110">
        <v>177</v>
      </c>
    </row>
    <row r="22" spans="1:8" x14ac:dyDescent="0.25">
      <c r="A22" s="119" t="s">
        <v>8</v>
      </c>
      <c r="B22" s="114">
        <v>62.669245647969049</v>
      </c>
      <c r="C22" s="114">
        <v>50.682261208576996</v>
      </c>
      <c r="D22" s="114">
        <v>2.9535864978902953</v>
      </c>
      <c r="E22" s="114">
        <v>2.3109243697478989</v>
      </c>
      <c r="F22" s="114">
        <v>1.0526315789473684</v>
      </c>
      <c r="G22" s="114">
        <v>0.63559322033898302</v>
      </c>
      <c r="H22" s="110">
        <v>533</v>
      </c>
    </row>
    <row r="23" spans="1:8" x14ac:dyDescent="0.25">
      <c r="A23" s="119" t="s">
        <v>9</v>
      </c>
      <c r="B23" s="114">
        <v>62.4</v>
      </c>
      <c r="C23" s="114">
        <v>56.972111553784863</v>
      </c>
      <c r="D23" s="114">
        <v>3.7656903765690375</v>
      </c>
      <c r="E23" s="114">
        <v>4.2016806722689077</v>
      </c>
      <c r="F23" s="114">
        <v>0.83682008368200833</v>
      </c>
      <c r="G23" s="114">
        <v>0</v>
      </c>
      <c r="H23" s="110">
        <v>262</v>
      </c>
    </row>
    <row r="24" spans="1:8" x14ac:dyDescent="0.25">
      <c r="A24" s="119" t="s">
        <v>54</v>
      </c>
      <c r="B24" s="114">
        <v>58.22784810126582</v>
      </c>
      <c r="C24" s="114">
        <v>36.842105263157897</v>
      </c>
      <c r="D24" s="114">
        <v>1.3888888888888888</v>
      </c>
      <c r="E24" s="114">
        <v>2.7586206896551726</v>
      </c>
      <c r="F24" s="114">
        <v>3.4722222222222223</v>
      </c>
      <c r="G24" s="114">
        <v>2.7586206896551726</v>
      </c>
      <c r="H24" s="110">
        <v>168</v>
      </c>
    </row>
    <row r="25" spans="1:8" x14ac:dyDescent="0.25">
      <c r="A25" s="119" t="s">
        <v>71</v>
      </c>
      <c r="B25" s="114">
        <v>68.840579710144922</v>
      </c>
      <c r="C25" s="114">
        <v>52.926829268292686</v>
      </c>
      <c r="D25" s="114">
        <v>3.601108033240997</v>
      </c>
      <c r="E25" s="114">
        <v>2.9972752043596729</v>
      </c>
      <c r="F25" s="114">
        <v>2.7472527472527473</v>
      </c>
      <c r="G25" s="114">
        <v>1.6528925619834711</v>
      </c>
      <c r="H25" s="110">
        <v>437</v>
      </c>
    </row>
    <row r="26" spans="1:8" x14ac:dyDescent="0.25">
      <c r="A26" s="119" t="s">
        <v>10</v>
      </c>
      <c r="B26" s="114">
        <v>58.128078817733993</v>
      </c>
      <c r="C26" s="114">
        <v>65.196078431372555</v>
      </c>
      <c r="D26" s="114">
        <v>0</v>
      </c>
      <c r="E26" s="114">
        <v>1.0526315789473684</v>
      </c>
      <c r="F26" s="114">
        <v>1.5789473684210527</v>
      </c>
      <c r="G26" s="114">
        <v>2.1052631578947367</v>
      </c>
      <c r="H26" s="110">
        <v>219</v>
      </c>
    </row>
    <row r="27" spans="1:8" x14ac:dyDescent="0.25">
      <c r="A27" s="119" t="s">
        <v>56</v>
      </c>
      <c r="B27" s="114">
        <v>42.52873563218391</v>
      </c>
      <c r="C27" s="114">
        <v>20.467836257309941</v>
      </c>
      <c r="D27" s="114">
        <v>3.0674846625766872</v>
      </c>
      <c r="E27" s="114">
        <v>6.024096385542169</v>
      </c>
      <c r="F27" s="114">
        <v>1.8181818181818181</v>
      </c>
      <c r="G27" s="114">
        <v>0.61349693251533743</v>
      </c>
      <c r="H27" s="110">
        <v>179</v>
      </c>
    </row>
    <row r="28" spans="1:8" x14ac:dyDescent="0.25">
      <c r="A28" s="119" t="s">
        <v>11</v>
      </c>
      <c r="B28" s="114">
        <v>63.84</v>
      </c>
      <c r="C28" s="114">
        <v>47.107438016528924</v>
      </c>
      <c r="D28" s="114">
        <v>5</v>
      </c>
      <c r="E28" s="114">
        <v>2.4179620034542313</v>
      </c>
      <c r="F28" s="114">
        <v>1.2027491408934707</v>
      </c>
      <c r="G28" s="114">
        <v>1.0362694300518134</v>
      </c>
      <c r="H28" s="110">
        <v>639</v>
      </c>
    </row>
    <row r="29" spans="1:8" x14ac:dyDescent="0.25">
      <c r="A29" s="119" t="s">
        <v>58</v>
      </c>
      <c r="B29" s="114">
        <v>50.892857142857146</v>
      </c>
      <c r="C29" s="114">
        <v>25.688073394495412</v>
      </c>
      <c r="D29" s="114">
        <v>1.941747572815534</v>
      </c>
      <c r="E29" s="114">
        <v>0.94339622641509435</v>
      </c>
      <c r="F29" s="114">
        <v>0</v>
      </c>
      <c r="G29" s="114">
        <v>0.95238095238095233</v>
      </c>
      <c r="H29" s="110">
        <v>114</v>
      </c>
    </row>
    <row r="30" spans="1:8" x14ac:dyDescent="0.25">
      <c r="A30" s="119" t="s">
        <v>59</v>
      </c>
      <c r="B30" s="114">
        <v>46.715328467153284</v>
      </c>
      <c r="C30" s="114">
        <v>62.043795620437955</v>
      </c>
      <c r="D30" s="114">
        <v>2.459016393442623</v>
      </c>
      <c r="E30" s="114">
        <v>3.2520325203252032</v>
      </c>
      <c r="F30" s="114">
        <v>0.81967213114754101</v>
      </c>
      <c r="G30" s="114">
        <v>0.82644628099173556</v>
      </c>
      <c r="H30" s="110">
        <v>143</v>
      </c>
    </row>
    <row r="31" spans="1:8" x14ac:dyDescent="0.25">
      <c r="A31" s="119" t="s">
        <v>60</v>
      </c>
      <c r="B31" s="114">
        <v>48.951048951048953</v>
      </c>
      <c r="C31" s="114">
        <v>34.782608695652172</v>
      </c>
      <c r="D31" s="114">
        <v>6.25</v>
      </c>
      <c r="E31" s="114">
        <v>2.3076923076923075</v>
      </c>
      <c r="F31" s="114">
        <v>0.76923076923076927</v>
      </c>
      <c r="G31" s="114">
        <v>0.77519379844961245</v>
      </c>
      <c r="H31" s="110">
        <v>144</v>
      </c>
    </row>
    <row r="32" spans="1:8" x14ac:dyDescent="0.25">
      <c r="A32" s="119" t="s">
        <v>12</v>
      </c>
      <c r="B32" s="114">
        <v>37.6</v>
      </c>
      <c r="C32" s="114">
        <v>35.294117647058826</v>
      </c>
      <c r="D32" s="114">
        <v>0</v>
      </c>
      <c r="E32" s="114">
        <v>2.6315789473684212</v>
      </c>
      <c r="F32" s="114">
        <v>3.4782608695652173</v>
      </c>
      <c r="G32" s="114">
        <v>1.7857142857142858</v>
      </c>
      <c r="H32" s="110">
        <v>135</v>
      </c>
    </row>
    <row r="33" spans="1:8" x14ac:dyDescent="0.25">
      <c r="A33" s="119" t="s">
        <v>61</v>
      </c>
      <c r="B33" s="114">
        <v>66.244725738396625</v>
      </c>
      <c r="C33" s="114">
        <v>46.413502109704645</v>
      </c>
      <c r="D33" s="114">
        <v>0.93023255813953487</v>
      </c>
      <c r="E33" s="114">
        <v>4.1474654377880187</v>
      </c>
      <c r="F33" s="114">
        <v>1.3888888888888888</v>
      </c>
      <c r="G33" s="114">
        <v>1.3761467889908257</v>
      </c>
      <c r="H33" s="110">
        <v>248</v>
      </c>
    </row>
    <row r="34" spans="1:8" x14ac:dyDescent="0.25">
      <c r="A34" s="119" t="s">
        <v>62</v>
      </c>
      <c r="B34" s="114">
        <v>35.185185185185183</v>
      </c>
      <c r="C34" s="114">
        <v>21.782178217821784</v>
      </c>
      <c r="D34" s="114">
        <v>4.0404040404040407</v>
      </c>
      <c r="E34" s="114">
        <v>3</v>
      </c>
      <c r="F34" s="114">
        <v>1.9801980198019802</v>
      </c>
      <c r="G34" s="114">
        <v>2</v>
      </c>
      <c r="H34" s="110">
        <v>115</v>
      </c>
    </row>
    <row r="35" spans="1:8" x14ac:dyDescent="0.25">
      <c r="A35" s="119" t="s">
        <v>23</v>
      </c>
      <c r="B35" s="114">
        <v>68.358208955223887</v>
      </c>
      <c r="C35" s="114">
        <v>49.848024316109424</v>
      </c>
      <c r="D35" s="114">
        <v>3.9603960396039604</v>
      </c>
      <c r="E35" s="114">
        <v>2.622950819672131</v>
      </c>
      <c r="F35" s="114">
        <v>1.3114754098360655</v>
      </c>
      <c r="G35" s="114">
        <v>1.639344262295082</v>
      </c>
      <c r="H35" s="110">
        <v>348</v>
      </c>
    </row>
    <row r="36" spans="1:8" x14ac:dyDescent="0.25">
      <c r="A36" s="119" t="s">
        <v>13</v>
      </c>
      <c r="B36" s="114">
        <v>57.4</v>
      </c>
      <c r="C36" s="114">
        <v>53.024193548387096</v>
      </c>
      <c r="D36" s="114">
        <v>3.0905077262693155</v>
      </c>
      <c r="E36" s="114">
        <v>3.2894736842105261</v>
      </c>
      <c r="F36" s="114">
        <v>1.7582417582417582</v>
      </c>
      <c r="G36" s="114">
        <v>1.3303769401330376</v>
      </c>
      <c r="H36" s="110">
        <v>525</v>
      </c>
    </row>
    <row r="37" spans="1:8" x14ac:dyDescent="0.25">
      <c r="A37" s="119" t="s">
        <v>14</v>
      </c>
      <c r="B37" s="114">
        <v>56.209150326797385</v>
      </c>
      <c r="C37" s="114">
        <v>44.078947368421055</v>
      </c>
      <c r="D37" s="114">
        <v>1.3986013986013985</v>
      </c>
      <c r="E37" s="114">
        <v>3.4482758620689653</v>
      </c>
      <c r="F37" s="114">
        <v>1.3888888888888888</v>
      </c>
      <c r="G37" s="114">
        <v>0.69444444444444442</v>
      </c>
      <c r="H37" s="110">
        <v>158</v>
      </c>
    </row>
    <row r="38" spans="1:8" x14ac:dyDescent="0.25">
      <c r="A38" s="119" t="s">
        <v>64</v>
      </c>
      <c r="B38" s="114">
        <v>50</v>
      </c>
      <c r="C38" s="114">
        <v>38.9937106918239</v>
      </c>
      <c r="D38" s="114">
        <v>0.64102564102564108</v>
      </c>
      <c r="E38" s="114">
        <v>2.5641025641025643</v>
      </c>
      <c r="F38" s="114">
        <v>2.5806451612903225</v>
      </c>
      <c r="G38" s="114">
        <v>2.5806451612903225</v>
      </c>
      <c r="H38" s="110">
        <v>167</v>
      </c>
    </row>
    <row r="39" spans="1:8" x14ac:dyDescent="0.25">
      <c r="A39" s="119" t="s">
        <v>65</v>
      </c>
      <c r="B39" s="114">
        <v>59.761549925484353</v>
      </c>
      <c r="C39" s="114">
        <v>55.120481927710841</v>
      </c>
      <c r="D39" s="114">
        <v>2.1035598705501619</v>
      </c>
      <c r="E39" s="114">
        <v>3.3816425120772946</v>
      </c>
      <c r="F39" s="114">
        <v>2.4154589371980677</v>
      </c>
      <c r="G39" s="114">
        <v>0.970873786407767</v>
      </c>
      <c r="H39" s="110">
        <v>692</v>
      </c>
    </row>
    <row r="40" spans="1:8" x14ac:dyDescent="0.25">
      <c r="A40" s="119" t="s">
        <v>66</v>
      </c>
      <c r="B40" s="114">
        <v>54.123711340206185</v>
      </c>
      <c r="C40" s="114">
        <v>49.740932642487046</v>
      </c>
      <c r="D40" s="114">
        <v>1.6666666666666667</v>
      </c>
      <c r="E40" s="114">
        <v>1.6574585635359116</v>
      </c>
      <c r="F40" s="114">
        <v>1.0928961748633881</v>
      </c>
      <c r="G40" s="114">
        <v>1.0928961748633881</v>
      </c>
      <c r="H40" s="110">
        <v>202</v>
      </c>
    </row>
    <row r="41" spans="1:8" x14ac:dyDescent="0.25">
      <c r="A41" s="119" t="s">
        <v>15</v>
      </c>
      <c r="B41" s="114">
        <v>63.621262458471762</v>
      </c>
      <c r="C41" s="114">
        <v>53.642384105960268</v>
      </c>
      <c r="D41" s="114">
        <v>3.5778175313059033</v>
      </c>
      <c r="E41" s="114">
        <v>2.3090586145648313</v>
      </c>
      <c r="F41" s="114">
        <v>1.9400352733686066</v>
      </c>
      <c r="G41" s="114">
        <v>1.6042780748663101</v>
      </c>
      <c r="H41" s="110">
        <v>627</v>
      </c>
    </row>
    <row r="42" spans="1:8" x14ac:dyDescent="0.25">
      <c r="A42" s="119" t="s">
        <v>16</v>
      </c>
      <c r="B42" s="114">
        <v>58.87096774193548</v>
      </c>
      <c r="C42" s="114">
        <v>53.405994550408721</v>
      </c>
      <c r="D42" s="114">
        <v>2.9411764705882355</v>
      </c>
      <c r="E42" s="114">
        <v>2.6315789473684212</v>
      </c>
      <c r="F42" s="114">
        <v>1.4619883040935673</v>
      </c>
      <c r="G42" s="114">
        <v>0.87976539589442815</v>
      </c>
      <c r="H42" s="110">
        <v>387</v>
      </c>
    </row>
    <row r="43" spans="1:8" x14ac:dyDescent="0.25">
      <c r="A43" s="119" t="s">
        <v>17</v>
      </c>
      <c r="B43" s="114">
        <v>66.666666666666671</v>
      </c>
      <c r="C43" s="114">
        <v>56.043956043956044</v>
      </c>
      <c r="D43" s="114">
        <v>2.2727272727272729</v>
      </c>
      <c r="E43" s="114">
        <v>2.2988505747126435</v>
      </c>
      <c r="F43" s="114">
        <v>1.1627906976744187</v>
      </c>
      <c r="G43" s="114">
        <v>2.2988505747126435</v>
      </c>
      <c r="H43" s="110">
        <v>99</v>
      </c>
    </row>
    <row r="44" spans="1:8" x14ac:dyDescent="0.25">
      <c r="A44" s="119" t="s">
        <v>24</v>
      </c>
      <c r="B44" s="114">
        <v>48.587570621468927</v>
      </c>
      <c r="C44" s="114">
        <v>40.112994350282484</v>
      </c>
      <c r="D44" s="114">
        <v>1.2048192771084338</v>
      </c>
      <c r="E44" s="114">
        <v>2.9411764705882355</v>
      </c>
      <c r="F44" s="114">
        <v>1.7647058823529411</v>
      </c>
      <c r="G44" s="114">
        <v>1.1976047904191616</v>
      </c>
      <c r="H44" s="110">
        <v>185</v>
      </c>
    </row>
    <row r="48" spans="1:8" ht="13" x14ac:dyDescent="0.3">
      <c r="A48" s="109" t="s">
        <v>254</v>
      </c>
      <c r="B48" s="117" t="s">
        <v>402</v>
      </c>
      <c r="C48" s="117" t="s">
        <v>403</v>
      </c>
      <c r="D48" s="117" t="s">
        <v>404</v>
      </c>
      <c r="E48" s="117" t="s">
        <v>405</v>
      </c>
      <c r="F48" s="117" t="s">
        <v>406</v>
      </c>
      <c r="G48" s="117" t="s">
        <v>407</v>
      </c>
      <c r="H48" s="108" t="s">
        <v>346</v>
      </c>
    </row>
    <row r="49" spans="1:8" x14ac:dyDescent="0.25">
      <c r="A49" s="113" t="s">
        <v>74</v>
      </c>
      <c r="B49" s="114">
        <v>49.541284403669728</v>
      </c>
      <c r="C49" s="114">
        <v>37.936507936507937</v>
      </c>
      <c r="D49" s="114">
        <v>3.1879194630872485</v>
      </c>
      <c r="E49" s="114">
        <v>3.3003300330033003</v>
      </c>
      <c r="F49" s="114">
        <v>0.99502487562189057</v>
      </c>
      <c r="G49" s="114">
        <v>1.4925373134328359</v>
      </c>
      <c r="H49" s="110">
        <v>676</v>
      </c>
    </row>
    <row r="50" spans="1:8" x14ac:dyDescent="0.25">
      <c r="A50" s="110" t="s">
        <v>75</v>
      </c>
      <c r="B50" s="114">
        <v>51.049538203190593</v>
      </c>
      <c r="C50" s="114">
        <v>40.870307167235495</v>
      </c>
      <c r="D50" s="114">
        <v>0.99188458070333629</v>
      </c>
      <c r="E50" s="114">
        <v>2.5089605734767026</v>
      </c>
      <c r="F50" s="114">
        <v>1.5260323159784561</v>
      </c>
      <c r="G50" s="114">
        <v>1.6289592760180995</v>
      </c>
      <c r="H50" s="110">
        <v>1238</v>
      </c>
    </row>
    <row r="51" spans="1:8" x14ac:dyDescent="0.25">
      <c r="A51" s="110" t="s">
        <v>76</v>
      </c>
      <c r="B51" s="114">
        <v>52.286453839516824</v>
      </c>
      <c r="C51" s="114">
        <v>39.808362369337978</v>
      </c>
      <c r="D51" s="114">
        <v>1.4897579143389199</v>
      </c>
      <c r="E51" s="114">
        <v>3.0358785648574056</v>
      </c>
      <c r="F51" s="114">
        <v>2.2201665124884364</v>
      </c>
      <c r="G51" s="114">
        <v>1.7625231910946197</v>
      </c>
      <c r="H51" s="110">
        <v>1223</v>
      </c>
    </row>
    <row r="52" spans="1:8" x14ac:dyDescent="0.25">
      <c r="A52" s="110" t="s">
        <v>77</v>
      </c>
      <c r="B52" s="114">
        <v>59.763948497854081</v>
      </c>
      <c r="C52" s="114">
        <v>46.587215601300109</v>
      </c>
      <c r="D52" s="114">
        <v>2.3781902552204177</v>
      </c>
      <c r="E52" s="114">
        <v>3.2332563510392611</v>
      </c>
      <c r="F52" s="114">
        <v>1.7908723281340266</v>
      </c>
      <c r="G52" s="114">
        <v>1.3864818024263432</v>
      </c>
      <c r="H52" s="110">
        <v>1950</v>
      </c>
    </row>
    <row r="53" spans="1:8" x14ac:dyDescent="0.25">
      <c r="A53" s="110" t="s">
        <v>78</v>
      </c>
      <c r="B53" s="114">
        <v>62.696382900986478</v>
      </c>
      <c r="C53" s="114">
        <v>51.364306784660769</v>
      </c>
      <c r="D53" s="114">
        <v>3.17524115755627</v>
      </c>
      <c r="E53" s="114">
        <v>3.1524341580207502</v>
      </c>
      <c r="F53" s="114">
        <v>1.6413130504403524</v>
      </c>
      <c r="G53" s="114">
        <v>1.4078841512469831</v>
      </c>
      <c r="H53" s="110">
        <v>2870</v>
      </c>
    </row>
    <row r="54" spans="1:8" x14ac:dyDescent="0.25">
      <c r="A54" s="110" t="s">
        <v>79</v>
      </c>
      <c r="B54" s="114">
        <v>63.574064312071691</v>
      </c>
      <c r="C54" s="114">
        <v>52.763684913217624</v>
      </c>
      <c r="D54" s="114">
        <v>3.4639409426462238</v>
      </c>
      <c r="E54" s="114">
        <v>2.3183488832343793</v>
      </c>
      <c r="F54" s="114">
        <v>1.3830087496471917</v>
      </c>
      <c r="G54" s="114">
        <v>1.0215664018161181</v>
      </c>
      <c r="H54" s="110">
        <v>3899</v>
      </c>
    </row>
    <row r="56" spans="1:8" x14ac:dyDescent="0.25">
      <c r="A56" s="110"/>
    </row>
    <row r="57" spans="1:8" ht="13" x14ac:dyDescent="0.3">
      <c r="A57" s="109" t="s">
        <v>255</v>
      </c>
      <c r="B57" s="117" t="s">
        <v>402</v>
      </c>
      <c r="C57" s="117" t="s">
        <v>403</v>
      </c>
      <c r="D57" s="117" t="s">
        <v>404</v>
      </c>
      <c r="E57" s="117" t="s">
        <v>405</v>
      </c>
      <c r="F57" s="117" t="s">
        <v>406</v>
      </c>
      <c r="G57" s="117" t="s">
        <v>407</v>
      </c>
      <c r="H57" s="108" t="s">
        <v>346</v>
      </c>
    </row>
    <row r="58" spans="1:8" x14ac:dyDescent="0.25">
      <c r="A58" s="110"/>
      <c r="B58" s="114">
        <v>59.478901658040179</v>
      </c>
      <c r="C58" s="114">
        <v>48.022749489025152</v>
      </c>
      <c r="D58" s="114">
        <v>2.7394654237610578</v>
      </c>
      <c r="E58" s="114">
        <v>2.8155706727135299</v>
      </c>
      <c r="F58" s="114">
        <v>1.5894039735099337</v>
      </c>
      <c r="G58" s="114">
        <v>1.3394129381590196</v>
      </c>
      <c r="H58" s="110">
        <v>11856</v>
      </c>
    </row>
    <row r="59" spans="1:8" x14ac:dyDescent="0.25">
      <c r="A59" s="110"/>
    </row>
    <row r="60" spans="1:8" ht="13" x14ac:dyDescent="0.3">
      <c r="A60" s="109" t="s">
        <v>408</v>
      </c>
    </row>
    <row r="61" spans="1:8" ht="13" x14ac:dyDescent="0.3">
      <c r="A61" s="109"/>
    </row>
    <row r="62" spans="1:8" ht="13" x14ac:dyDescent="0.3">
      <c r="A62" s="106" t="s">
        <v>402</v>
      </c>
      <c r="B62" s="106" t="s">
        <v>409</v>
      </c>
      <c r="C62" s="114">
        <v>59.478901658040179</v>
      </c>
    </row>
    <row r="63" spans="1:8" ht="13" x14ac:dyDescent="0.3">
      <c r="A63" s="106" t="s">
        <v>403</v>
      </c>
      <c r="B63" s="106" t="s">
        <v>260</v>
      </c>
      <c r="C63" s="114">
        <v>48.022749489025152</v>
      </c>
    </row>
    <row r="64" spans="1:8" ht="13" x14ac:dyDescent="0.3">
      <c r="A64" s="106" t="s">
        <v>404</v>
      </c>
      <c r="B64" s="106" t="s">
        <v>279</v>
      </c>
      <c r="C64" s="114">
        <v>2.7394654237610578</v>
      </c>
    </row>
    <row r="65" spans="1:3" ht="13" x14ac:dyDescent="0.3">
      <c r="A65" s="106" t="s">
        <v>405</v>
      </c>
      <c r="B65" s="106" t="s">
        <v>410</v>
      </c>
      <c r="C65" s="114">
        <v>2.8155706727135299</v>
      </c>
    </row>
    <row r="66" spans="1:3" ht="13" x14ac:dyDescent="0.3">
      <c r="A66" s="106" t="s">
        <v>406</v>
      </c>
      <c r="B66" s="106" t="s">
        <v>268</v>
      </c>
      <c r="C66" s="114">
        <v>1.5894039735099337</v>
      </c>
    </row>
    <row r="67" spans="1:3" ht="13" x14ac:dyDescent="0.3">
      <c r="A67" s="106" t="s">
        <v>407</v>
      </c>
      <c r="B67" s="106" t="s">
        <v>269</v>
      </c>
      <c r="C67" s="114">
        <v>1.3394129381590196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A6" sqref="A6"/>
    </sheetView>
  </sheetViews>
  <sheetFormatPr defaultRowHeight="12.5" x14ac:dyDescent="0.25"/>
  <cols>
    <col min="1" max="1" width="24.35546875" style="107" customWidth="1"/>
    <col min="2" max="255" width="8.7109375" style="107"/>
    <col min="256" max="256" width="22.7109375" style="107" customWidth="1"/>
    <col min="257" max="257" width="24.35546875" style="107" customWidth="1"/>
    <col min="258" max="511" width="8.7109375" style="107"/>
    <col min="512" max="512" width="22.7109375" style="107" customWidth="1"/>
    <col min="513" max="513" width="24.35546875" style="107" customWidth="1"/>
    <col min="514" max="767" width="8.7109375" style="107"/>
    <col min="768" max="768" width="22.7109375" style="107" customWidth="1"/>
    <col min="769" max="769" width="24.35546875" style="107" customWidth="1"/>
    <col min="770" max="1023" width="8.7109375" style="107"/>
    <col min="1024" max="1024" width="22.7109375" style="107" customWidth="1"/>
    <col min="1025" max="1025" width="24.35546875" style="107" customWidth="1"/>
    <col min="1026" max="1279" width="8.7109375" style="107"/>
    <col min="1280" max="1280" width="22.7109375" style="107" customWidth="1"/>
    <col min="1281" max="1281" width="24.35546875" style="107" customWidth="1"/>
    <col min="1282" max="1535" width="8.7109375" style="107"/>
    <col min="1536" max="1536" width="22.7109375" style="107" customWidth="1"/>
    <col min="1537" max="1537" width="24.35546875" style="107" customWidth="1"/>
    <col min="1538" max="1791" width="8.7109375" style="107"/>
    <col min="1792" max="1792" width="22.7109375" style="107" customWidth="1"/>
    <col min="1793" max="1793" width="24.35546875" style="107" customWidth="1"/>
    <col min="1794" max="2047" width="8.7109375" style="107"/>
    <col min="2048" max="2048" width="22.7109375" style="107" customWidth="1"/>
    <col min="2049" max="2049" width="24.35546875" style="107" customWidth="1"/>
    <col min="2050" max="2303" width="8.7109375" style="107"/>
    <col min="2304" max="2304" width="22.7109375" style="107" customWidth="1"/>
    <col min="2305" max="2305" width="24.35546875" style="107" customWidth="1"/>
    <col min="2306" max="2559" width="8.7109375" style="107"/>
    <col min="2560" max="2560" width="22.7109375" style="107" customWidth="1"/>
    <col min="2561" max="2561" width="24.35546875" style="107" customWidth="1"/>
    <col min="2562" max="2815" width="8.7109375" style="107"/>
    <col min="2816" max="2816" width="22.7109375" style="107" customWidth="1"/>
    <col min="2817" max="2817" width="24.35546875" style="107" customWidth="1"/>
    <col min="2818" max="3071" width="8.7109375" style="107"/>
    <col min="3072" max="3072" width="22.7109375" style="107" customWidth="1"/>
    <col min="3073" max="3073" width="24.35546875" style="107" customWidth="1"/>
    <col min="3074" max="3327" width="8.7109375" style="107"/>
    <col min="3328" max="3328" width="22.7109375" style="107" customWidth="1"/>
    <col min="3329" max="3329" width="24.35546875" style="107" customWidth="1"/>
    <col min="3330" max="3583" width="8.7109375" style="107"/>
    <col min="3584" max="3584" width="22.7109375" style="107" customWidth="1"/>
    <col min="3585" max="3585" width="24.35546875" style="107" customWidth="1"/>
    <col min="3586" max="3839" width="8.7109375" style="107"/>
    <col min="3840" max="3840" width="22.7109375" style="107" customWidth="1"/>
    <col min="3841" max="3841" width="24.35546875" style="107" customWidth="1"/>
    <col min="3842" max="4095" width="8.7109375" style="107"/>
    <col min="4096" max="4096" width="22.7109375" style="107" customWidth="1"/>
    <col min="4097" max="4097" width="24.35546875" style="107" customWidth="1"/>
    <col min="4098" max="4351" width="8.7109375" style="107"/>
    <col min="4352" max="4352" width="22.7109375" style="107" customWidth="1"/>
    <col min="4353" max="4353" width="24.35546875" style="107" customWidth="1"/>
    <col min="4354" max="4607" width="8.7109375" style="107"/>
    <col min="4608" max="4608" width="22.7109375" style="107" customWidth="1"/>
    <col min="4609" max="4609" width="24.35546875" style="107" customWidth="1"/>
    <col min="4610" max="4863" width="8.7109375" style="107"/>
    <col min="4864" max="4864" width="22.7109375" style="107" customWidth="1"/>
    <col min="4865" max="4865" width="24.35546875" style="107" customWidth="1"/>
    <col min="4866" max="5119" width="8.7109375" style="107"/>
    <col min="5120" max="5120" width="22.7109375" style="107" customWidth="1"/>
    <col min="5121" max="5121" width="24.35546875" style="107" customWidth="1"/>
    <col min="5122" max="5375" width="8.7109375" style="107"/>
    <col min="5376" max="5376" width="22.7109375" style="107" customWidth="1"/>
    <col min="5377" max="5377" width="24.35546875" style="107" customWidth="1"/>
    <col min="5378" max="5631" width="8.7109375" style="107"/>
    <col min="5632" max="5632" width="22.7109375" style="107" customWidth="1"/>
    <col min="5633" max="5633" width="24.35546875" style="107" customWidth="1"/>
    <col min="5634" max="5887" width="8.7109375" style="107"/>
    <col min="5888" max="5888" width="22.7109375" style="107" customWidth="1"/>
    <col min="5889" max="5889" width="24.35546875" style="107" customWidth="1"/>
    <col min="5890" max="6143" width="8.7109375" style="107"/>
    <col min="6144" max="6144" width="22.7109375" style="107" customWidth="1"/>
    <col min="6145" max="6145" width="24.35546875" style="107" customWidth="1"/>
    <col min="6146" max="6399" width="8.7109375" style="107"/>
    <col min="6400" max="6400" width="22.7109375" style="107" customWidth="1"/>
    <col min="6401" max="6401" width="24.35546875" style="107" customWidth="1"/>
    <col min="6402" max="6655" width="8.7109375" style="107"/>
    <col min="6656" max="6656" width="22.7109375" style="107" customWidth="1"/>
    <col min="6657" max="6657" width="24.35546875" style="107" customWidth="1"/>
    <col min="6658" max="6911" width="8.7109375" style="107"/>
    <col min="6912" max="6912" width="22.7109375" style="107" customWidth="1"/>
    <col min="6913" max="6913" width="24.35546875" style="107" customWidth="1"/>
    <col min="6914" max="7167" width="8.7109375" style="107"/>
    <col min="7168" max="7168" width="22.7109375" style="107" customWidth="1"/>
    <col min="7169" max="7169" width="24.35546875" style="107" customWidth="1"/>
    <col min="7170" max="7423" width="8.7109375" style="107"/>
    <col min="7424" max="7424" width="22.7109375" style="107" customWidth="1"/>
    <col min="7425" max="7425" width="24.35546875" style="107" customWidth="1"/>
    <col min="7426" max="7679" width="8.7109375" style="107"/>
    <col min="7680" max="7680" width="22.7109375" style="107" customWidth="1"/>
    <col min="7681" max="7681" width="24.35546875" style="107" customWidth="1"/>
    <col min="7682" max="7935" width="8.7109375" style="107"/>
    <col min="7936" max="7936" width="22.7109375" style="107" customWidth="1"/>
    <col min="7937" max="7937" width="24.35546875" style="107" customWidth="1"/>
    <col min="7938" max="8191" width="8.7109375" style="107"/>
    <col min="8192" max="8192" width="22.7109375" style="107" customWidth="1"/>
    <col min="8193" max="8193" width="24.35546875" style="107" customWidth="1"/>
    <col min="8194" max="8447" width="8.7109375" style="107"/>
    <col min="8448" max="8448" width="22.7109375" style="107" customWidth="1"/>
    <col min="8449" max="8449" width="24.35546875" style="107" customWidth="1"/>
    <col min="8450" max="8703" width="8.7109375" style="107"/>
    <col min="8704" max="8704" width="22.7109375" style="107" customWidth="1"/>
    <col min="8705" max="8705" width="24.35546875" style="107" customWidth="1"/>
    <col min="8706" max="8959" width="8.7109375" style="107"/>
    <col min="8960" max="8960" width="22.7109375" style="107" customWidth="1"/>
    <col min="8961" max="8961" width="24.35546875" style="107" customWidth="1"/>
    <col min="8962" max="9215" width="8.7109375" style="107"/>
    <col min="9216" max="9216" width="22.7109375" style="107" customWidth="1"/>
    <col min="9217" max="9217" width="24.35546875" style="107" customWidth="1"/>
    <col min="9218" max="9471" width="8.7109375" style="107"/>
    <col min="9472" max="9472" width="22.7109375" style="107" customWidth="1"/>
    <col min="9473" max="9473" width="24.35546875" style="107" customWidth="1"/>
    <col min="9474" max="9727" width="8.7109375" style="107"/>
    <col min="9728" max="9728" width="22.7109375" style="107" customWidth="1"/>
    <col min="9729" max="9729" width="24.35546875" style="107" customWidth="1"/>
    <col min="9730" max="9983" width="8.7109375" style="107"/>
    <col min="9984" max="9984" width="22.7109375" style="107" customWidth="1"/>
    <col min="9985" max="9985" width="24.35546875" style="107" customWidth="1"/>
    <col min="9986" max="10239" width="8.7109375" style="107"/>
    <col min="10240" max="10240" width="22.7109375" style="107" customWidth="1"/>
    <col min="10241" max="10241" width="24.35546875" style="107" customWidth="1"/>
    <col min="10242" max="10495" width="8.7109375" style="107"/>
    <col min="10496" max="10496" width="22.7109375" style="107" customWidth="1"/>
    <col min="10497" max="10497" width="24.35546875" style="107" customWidth="1"/>
    <col min="10498" max="10751" width="8.7109375" style="107"/>
    <col min="10752" max="10752" width="22.7109375" style="107" customWidth="1"/>
    <col min="10753" max="10753" width="24.35546875" style="107" customWidth="1"/>
    <col min="10754" max="11007" width="8.7109375" style="107"/>
    <col min="11008" max="11008" width="22.7109375" style="107" customWidth="1"/>
    <col min="11009" max="11009" width="24.35546875" style="107" customWidth="1"/>
    <col min="11010" max="11263" width="8.7109375" style="107"/>
    <col min="11264" max="11264" width="22.7109375" style="107" customWidth="1"/>
    <col min="11265" max="11265" width="24.35546875" style="107" customWidth="1"/>
    <col min="11266" max="11519" width="8.7109375" style="107"/>
    <col min="11520" max="11520" width="22.7109375" style="107" customWidth="1"/>
    <col min="11521" max="11521" width="24.35546875" style="107" customWidth="1"/>
    <col min="11522" max="11775" width="8.7109375" style="107"/>
    <col min="11776" max="11776" width="22.7109375" style="107" customWidth="1"/>
    <col min="11777" max="11777" width="24.35546875" style="107" customWidth="1"/>
    <col min="11778" max="12031" width="8.7109375" style="107"/>
    <col min="12032" max="12032" width="22.7109375" style="107" customWidth="1"/>
    <col min="12033" max="12033" width="24.35546875" style="107" customWidth="1"/>
    <col min="12034" max="12287" width="8.7109375" style="107"/>
    <col min="12288" max="12288" width="22.7109375" style="107" customWidth="1"/>
    <col min="12289" max="12289" width="24.35546875" style="107" customWidth="1"/>
    <col min="12290" max="12543" width="8.7109375" style="107"/>
    <col min="12544" max="12544" width="22.7109375" style="107" customWidth="1"/>
    <col min="12545" max="12545" width="24.35546875" style="107" customWidth="1"/>
    <col min="12546" max="12799" width="8.7109375" style="107"/>
    <col min="12800" max="12800" width="22.7109375" style="107" customWidth="1"/>
    <col min="12801" max="12801" width="24.35546875" style="107" customWidth="1"/>
    <col min="12802" max="13055" width="8.7109375" style="107"/>
    <col min="13056" max="13056" width="22.7109375" style="107" customWidth="1"/>
    <col min="13057" max="13057" width="24.35546875" style="107" customWidth="1"/>
    <col min="13058" max="13311" width="8.7109375" style="107"/>
    <col min="13312" max="13312" width="22.7109375" style="107" customWidth="1"/>
    <col min="13313" max="13313" width="24.35546875" style="107" customWidth="1"/>
    <col min="13314" max="13567" width="8.7109375" style="107"/>
    <col min="13568" max="13568" width="22.7109375" style="107" customWidth="1"/>
    <col min="13569" max="13569" width="24.35546875" style="107" customWidth="1"/>
    <col min="13570" max="13823" width="8.7109375" style="107"/>
    <col min="13824" max="13824" width="22.7109375" style="107" customWidth="1"/>
    <col min="13825" max="13825" width="24.35546875" style="107" customWidth="1"/>
    <col min="13826" max="14079" width="8.7109375" style="107"/>
    <col min="14080" max="14080" width="22.7109375" style="107" customWidth="1"/>
    <col min="14081" max="14081" width="24.35546875" style="107" customWidth="1"/>
    <col min="14082" max="14335" width="8.7109375" style="107"/>
    <col min="14336" max="14336" width="22.7109375" style="107" customWidth="1"/>
    <col min="14337" max="14337" width="24.35546875" style="107" customWidth="1"/>
    <col min="14338" max="14591" width="8.7109375" style="107"/>
    <col min="14592" max="14592" width="22.7109375" style="107" customWidth="1"/>
    <col min="14593" max="14593" width="24.35546875" style="107" customWidth="1"/>
    <col min="14594" max="14847" width="8.7109375" style="107"/>
    <col min="14848" max="14848" width="22.7109375" style="107" customWidth="1"/>
    <col min="14849" max="14849" width="24.35546875" style="107" customWidth="1"/>
    <col min="14850" max="15103" width="8.7109375" style="107"/>
    <col min="15104" max="15104" width="22.7109375" style="107" customWidth="1"/>
    <col min="15105" max="15105" width="24.35546875" style="107" customWidth="1"/>
    <col min="15106" max="15359" width="8.7109375" style="107"/>
    <col min="15360" max="15360" width="22.7109375" style="107" customWidth="1"/>
    <col min="15361" max="15361" width="24.35546875" style="107" customWidth="1"/>
    <col min="15362" max="15615" width="8.7109375" style="107"/>
    <col min="15616" max="15616" width="22.7109375" style="107" customWidth="1"/>
    <col min="15617" max="15617" width="24.35546875" style="107" customWidth="1"/>
    <col min="15618" max="15871" width="8.7109375" style="107"/>
    <col min="15872" max="15872" width="22.7109375" style="107" customWidth="1"/>
    <col min="15873" max="15873" width="24.35546875" style="107" customWidth="1"/>
    <col min="15874" max="16127" width="8.7109375" style="107"/>
    <col min="16128" max="16128" width="22.7109375" style="107" customWidth="1"/>
    <col min="16129" max="16129" width="24.35546875" style="107" customWidth="1"/>
    <col min="16130" max="16384" width="8.7109375" style="107"/>
  </cols>
  <sheetData>
    <row r="1" spans="1:4" ht="13" x14ac:dyDescent="0.3">
      <c r="A1" s="140" t="s">
        <v>411</v>
      </c>
    </row>
    <row r="2" spans="1:4" ht="13" x14ac:dyDescent="0.3">
      <c r="A2" s="106" t="s">
        <v>412</v>
      </c>
    </row>
    <row r="4" spans="1:4" ht="13" x14ac:dyDescent="0.3">
      <c r="A4" s="112" t="s">
        <v>157</v>
      </c>
      <c r="B4" s="117" t="s">
        <v>413</v>
      </c>
      <c r="C4" s="117" t="s">
        <v>414</v>
      </c>
      <c r="D4" s="108" t="s">
        <v>346</v>
      </c>
    </row>
    <row r="5" spans="1:4" x14ac:dyDescent="0.25">
      <c r="A5" s="119" t="s">
        <v>42</v>
      </c>
      <c r="B5" s="114">
        <v>61.904761904761905</v>
      </c>
      <c r="C5" s="114">
        <v>30.864197530864196</v>
      </c>
      <c r="D5" s="110">
        <v>119</v>
      </c>
    </row>
    <row r="6" spans="1:4" x14ac:dyDescent="0.25">
      <c r="A6" s="119" t="s">
        <v>43</v>
      </c>
      <c r="B6" s="114">
        <v>56.939501779359432</v>
      </c>
      <c r="C6" s="114">
        <v>45.724907063197023</v>
      </c>
      <c r="D6" s="110">
        <v>667</v>
      </c>
    </row>
    <row r="7" spans="1:4" x14ac:dyDescent="0.25">
      <c r="A7" s="119" t="s">
        <v>44</v>
      </c>
      <c r="B7" s="114">
        <v>40.15748031496063</v>
      </c>
      <c r="C7" s="114">
        <v>33.333333333333336</v>
      </c>
      <c r="D7" s="110">
        <v>165</v>
      </c>
    </row>
    <row r="8" spans="1:4" x14ac:dyDescent="0.25">
      <c r="A8" s="119" t="s">
        <v>68</v>
      </c>
      <c r="B8" s="114">
        <v>58.494208494208493</v>
      </c>
      <c r="C8" s="114">
        <v>42.738589211618255</v>
      </c>
      <c r="D8" s="110">
        <v>624</v>
      </c>
    </row>
    <row r="9" spans="1:4" x14ac:dyDescent="0.25">
      <c r="A9" s="119" t="s">
        <v>2</v>
      </c>
      <c r="B9" s="114">
        <v>56.962025316455694</v>
      </c>
      <c r="C9" s="114">
        <v>60</v>
      </c>
      <c r="D9" s="110">
        <v>99</v>
      </c>
    </row>
    <row r="10" spans="1:4" x14ac:dyDescent="0.25">
      <c r="A10" s="119" t="s">
        <v>3</v>
      </c>
      <c r="B10" s="114">
        <v>39.316239316239319</v>
      </c>
      <c r="C10" s="114">
        <v>32.547169811320757</v>
      </c>
      <c r="D10" s="110">
        <v>301</v>
      </c>
    </row>
    <row r="11" spans="1:4" x14ac:dyDescent="0.25">
      <c r="A11" s="119" t="s">
        <v>4</v>
      </c>
      <c r="B11" s="114">
        <v>49.056603773584904</v>
      </c>
      <c r="C11" s="114">
        <v>43.908045977011497</v>
      </c>
      <c r="D11" s="110">
        <v>600</v>
      </c>
    </row>
    <row r="12" spans="1:4" x14ac:dyDescent="0.25">
      <c r="A12" s="119" t="s">
        <v>46</v>
      </c>
      <c r="B12" s="114">
        <v>36.036036036036037</v>
      </c>
      <c r="C12" s="114">
        <v>24.742268041237114</v>
      </c>
      <c r="D12" s="110">
        <v>148</v>
      </c>
    </row>
    <row r="13" spans="1:4" x14ac:dyDescent="0.25">
      <c r="A13" s="119" t="s">
        <v>5</v>
      </c>
      <c r="B13" s="114">
        <v>47.967479674796749</v>
      </c>
      <c r="C13" s="114">
        <v>41.386554621848738</v>
      </c>
      <c r="D13" s="110">
        <v>650</v>
      </c>
    </row>
    <row r="14" spans="1:4" x14ac:dyDescent="0.25">
      <c r="A14" s="119" t="s">
        <v>48</v>
      </c>
      <c r="B14" s="114">
        <v>39.393939393939391</v>
      </c>
      <c r="C14" s="114">
        <v>30</v>
      </c>
      <c r="D14" s="110">
        <v>135</v>
      </c>
    </row>
    <row r="15" spans="1:4" x14ac:dyDescent="0.25">
      <c r="A15" s="119" t="s">
        <v>49</v>
      </c>
      <c r="B15" s="114">
        <v>32.911392405063289</v>
      </c>
      <c r="C15" s="114">
        <v>41.025641025641029</v>
      </c>
      <c r="D15" s="110">
        <v>105</v>
      </c>
    </row>
    <row r="16" spans="1:4" x14ac:dyDescent="0.25">
      <c r="A16" s="119" t="s">
        <v>50</v>
      </c>
      <c r="B16" s="114">
        <v>34.640522875816991</v>
      </c>
      <c r="C16" s="114">
        <v>20.714285714285715</v>
      </c>
      <c r="D16" s="110">
        <v>194</v>
      </c>
    </row>
    <row r="17" spans="1:4" x14ac:dyDescent="0.25">
      <c r="A17" s="119" t="s">
        <v>69</v>
      </c>
      <c r="B17" s="114">
        <v>48.679245283018865</v>
      </c>
      <c r="C17" s="114">
        <v>34.854771784232362</v>
      </c>
      <c r="D17" s="110">
        <v>350</v>
      </c>
    </row>
    <row r="18" spans="1:4" x14ac:dyDescent="0.25">
      <c r="A18" s="119" t="s">
        <v>6</v>
      </c>
      <c r="B18" s="114">
        <v>56.0126582278481</v>
      </c>
      <c r="C18" s="114">
        <v>43.143812709030101</v>
      </c>
      <c r="D18" s="110">
        <v>389</v>
      </c>
    </row>
    <row r="19" spans="1:4" x14ac:dyDescent="0.25">
      <c r="A19" s="119" t="s">
        <v>70</v>
      </c>
      <c r="B19" s="114">
        <v>55.617977528089888</v>
      </c>
      <c r="C19" s="114">
        <v>46.24277456647399</v>
      </c>
      <c r="D19" s="110">
        <v>239</v>
      </c>
    </row>
    <row r="20" spans="1:4" x14ac:dyDescent="0.25">
      <c r="A20" s="119" t="s">
        <v>7</v>
      </c>
      <c r="B20" s="114">
        <v>33.87096774193548</v>
      </c>
      <c r="C20" s="114">
        <v>22.033898305084747</v>
      </c>
      <c r="D20" s="110">
        <v>168</v>
      </c>
    </row>
    <row r="21" spans="1:4" x14ac:dyDescent="0.25">
      <c r="A21" s="119" t="s">
        <v>22</v>
      </c>
      <c r="B21" s="114">
        <v>44.881889763779526</v>
      </c>
      <c r="C21" s="114">
        <v>40.983606557377051</v>
      </c>
      <c r="D21" s="110">
        <v>177</v>
      </c>
    </row>
    <row r="22" spans="1:4" x14ac:dyDescent="0.25">
      <c r="A22" s="119" t="s">
        <v>8</v>
      </c>
      <c r="B22" s="114">
        <v>50.11709601873536</v>
      </c>
      <c r="C22" s="114">
        <v>36.090225563909776</v>
      </c>
      <c r="D22" s="110">
        <v>533</v>
      </c>
    </row>
    <row r="23" spans="1:4" x14ac:dyDescent="0.25">
      <c r="A23" s="119" t="s">
        <v>9</v>
      </c>
      <c r="B23" s="114">
        <v>47.393364928909953</v>
      </c>
      <c r="C23" s="114">
        <v>47.115384615384613</v>
      </c>
      <c r="D23" s="110">
        <v>262</v>
      </c>
    </row>
    <row r="24" spans="1:4" x14ac:dyDescent="0.25">
      <c r="A24" s="119" t="s">
        <v>54</v>
      </c>
      <c r="B24" s="114">
        <v>52</v>
      </c>
      <c r="C24" s="114">
        <v>35.779816513761467</v>
      </c>
      <c r="D24" s="110">
        <v>168</v>
      </c>
    </row>
    <row r="25" spans="1:4" x14ac:dyDescent="0.25">
      <c r="A25" s="119" t="s">
        <v>71</v>
      </c>
      <c r="B25" s="114">
        <v>53.257790368271955</v>
      </c>
      <c r="C25" s="114">
        <v>46.951219512195124</v>
      </c>
      <c r="D25" s="110">
        <v>437</v>
      </c>
    </row>
    <row r="26" spans="1:4" x14ac:dyDescent="0.25">
      <c r="A26" s="119" t="s">
        <v>10</v>
      </c>
      <c r="B26" s="114">
        <v>48.427672955974842</v>
      </c>
      <c r="C26" s="114">
        <v>56.626506024096386</v>
      </c>
      <c r="D26" s="110">
        <v>219</v>
      </c>
    </row>
    <row r="27" spans="1:4" x14ac:dyDescent="0.25">
      <c r="A27" s="119" t="s">
        <v>56</v>
      </c>
      <c r="B27" s="114">
        <v>40.714285714285715</v>
      </c>
      <c r="C27" s="114">
        <v>18.548387096774192</v>
      </c>
      <c r="D27" s="110">
        <v>179</v>
      </c>
    </row>
    <row r="28" spans="1:4" x14ac:dyDescent="0.25">
      <c r="A28" s="119" t="s">
        <v>11</v>
      </c>
      <c r="B28" s="114">
        <v>61.003861003861005</v>
      </c>
      <c r="C28" s="114">
        <v>50.420168067226889</v>
      </c>
      <c r="D28" s="110">
        <v>639</v>
      </c>
    </row>
    <row r="29" spans="1:4" x14ac:dyDescent="0.25">
      <c r="A29" s="119" t="s">
        <v>58</v>
      </c>
      <c r="B29" s="114">
        <v>55.421686746987952</v>
      </c>
      <c r="C29" s="114">
        <v>25</v>
      </c>
      <c r="D29" s="110">
        <v>114</v>
      </c>
    </row>
    <row r="30" spans="1:4" x14ac:dyDescent="0.25">
      <c r="A30" s="119" t="s">
        <v>59</v>
      </c>
      <c r="B30" s="114">
        <v>49.541284403669728</v>
      </c>
      <c r="C30" s="114">
        <v>52.631578947368418</v>
      </c>
      <c r="D30" s="110">
        <v>143</v>
      </c>
    </row>
    <row r="31" spans="1:4" x14ac:dyDescent="0.25">
      <c r="A31" s="119" t="s">
        <v>60</v>
      </c>
      <c r="B31" s="114">
        <v>40.186915887850468</v>
      </c>
      <c r="C31" s="114">
        <v>28.865979381443299</v>
      </c>
      <c r="D31" s="110">
        <v>144</v>
      </c>
    </row>
    <row r="32" spans="1:4" x14ac:dyDescent="0.25">
      <c r="A32" s="119" t="s">
        <v>12</v>
      </c>
      <c r="B32" s="114">
        <v>34.375</v>
      </c>
      <c r="C32" s="114">
        <v>27.472527472527471</v>
      </c>
      <c r="D32" s="110">
        <v>135</v>
      </c>
    </row>
    <row r="33" spans="1:4" x14ac:dyDescent="0.25">
      <c r="A33" s="119" t="s">
        <v>61</v>
      </c>
      <c r="B33" s="114">
        <v>47</v>
      </c>
      <c r="C33" s="114">
        <v>33.87096774193548</v>
      </c>
      <c r="D33" s="110">
        <v>248</v>
      </c>
    </row>
    <row r="34" spans="1:4" x14ac:dyDescent="0.25">
      <c r="A34" s="119" t="s">
        <v>62</v>
      </c>
      <c r="B34" s="114">
        <v>31.168831168831169</v>
      </c>
      <c r="C34" s="114">
        <v>25.373134328358208</v>
      </c>
      <c r="D34" s="110">
        <v>115</v>
      </c>
    </row>
    <row r="35" spans="1:4" x14ac:dyDescent="0.25">
      <c r="A35" s="119" t="s">
        <v>23</v>
      </c>
      <c r="B35" s="114">
        <v>56.122448979591837</v>
      </c>
      <c r="C35" s="114">
        <v>35.227272727272727</v>
      </c>
      <c r="D35" s="110">
        <v>348</v>
      </c>
    </row>
    <row r="36" spans="1:4" x14ac:dyDescent="0.25">
      <c r="A36" s="119" t="s">
        <v>13</v>
      </c>
      <c r="B36" s="114">
        <v>42.1875</v>
      </c>
      <c r="C36" s="114">
        <v>41.414141414141412</v>
      </c>
      <c r="D36" s="110">
        <v>525</v>
      </c>
    </row>
    <row r="37" spans="1:4" x14ac:dyDescent="0.25">
      <c r="A37" s="119" t="s">
        <v>14</v>
      </c>
      <c r="B37" s="114">
        <v>49.166666666666664</v>
      </c>
      <c r="C37" s="114">
        <v>37.391304347826086</v>
      </c>
      <c r="D37" s="110">
        <v>158</v>
      </c>
    </row>
    <row r="38" spans="1:4" x14ac:dyDescent="0.25">
      <c r="A38" s="119" t="s">
        <v>64</v>
      </c>
      <c r="B38" s="114">
        <v>44</v>
      </c>
      <c r="C38" s="114">
        <v>33.333333333333336</v>
      </c>
      <c r="D38" s="110">
        <v>167</v>
      </c>
    </row>
    <row r="39" spans="1:4" x14ac:dyDescent="0.25">
      <c r="A39" s="119" t="s">
        <v>65</v>
      </c>
      <c r="B39" s="114">
        <v>49.816849816849818</v>
      </c>
      <c r="C39" s="114">
        <v>41.575091575091577</v>
      </c>
      <c r="D39" s="110">
        <v>692</v>
      </c>
    </row>
    <row r="40" spans="1:4" x14ac:dyDescent="0.25">
      <c r="A40" s="119" t="s">
        <v>66</v>
      </c>
      <c r="B40" s="114">
        <v>50.602409638554214</v>
      </c>
      <c r="C40" s="114">
        <v>43.037974683544306</v>
      </c>
      <c r="D40" s="110">
        <v>202</v>
      </c>
    </row>
    <row r="41" spans="1:4" x14ac:dyDescent="0.25">
      <c r="A41" s="119" t="s">
        <v>15</v>
      </c>
      <c r="B41" s="114">
        <v>50.095238095238095</v>
      </c>
      <c r="C41" s="114">
        <v>41.683366733466933</v>
      </c>
      <c r="D41" s="110">
        <v>627</v>
      </c>
    </row>
    <row r="42" spans="1:4" x14ac:dyDescent="0.25">
      <c r="A42" s="119" t="s">
        <v>16</v>
      </c>
      <c r="B42" s="114">
        <v>51.410658307210028</v>
      </c>
      <c r="C42" s="114">
        <v>49.841269841269842</v>
      </c>
      <c r="D42" s="110">
        <v>387</v>
      </c>
    </row>
    <row r="43" spans="1:4" x14ac:dyDescent="0.25">
      <c r="A43" s="119" t="s">
        <v>17</v>
      </c>
      <c r="B43" s="114">
        <v>59.523809523809526</v>
      </c>
      <c r="C43" s="114">
        <v>57.692307692307693</v>
      </c>
      <c r="D43" s="110">
        <v>99</v>
      </c>
    </row>
    <row r="44" spans="1:4" x14ac:dyDescent="0.25">
      <c r="A44" s="119" t="s">
        <v>24</v>
      </c>
      <c r="B44" s="114">
        <v>44.029850746268657</v>
      </c>
      <c r="C44" s="114">
        <v>33.082706766917291</v>
      </c>
      <c r="D44" s="110">
        <v>185</v>
      </c>
    </row>
    <row r="48" spans="1:4" ht="13" x14ac:dyDescent="0.3">
      <c r="A48" s="109" t="s">
        <v>254</v>
      </c>
      <c r="B48" s="117" t="s">
        <v>413</v>
      </c>
      <c r="C48" s="117" t="s">
        <v>414</v>
      </c>
      <c r="D48" s="108" t="s">
        <v>346</v>
      </c>
    </row>
    <row r="49" spans="1:4" x14ac:dyDescent="0.25">
      <c r="A49" s="113" t="s">
        <v>74</v>
      </c>
      <c r="B49" s="114">
        <v>68.621700879765399</v>
      </c>
      <c r="C49" s="114">
        <v>68.913857677902627</v>
      </c>
      <c r="D49" s="110">
        <v>676</v>
      </c>
    </row>
    <row r="50" spans="1:4" x14ac:dyDescent="0.25">
      <c r="A50" s="110" t="s">
        <v>75</v>
      </c>
      <c r="B50" s="114">
        <v>65.974440894568687</v>
      </c>
      <c r="C50" s="114">
        <v>63.825363825363823</v>
      </c>
      <c r="D50" s="110">
        <v>1238</v>
      </c>
    </row>
    <row r="51" spans="1:4" x14ac:dyDescent="0.25">
      <c r="A51" s="110" t="s">
        <v>76</v>
      </c>
      <c r="B51" s="114">
        <v>62.679425837320572</v>
      </c>
      <c r="C51" s="114">
        <v>57.95918367346939</v>
      </c>
      <c r="D51" s="110">
        <v>1223</v>
      </c>
    </row>
    <row r="52" spans="1:4" x14ac:dyDescent="0.25">
      <c r="A52" s="110" t="s">
        <v>77</v>
      </c>
      <c r="B52" s="114">
        <v>67.822222222222223</v>
      </c>
      <c r="C52" s="114">
        <v>64.087759815242492</v>
      </c>
      <c r="D52" s="110">
        <v>1950</v>
      </c>
    </row>
    <row r="53" spans="1:4" x14ac:dyDescent="0.25">
      <c r="A53" s="110" t="s">
        <v>78</v>
      </c>
      <c r="B53" s="114">
        <v>66.298020954598371</v>
      </c>
      <c r="C53" s="114">
        <v>68.191721132897598</v>
      </c>
      <c r="D53" s="110">
        <v>2870</v>
      </c>
    </row>
    <row r="54" spans="1:4" x14ac:dyDescent="0.25">
      <c r="A54" s="110" t="s">
        <v>79</v>
      </c>
      <c r="B54" s="114">
        <v>72.796934865900383</v>
      </c>
      <c r="C54" s="114">
        <v>70.575692963752658</v>
      </c>
      <c r="D54" s="110">
        <v>3899</v>
      </c>
    </row>
    <row r="56" spans="1:4" x14ac:dyDescent="0.25">
      <c r="A56" s="110"/>
    </row>
    <row r="57" spans="1:4" ht="13" x14ac:dyDescent="0.3">
      <c r="A57" s="109" t="s">
        <v>255</v>
      </c>
      <c r="B57" s="114">
        <v>68.552903035661657</v>
      </c>
      <c r="C57" s="114">
        <v>67.071121896583904</v>
      </c>
      <c r="D57" s="110">
        <v>11856</v>
      </c>
    </row>
    <row r="58" spans="1:4" ht="13" x14ac:dyDescent="0.3">
      <c r="A58" s="109"/>
    </row>
    <row r="60" spans="1:4" ht="13" x14ac:dyDescent="0.3">
      <c r="A60" s="106" t="s">
        <v>409</v>
      </c>
      <c r="B60" s="114">
        <v>68.552903035661657</v>
      </c>
    </row>
    <row r="61" spans="1:4" ht="13" x14ac:dyDescent="0.3">
      <c r="A61" s="106" t="s">
        <v>260</v>
      </c>
      <c r="B61" s="114">
        <v>67.071121896583904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A6" sqref="A6"/>
    </sheetView>
  </sheetViews>
  <sheetFormatPr defaultRowHeight="13.5" x14ac:dyDescent="0.25"/>
  <cols>
    <col min="1" max="1" width="20.78515625" style="105" customWidth="1"/>
    <col min="2" max="2" width="16.0703125" style="105" customWidth="1"/>
    <col min="3" max="3" width="11.78515625" style="105" customWidth="1"/>
    <col min="4" max="4" width="14.640625" style="105" customWidth="1"/>
    <col min="5" max="5" width="9" style="105" customWidth="1"/>
    <col min="6" max="256" width="8.7109375" style="105"/>
    <col min="257" max="257" width="20.78515625" style="105" customWidth="1"/>
    <col min="258" max="258" width="14.5" style="105" customWidth="1"/>
    <col min="259" max="259" width="11.78515625" style="105" customWidth="1"/>
    <col min="260" max="260" width="14.640625" style="105" customWidth="1"/>
    <col min="261" max="261" width="9" style="105" customWidth="1"/>
    <col min="262" max="512" width="8.7109375" style="105"/>
    <col min="513" max="513" width="20.78515625" style="105" customWidth="1"/>
    <col min="514" max="514" width="14.5" style="105" customWidth="1"/>
    <col min="515" max="515" width="11.78515625" style="105" customWidth="1"/>
    <col min="516" max="516" width="14.640625" style="105" customWidth="1"/>
    <col min="517" max="517" width="9" style="105" customWidth="1"/>
    <col min="518" max="768" width="8.7109375" style="105"/>
    <col min="769" max="769" width="20.78515625" style="105" customWidth="1"/>
    <col min="770" max="770" width="14.5" style="105" customWidth="1"/>
    <col min="771" max="771" width="11.78515625" style="105" customWidth="1"/>
    <col min="772" max="772" width="14.640625" style="105" customWidth="1"/>
    <col min="773" max="773" width="9" style="105" customWidth="1"/>
    <col min="774" max="1024" width="8.7109375" style="105"/>
    <col min="1025" max="1025" width="20.78515625" style="105" customWidth="1"/>
    <col min="1026" max="1026" width="14.5" style="105" customWidth="1"/>
    <col min="1027" max="1027" width="11.78515625" style="105" customWidth="1"/>
    <col min="1028" max="1028" width="14.640625" style="105" customWidth="1"/>
    <col min="1029" max="1029" width="9" style="105" customWidth="1"/>
    <col min="1030" max="1280" width="8.7109375" style="105"/>
    <col min="1281" max="1281" width="20.78515625" style="105" customWidth="1"/>
    <col min="1282" max="1282" width="14.5" style="105" customWidth="1"/>
    <col min="1283" max="1283" width="11.78515625" style="105" customWidth="1"/>
    <col min="1284" max="1284" width="14.640625" style="105" customWidth="1"/>
    <col min="1285" max="1285" width="9" style="105" customWidth="1"/>
    <col min="1286" max="1536" width="8.7109375" style="105"/>
    <col min="1537" max="1537" width="20.78515625" style="105" customWidth="1"/>
    <col min="1538" max="1538" width="14.5" style="105" customWidth="1"/>
    <col min="1539" max="1539" width="11.78515625" style="105" customWidth="1"/>
    <col min="1540" max="1540" width="14.640625" style="105" customWidth="1"/>
    <col min="1541" max="1541" width="9" style="105" customWidth="1"/>
    <col min="1542" max="1792" width="8.7109375" style="105"/>
    <col min="1793" max="1793" width="20.78515625" style="105" customWidth="1"/>
    <col min="1794" max="1794" width="14.5" style="105" customWidth="1"/>
    <col min="1795" max="1795" width="11.78515625" style="105" customWidth="1"/>
    <col min="1796" max="1796" width="14.640625" style="105" customWidth="1"/>
    <col min="1797" max="1797" width="9" style="105" customWidth="1"/>
    <col min="1798" max="2048" width="8.7109375" style="105"/>
    <col min="2049" max="2049" width="20.78515625" style="105" customWidth="1"/>
    <col min="2050" max="2050" width="14.5" style="105" customWidth="1"/>
    <col min="2051" max="2051" width="11.78515625" style="105" customWidth="1"/>
    <col min="2052" max="2052" width="14.640625" style="105" customWidth="1"/>
    <col min="2053" max="2053" width="9" style="105" customWidth="1"/>
    <col min="2054" max="2304" width="8.7109375" style="105"/>
    <col min="2305" max="2305" width="20.78515625" style="105" customWidth="1"/>
    <col min="2306" max="2306" width="14.5" style="105" customWidth="1"/>
    <col min="2307" max="2307" width="11.78515625" style="105" customWidth="1"/>
    <col min="2308" max="2308" width="14.640625" style="105" customWidth="1"/>
    <col min="2309" max="2309" width="9" style="105" customWidth="1"/>
    <col min="2310" max="2560" width="8.7109375" style="105"/>
    <col min="2561" max="2561" width="20.78515625" style="105" customWidth="1"/>
    <col min="2562" max="2562" width="14.5" style="105" customWidth="1"/>
    <col min="2563" max="2563" width="11.78515625" style="105" customWidth="1"/>
    <col min="2564" max="2564" width="14.640625" style="105" customWidth="1"/>
    <col min="2565" max="2565" width="9" style="105" customWidth="1"/>
    <col min="2566" max="2816" width="8.7109375" style="105"/>
    <col min="2817" max="2817" width="20.78515625" style="105" customWidth="1"/>
    <col min="2818" max="2818" width="14.5" style="105" customWidth="1"/>
    <col min="2819" max="2819" width="11.78515625" style="105" customWidth="1"/>
    <col min="2820" max="2820" width="14.640625" style="105" customWidth="1"/>
    <col min="2821" max="2821" width="9" style="105" customWidth="1"/>
    <col min="2822" max="3072" width="8.7109375" style="105"/>
    <col min="3073" max="3073" width="20.78515625" style="105" customWidth="1"/>
    <col min="3074" max="3074" width="14.5" style="105" customWidth="1"/>
    <col min="3075" max="3075" width="11.78515625" style="105" customWidth="1"/>
    <col min="3076" max="3076" width="14.640625" style="105" customWidth="1"/>
    <col min="3077" max="3077" width="9" style="105" customWidth="1"/>
    <col min="3078" max="3328" width="8.7109375" style="105"/>
    <col min="3329" max="3329" width="20.78515625" style="105" customWidth="1"/>
    <col min="3330" max="3330" width="14.5" style="105" customWidth="1"/>
    <col min="3331" max="3331" width="11.78515625" style="105" customWidth="1"/>
    <col min="3332" max="3332" width="14.640625" style="105" customWidth="1"/>
    <col min="3333" max="3333" width="9" style="105" customWidth="1"/>
    <col min="3334" max="3584" width="8.7109375" style="105"/>
    <col min="3585" max="3585" width="20.78515625" style="105" customWidth="1"/>
    <col min="3586" max="3586" width="14.5" style="105" customWidth="1"/>
    <col min="3587" max="3587" width="11.78515625" style="105" customWidth="1"/>
    <col min="3588" max="3588" width="14.640625" style="105" customWidth="1"/>
    <col min="3589" max="3589" width="9" style="105" customWidth="1"/>
    <col min="3590" max="3840" width="8.7109375" style="105"/>
    <col min="3841" max="3841" width="20.78515625" style="105" customWidth="1"/>
    <col min="3842" max="3842" width="14.5" style="105" customWidth="1"/>
    <col min="3843" max="3843" width="11.78515625" style="105" customWidth="1"/>
    <col min="3844" max="3844" width="14.640625" style="105" customWidth="1"/>
    <col min="3845" max="3845" width="9" style="105" customWidth="1"/>
    <col min="3846" max="4096" width="8.7109375" style="105"/>
    <col min="4097" max="4097" width="20.78515625" style="105" customWidth="1"/>
    <col min="4098" max="4098" width="14.5" style="105" customWidth="1"/>
    <col min="4099" max="4099" width="11.78515625" style="105" customWidth="1"/>
    <col min="4100" max="4100" width="14.640625" style="105" customWidth="1"/>
    <col min="4101" max="4101" width="9" style="105" customWidth="1"/>
    <col min="4102" max="4352" width="8.7109375" style="105"/>
    <col min="4353" max="4353" width="20.78515625" style="105" customWidth="1"/>
    <col min="4354" max="4354" width="14.5" style="105" customWidth="1"/>
    <col min="4355" max="4355" width="11.78515625" style="105" customWidth="1"/>
    <col min="4356" max="4356" width="14.640625" style="105" customWidth="1"/>
    <col min="4357" max="4357" width="9" style="105" customWidth="1"/>
    <col min="4358" max="4608" width="8.7109375" style="105"/>
    <col min="4609" max="4609" width="20.78515625" style="105" customWidth="1"/>
    <col min="4610" max="4610" width="14.5" style="105" customWidth="1"/>
    <col min="4611" max="4611" width="11.78515625" style="105" customWidth="1"/>
    <col min="4612" max="4612" width="14.640625" style="105" customWidth="1"/>
    <col min="4613" max="4613" width="9" style="105" customWidth="1"/>
    <col min="4614" max="4864" width="8.7109375" style="105"/>
    <col min="4865" max="4865" width="20.78515625" style="105" customWidth="1"/>
    <col min="4866" max="4866" width="14.5" style="105" customWidth="1"/>
    <col min="4867" max="4867" width="11.78515625" style="105" customWidth="1"/>
    <col min="4868" max="4868" width="14.640625" style="105" customWidth="1"/>
    <col min="4869" max="4869" width="9" style="105" customWidth="1"/>
    <col min="4870" max="5120" width="8.7109375" style="105"/>
    <col min="5121" max="5121" width="20.78515625" style="105" customWidth="1"/>
    <col min="5122" max="5122" width="14.5" style="105" customWidth="1"/>
    <col min="5123" max="5123" width="11.78515625" style="105" customWidth="1"/>
    <col min="5124" max="5124" width="14.640625" style="105" customWidth="1"/>
    <col min="5125" max="5125" width="9" style="105" customWidth="1"/>
    <col min="5126" max="5376" width="8.7109375" style="105"/>
    <col min="5377" max="5377" width="20.78515625" style="105" customWidth="1"/>
    <col min="5378" max="5378" width="14.5" style="105" customWidth="1"/>
    <col min="5379" max="5379" width="11.78515625" style="105" customWidth="1"/>
    <col min="5380" max="5380" width="14.640625" style="105" customWidth="1"/>
    <col min="5381" max="5381" width="9" style="105" customWidth="1"/>
    <col min="5382" max="5632" width="8.7109375" style="105"/>
    <col min="5633" max="5633" width="20.78515625" style="105" customWidth="1"/>
    <col min="5634" max="5634" width="14.5" style="105" customWidth="1"/>
    <col min="5635" max="5635" width="11.78515625" style="105" customWidth="1"/>
    <col min="5636" max="5636" width="14.640625" style="105" customWidth="1"/>
    <col min="5637" max="5637" width="9" style="105" customWidth="1"/>
    <col min="5638" max="5888" width="8.7109375" style="105"/>
    <col min="5889" max="5889" width="20.78515625" style="105" customWidth="1"/>
    <col min="5890" max="5890" width="14.5" style="105" customWidth="1"/>
    <col min="5891" max="5891" width="11.78515625" style="105" customWidth="1"/>
    <col min="5892" max="5892" width="14.640625" style="105" customWidth="1"/>
    <col min="5893" max="5893" width="9" style="105" customWidth="1"/>
    <col min="5894" max="6144" width="8.7109375" style="105"/>
    <col min="6145" max="6145" width="20.78515625" style="105" customWidth="1"/>
    <col min="6146" max="6146" width="14.5" style="105" customWidth="1"/>
    <col min="6147" max="6147" width="11.78515625" style="105" customWidth="1"/>
    <col min="6148" max="6148" width="14.640625" style="105" customWidth="1"/>
    <col min="6149" max="6149" width="9" style="105" customWidth="1"/>
    <col min="6150" max="6400" width="8.7109375" style="105"/>
    <col min="6401" max="6401" width="20.78515625" style="105" customWidth="1"/>
    <col min="6402" max="6402" width="14.5" style="105" customWidth="1"/>
    <col min="6403" max="6403" width="11.78515625" style="105" customWidth="1"/>
    <col min="6404" max="6404" width="14.640625" style="105" customWidth="1"/>
    <col min="6405" max="6405" width="9" style="105" customWidth="1"/>
    <col min="6406" max="6656" width="8.7109375" style="105"/>
    <col min="6657" max="6657" width="20.78515625" style="105" customWidth="1"/>
    <col min="6658" max="6658" width="14.5" style="105" customWidth="1"/>
    <col min="6659" max="6659" width="11.78515625" style="105" customWidth="1"/>
    <col min="6660" max="6660" width="14.640625" style="105" customWidth="1"/>
    <col min="6661" max="6661" width="9" style="105" customWidth="1"/>
    <col min="6662" max="6912" width="8.7109375" style="105"/>
    <col min="6913" max="6913" width="20.78515625" style="105" customWidth="1"/>
    <col min="6914" max="6914" width="14.5" style="105" customWidth="1"/>
    <col min="6915" max="6915" width="11.78515625" style="105" customWidth="1"/>
    <col min="6916" max="6916" width="14.640625" style="105" customWidth="1"/>
    <col min="6917" max="6917" width="9" style="105" customWidth="1"/>
    <col min="6918" max="7168" width="8.7109375" style="105"/>
    <col min="7169" max="7169" width="20.78515625" style="105" customWidth="1"/>
    <col min="7170" max="7170" width="14.5" style="105" customWidth="1"/>
    <col min="7171" max="7171" width="11.78515625" style="105" customWidth="1"/>
    <col min="7172" max="7172" width="14.640625" style="105" customWidth="1"/>
    <col min="7173" max="7173" width="9" style="105" customWidth="1"/>
    <col min="7174" max="7424" width="8.7109375" style="105"/>
    <col min="7425" max="7425" width="20.78515625" style="105" customWidth="1"/>
    <col min="7426" max="7426" width="14.5" style="105" customWidth="1"/>
    <col min="7427" max="7427" width="11.78515625" style="105" customWidth="1"/>
    <col min="7428" max="7428" width="14.640625" style="105" customWidth="1"/>
    <col min="7429" max="7429" width="9" style="105" customWidth="1"/>
    <col min="7430" max="7680" width="8.7109375" style="105"/>
    <col min="7681" max="7681" width="20.78515625" style="105" customWidth="1"/>
    <col min="7682" max="7682" width="14.5" style="105" customWidth="1"/>
    <col min="7683" max="7683" width="11.78515625" style="105" customWidth="1"/>
    <col min="7684" max="7684" width="14.640625" style="105" customWidth="1"/>
    <col min="7685" max="7685" width="9" style="105" customWidth="1"/>
    <col min="7686" max="7936" width="8.7109375" style="105"/>
    <col min="7937" max="7937" width="20.78515625" style="105" customWidth="1"/>
    <col min="7938" max="7938" width="14.5" style="105" customWidth="1"/>
    <col min="7939" max="7939" width="11.78515625" style="105" customWidth="1"/>
    <col min="7940" max="7940" width="14.640625" style="105" customWidth="1"/>
    <col min="7941" max="7941" width="9" style="105" customWidth="1"/>
    <col min="7942" max="8192" width="8.7109375" style="105"/>
    <col min="8193" max="8193" width="20.78515625" style="105" customWidth="1"/>
    <col min="8194" max="8194" width="14.5" style="105" customWidth="1"/>
    <col min="8195" max="8195" width="11.78515625" style="105" customWidth="1"/>
    <col min="8196" max="8196" width="14.640625" style="105" customWidth="1"/>
    <col min="8197" max="8197" width="9" style="105" customWidth="1"/>
    <col min="8198" max="8448" width="8.7109375" style="105"/>
    <col min="8449" max="8449" width="20.78515625" style="105" customWidth="1"/>
    <col min="8450" max="8450" width="14.5" style="105" customWidth="1"/>
    <col min="8451" max="8451" width="11.78515625" style="105" customWidth="1"/>
    <col min="8452" max="8452" width="14.640625" style="105" customWidth="1"/>
    <col min="8453" max="8453" width="9" style="105" customWidth="1"/>
    <col min="8454" max="8704" width="8.7109375" style="105"/>
    <col min="8705" max="8705" width="20.78515625" style="105" customWidth="1"/>
    <col min="8706" max="8706" width="14.5" style="105" customWidth="1"/>
    <col min="8707" max="8707" width="11.78515625" style="105" customWidth="1"/>
    <col min="8708" max="8708" width="14.640625" style="105" customWidth="1"/>
    <col min="8709" max="8709" width="9" style="105" customWidth="1"/>
    <col min="8710" max="8960" width="8.7109375" style="105"/>
    <col min="8961" max="8961" width="20.78515625" style="105" customWidth="1"/>
    <col min="8962" max="8962" width="14.5" style="105" customWidth="1"/>
    <col min="8963" max="8963" width="11.78515625" style="105" customWidth="1"/>
    <col min="8964" max="8964" width="14.640625" style="105" customWidth="1"/>
    <col min="8965" max="8965" width="9" style="105" customWidth="1"/>
    <col min="8966" max="9216" width="8.7109375" style="105"/>
    <col min="9217" max="9217" width="20.78515625" style="105" customWidth="1"/>
    <col min="9218" max="9218" width="14.5" style="105" customWidth="1"/>
    <col min="9219" max="9219" width="11.78515625" style="105" customWidth="1"/>
    <col min="9220" max="9220" width="14.640625" style="105" customWidth="1"/>
    <col min="9221" max="9221" width="9" style="105" customWidth="1"/>
    <col min="9222" max="9472" width="8.7109375" style="105"/>
    <col min="9473" max="9473" width="20.78515625" style="105" customWidth="1"/>
    <col min="9474" max="9474" width="14.5" style="105" customWidth="1"/>
    <col min="9475" max="9475" width="11.78515625" style="105" customWidth="1"/>
    <col min="9476" max="9476" width="14.640625" style="105" customWidth="1"/>
    <col min="9477" max="9477" width="9" style="105" customWidth="1"/>
    <col min="9478" max="9728" width="8.7109375" style="105"/>
    <col min="9729" max="9729" width="20.78515625" style="105" customWidth="1"/>
    <col min="9730" max="9730" width="14.5" style="105" customWidth="1"/>
    <col min="9731" max="9731" width="11.78515625" style="105" customWidth="1"/>
    <col min="9732" max="9732" width="14.640625" style="105" customWidth="1"/>
    <col min="9733" max="9733" width="9" style="105" customWidth="1"/>
    <col min="9734" max="9984" width="8.7109375" style="105"/>
    <col min="9985" max="9985" width="20.78515625" style="105" customWidth="1"/>
    <col min="9986" max="9986" width="14.5" style="105" customWidth="1"/>
    <col min="9987" max="9987" width="11.78515625" style="105" customWidth="1"/>
    <col min="9988" max="9988" width="14.640625" style="105" customWidth="1"/>
    <col min="9989" max="9989" width="9" style="105" customWidth="1"/>
    <col min="9990" max="10240" width="8.7109375" style="105"/>
    <col min="10241" max="10241" width="20.78515625" style="105" customWidth="1"/>
    <col min="10242" max="10242" width="14.5" style="105" customWidth="1"/>
    <col min="10243" max="10243" width="11.78515625" style="105" customWidth="1"/>
    <col min="10244" max="10244" width="14.640625" style="105" customWidth="1"/>
    <col min="10245" max="10245" width="9" style="105" customWidth="1"/>
    <col min="10246" max="10496" width="8.7109375" style="105"/>
    <col min="10497" max="10497" width="20.78515625" style="105" customWidth="1"/>
    <col min="10498" max="10498" width="14.5" style="105" customWidth="1"/>
    <col min="10499" max="10499" width="11.78515625" style="105" customWidth="1"/>
    <col min="10500" max="10500" width="14.640625" style="105" customWidth="1"/>
    <col min="10501" max="10501" width="9" style="105" customWidth="1"/>
    <col min="10502" max="10752" width="8.7109375" style="105"/>
    <col min="10753" max="10753" width="20.78515625" style="105" customWidth="1"/>
    <col min="10754" max="10754" width="14.5" style="105" customWidth="1"/>
    <col min="10755" max="10755" width="11.78515625" style="105" customWidth="1"/>
    <col min="10756" max="10756" width="14.640625" style="105" customWidth="1"/>
    <col min="10757" max="10757" width="9" style="105" customWidth="1"/>
    <col min="10758" max="11008" width="8.7109375" style="105"/>
    <col min="11009" max="11009" width="20.78515625" style="105" customWidth="1"/>
    <col min="11010" max="11010" width="14.5" style="105" customWidth="1"/>
    <col min="11011" max="11011" width="11.78515625" style="105" customWidth="1"/>
    <col min="11012" max="11012" width="14.640625" style="105" customWidth="1"/>
    <col min="11013" max="11013" width="9" style="105" customWidth="1"/>
    <col min="11014" max="11264" width="8.7109375" style="105"/>
    <col min="11265" max="11265" width="20.78515625" style="105" customWidth="1"/>
    <col min="11266" max="11266" width="14.5" style="105" customWidth="1"/>
    <col min="11267" max="11267" width="11.78515625" style="105" customWidth="1"/>
    <col min="11268" max="11268" width="14.640625" style="105" customWidth="1"/>
    <col min="11269" max="11269" width="9" style="105" customWidth="1"/>
    <col min="11270" max="11520" width="8.7109375" style="105"/>
    <col min="11521" max="11521" width="20.78515625" style="105" customWidth="1"/>
    <col min="11522" max="11522" width="14.5" style="105" customWidth="1"/>
    <col min="11523" max="11523" width="11.78515625" style="105" customWidth="1"/>
    <col min="11524" max="11524" width="14.640625" style="105" customWidth="1"/>
    <col min="11525" max="11525" width="9" style="105" customWidth="1"/>
    <col min="11526" max="11776" width="8.7109375" style="105"/>
    <col min="11777" max="11777" width="20.78515625" style="105" customWidth="1"/>
    <col min="11778" max="11778" width="14.5" style="105" customWidth="1"/>
    <col min="11779" max="11779" width="11.78515625" style="105" customWidth="1"/>
    <col min="11780" max="11780" width="14.640625" style="105" customWidth="1"/>
    <col min="11781" max="11781" width="9" style="105" customWidth="1"/>
    <col min="11782" max="12032" width="8.7109375" style="105"/>
    <col min="12033" max="12033" width="20.78515625" style="105" customWidth="1"/>
    <col min="12034" max="12034" width="14.5" style="105" customWidth="1"/>
    <col min="12035" max="12035" width="11.78515625" style="105" customWidth="1"/>
    <col min="12036" max="12036" width="14.640625" style="105" customWidth="1"/>
    <col min="12037" max="12037" width="9" style="105" customWidth="1"/>
    <col min="12038" max="12288" width="8.7109375" style="105"/>
    <col min="12289" max="12289" width="20.78515625" style="105" customWidth="1"/>
    <col min="12290" max="12290" width="14.5" style="105" customWidth="1"/>
    <col min="12291" max="12291" width="11.78515625" style="105" customWidth="1"/>
    <col min="12292" max="12292" width="14.640625" style="105" customWidth="1"/>
    <col min="12293" max="12293" width="9" style="105" customWidth="1"/>
    <col min="12294" max="12544" width="8.7109375" style="105"/>
    <col min="12545" max="12545" width="20.78515625" style="105" customWidth="1"/>
    <col min="12546" max="12546" width="14.5" style="105" customWidth="1"/>
    <col min="12547" max="12547" width="11.78515625" style="105" customWidth="1"/>
    <col min="12548" max="12548" width="14.640625" style="105" customWidth="1"/>
    <col min="12549" max="12549" width="9" style="105" customWidth="1"/>
    <col min="12550" max="12800" width="8.7109375" style="105"/>
    <col min="12801" max="12801" width="20.78515625" style="105" customWidth="1"/>
    <col min="12802" max="12802" width="14.5" style="105" customWidth="1"/>
    <col min="12803" max="12803" width="11.78515625" style="105" customWidth="1"/>
    <col min="12804" max="12804" width="14.640625" style="105" customWidth="1"/>
    <col min="12805" max="12805" width="9" style="105" customWidth="1"/>
    <col min="12806" max="13056" width="8.7109375" style="105"/>
    <col min="13057" max="13057" width="20.78515625" style="105" customWidth="1"/>
    <col min="13058" max="13058" width="14.5" style="105" customWidth="1"/>
    <col min="13059" max="13059" width="11.78515625" style="105" customWidth="1"/>
    <col min="13060" max="13060" width="14.640625" style="105" customWidth="1"/>
    <col min="13061" max="13061" width="9" style="105" customWidth="1"/>
    <col min="13062" max="13312" width="8.7109375" style="105"/>
    <col min="13313" max="13313" width="20.78515625" style="105" customWidth="1"/>
    <col min="13314" max="13314" width="14.5" style="105" customWidth="1"/>
    <col min="13315" max="13315" width="11.78515625" style="105" customWidth="1"/>
    <col min="13316" max="13316" width="14.640625" style="105" customWidth="1"/>
    <col min="13317" max="13317" width="9" style="105" customWidth="1"/>
    <col min="13318" max="13568" width="8.7109375" style="105"/>
    <col min="13569" max="13569" width="20.78515625" style="105" customWidth="1"/>
    <col min="13570" max="13570" width="14.5" style="105" customWidth="1"/>
    <col min="13571" max="13571" width="11.78515625" style="105" customWidth="1"/>
    <col min="13572" max="13572" width="14.640625" style="105" customWidth="1"/>
    <col min="13573" max="13573" width="9" style="105" customWidth="1"/>
    <col min="13574" max="13824" width="8.7109375" style="105"/>
    <col min="13825" max="13825" width="20.78515625" style="105" customWidth="1"/>
    <col min="13826" max="13826" width="14.5" style="105" customWidth="1"/>
    <col min="13827" max="13827" width="11.78515625" style="105" customWidth="1"/>
    <col min="13828" max="13828" width="14.640625" style="105" customWidth="1"/>
    <col min="13829" max="13829" width="9" style="105" customWidth="1"/>
    <col min="13830" max="14080" width="8.7109375" style="105"/>
    <col min="14081" max="14081" width="20.78515625" style="105" customWidth="1"/>
    <col min="14082" max="14082" width="14.5" style="105" customWidth="1"/>
    <col min="14083" max="14083" width="11.78515625" style="105" customWidth="1"/>
    <col min="14084" max="14084" width="14.640625" style="105" customWidth="1"/>
    <col min="14085" max="14085" width="9" style="105" customWidth="1"/>
    <col min="14086" max="14336" width="8.7109375" style="105"/>
    <col min="14337" max="14337" width="20.78515625" style="105" customWidth="1"/>
    <col min="14338" max="14338" width="14.5" style="105" customWidth="1"/>
    <col min="14339" max="14339" width="11.78515625" style="105" customWidth="1"/>
    <col min="14340" max="14340" width="14.640625" style="105" customWidth="1"/>
    <col min="14341" max="14341" width="9" style="105" customWidth="1"/>
    <col min="14342" max="14592" width="8.7109375" style="105"/>
    <col min="14593" max="14593" width="20.78515625" style="105" customWidth="1"/>
    <col min="14594" max="14594" width="14.5" style="105" customWidth="1"/>
    <col min="14595" max="14595" width="11.78515625" style="105" customWidth="1"/>
    <col min="14596" max="14596" width="14.640625" style="105" customWidth="1"/>
    <col min="14597" max="14597" width="9" style="105" customWidth="1"/>
    <col min="14598" max="14848" width="8.7109375" style="105"/>
    <col min="14849" max="14849" width="20.78515625" style="105" customWidth="1"/>
    <col min="14850" max="14850" width="14.5" style="105" customWidth="1"/>
    <col min="14851" max="14851" width="11.78515625" style="105" customWidth="1"/>
    <col min="14852" max="14852" width="14.640625" style="105" customWidth="1"/>
    <col min="14853" max="14853" width="9" style="105" customWidth="1"/>
    <col min="14854" max="15104" width="8.7109375" style="105"/>
    <col min="15105" max="15105" width="20.78515625" style="105" customWidth="1"/>
    <col min="15106" max="15106" width="14.5" style="105" customWidth="1"/>
    <col min="15107" max="15107" width="11.78515625" style="105" customWidth="1"/>
    <col min="15108" max="15108" width="14.640625" style="105" customWidth="1"/>
    <col min="15109" max="15109" width="9" style="105" customWidth="1"/>
    <col min="15110" max="15360" width="8.7109375" style="105"/>
    <col min="15361" max="15361" width="20.78515625" style="105" customWidth="1"/>
    <col min="15362" max="15362" width="14.5" style="105" customWidth="1"/>
    <col min="15363" max="15363" width="11.78515625" style="105" customWidth="1"/>
    <col min="15364" max="15364" width="14.640625" style="105" customWidth="1"/>
    <col min="15365" max="15365" width="9" style="105" customWidth="1"/>
    <col min="15366" max="15616" width="8.7109375" style="105"/>
    <col min="15617" max="15617" width="20.78515625" style="105" customWidth="1"/>
    <col min="15618" max="15618" width="14.5" style="105" customWidth="1"/>
    <col min="15619" max="15619" width="11.78515625" style="105" customWidth="1"/>
    <col min="15620" max="15620" width="14.640625" style="105" customWidth="1"/>
    <col min="15621" max="15621" width="9" style="105" customWidth="1"/>
    <col min="15622" max="15872" width="8.7109375" style="105"/>
    <col min="15873" max="15873" width="20.78515625" style="105" customWidth="1"/>
    <col min="15874" max="15874" width="14.5" style="105" customWidth="1"/>
    <col min="15875" max="15875" width="11.78515625" style="105" customWidth="1"/>
    <col min="15876" max="15876" width="14.640625" style="105" customWidth="1"/>
    <col min="15877" max="15877" width="9" style="105" customWidth="1"/>
    <col min="15878" max="16128" width="8.7109375" style="105"/>
    <col min="16129" max="16129" width="20.78515625" style="105" customWidth="1"/>
    <col min="16130" max="16130" width="14.5" style="105" customWidth="1"/>
    <col min="16131" max="16131" width="11.78515625" style="105" customWidth="1"/>
    <col min="16132" max="16132" width="14.640625" style="105" customWidth="1"/>
    <col min="16133" max="16133" width="9" style="105" customWidth="1"/>
    <col min="16134" max="16384" width="8.7109375" style="105"/>
  </cols>
  <sheetData>
    <row r="1" spans="1:5" s="126" customFormat="1" ht="13.5" customHeight="1" x14ac:dyDescent="0.3">
      <c r="A1" s="125" t="s">
        <v>415</v>
      </c>
    </row>
    <row r="2" spans="1:5" s="126" customFormat="1" ht="13" x14ac:dyDescent="0.3">
      <c r="A2" s="126" t="s">
        <v>416</v>
      </c>
    </row>
    <row r="4" spans="1:5" ht="14" x14ac:dyDescent="0.3">
      <c r="A4" s="127" t="s">
        <v>417</v>
      </c>
    </row>
    <row r="6" spans="1:5" ht="14" x14ac:dyDescent="0.3">
      <c r="A6" s="128" t="s">
        <v>157</v>
      </c>
      <c r="B6" s="129" t="s">
        <v>418</v>
      </c>
      <c r="C6" s="129" t="s">
        <v>419</v>
      </c>
      <c r="D6" s="129" t="s">
        <v>420</v>
      </c>
      <c r="E6" s="130" t="s">
        <v>421</v>
      </c>
    </row>
    <row r="7" spans="1:5" x14ac:dyDescent="0.25">
      <c r="A7" s="131" t="s">
        <v>42</v>
      </c>
      <c r="B7" s="132">
        <v>48.305084745762713</v>
      </c>
      <c r="C7" s="132">
        <v>23.728813559322035</v>
      </c>
      <c r="D7" s="132">
        <v>27.966101694915253</v>
      </c>
      <c r="E7" s="131">
        <v>119</v>
      </c>
    </row>
    <row r="8" spans="1:5" x14ac:dyDescent="0.25">
      <c r="A8" s="131" t="s">
        <v>43</v>
      </c>
      <c r="B8" s="132">
        <v>26.98170731707317</v>
      </c>
      <c r="C8" s="132">
        <v>38.414634146341463</v>
      </c>
      <c r="D8" s="132">
        <v>34.603658536585364</v>
      </c>
      <c r="E8" s="131">
        <v>667</v>
      </c>
    </row>
    <row r="9" spans="1:5" x14ac:dyDescent="0.25">
      <c r="A9" s="131" t="s">
        <v>44</v>
      </c>
      <c r="B9" s="132">
        <v>35.151515151515149</v>
      </c>
      <c r="C9" s="132">
        <v>33.333333333333336</v>
      </c>
      <c r="D9" s="132">
        <v>31.515151515151516</v>
      </c>
      <c r="E9" s="131">
        <v>165</v>
      </c>
    </row>
    <row r="10" spans="1:5" x14ac:dyDescent="0.25">
      <c r="A10" s="131" t="s">
        <v>68</v>
      </c>
      <c r="B10" s="132">
        <v>34.690553745928341</v>
      </c>
      <c r="C10" s="132">
        <v>35.504885993485345</v>
      </c>
      <c r="D10" s="132">
        <v>29.804560260586321</v>
      </c>
      <c r="E10" s="131">
        <v>624</v>
      </c>
    </row>
    <row r="11" spans="1:5" x14ac:dyDescent="0.25">
      <c r="A11" s="131" t="s">
        <v>2</v>
      </c>
      <c r="B11" s="132">
        <v>35.789473684210527</v>
      </c>
      <c r="C11" s="132">
        <v>33.684210526315788</v>
      </c>
      <c r="D11" s="132">
        <v>30.526315789473685</v>
      </c>
      <c r="E11" s="131">
        <v>99</v>
      </c>
    </row>
    <row r="12" spans="1:5" x14ac:dyDescent="0.25">
      <c r="A12" s="131" t="s">
        <v>3</v>
      </c>
      <c r="B12" s="132">
        <v>26.351351351351351</v>
      </c>
      <c r="C12" s="132">
        <v>36.486486486486484</v>
      </c>
      <c r="D12" s="132">
        <v>37.162162162162161</v>
      </c>
      <c r="E12" s="131">
        <v>301</v>
      </c>
    </row>
    <row r="13" spans="1:5" x14ac:dyDescent="0.25">
      <c r="A13" s="131" t="s">
        <v>4</v>
      </c>
      <c r="B13" s="132">
        <v>33.670033670033668</v>
      </c>
      <c r="C13" s="132">
        <v>35.690235690235689</v>
      </c>
      <c r="D13" s="132">
        <v>30.63973063973064</v>
      </c>
      <c r="E13" s="131">
        <v>600</v>
      </c>
    </row>
    <row r="14" spans="1:5" x14ac:dyDescent="0.25">
      <c r="A14" s="131" t="s">
        <v>46</v>
      </c>
      <c r="B14" s="132">
        <v>27.586206896551722</v>
      </c>
      <c r="C14" s="132">
        <v>42.758620689655174</v>
      </c>
      <c r="D14" s="132">
        <v>29.655172413793103</v>
      </c>
      <c r="E14" s="131">
        <v>148</v>
      </c>
    </row>
    <row r="15" spans="1:5" x14ac:dyDescent="0.25">
      <c r="A15" s="131" t="s">
        <v>5</v>
      </c>
      <c r="B15" s="132">
        <v>32.298136645962735</v>
      </c>
      <c r="C15" s="132">
        <v>35.714285714285715</v>
      </c>
      <c r="D15" s="132">
        <v>31.987577639751553</v>
      </c>
      <c r="E15" s="131">
        <v>650</v>
      </c>
    </row>
    <row r="16" spans="1:5" x14ac:dyDescent="0.25">
      <c r="A16" s="131" t="s">
        <v>48</v>
      </c>
      <c r="B16" s="132">
        <v>28.030303030303031</v>
      </c>
      <c r="C16" s="132">
        <v>31.060606060606062</v>
      </c>
      <c r="D16" s="132">
        <v>40.909090909090907</v>
      </c>
      <c r="E16" s="131">
        <v>135</v>
      </c>
    </row>
    <row r="17" spans="1:5" x14ac:dyDescent="0.25">
      <c r="A17" s="131" t="s">
        <v>49</v>
      </c>
      <c r="B17" s="132">
        <v>31.067961165048544</v>
      </c>
      <c r="C17" s="132">
        <v>35.922330097087375</v>
      </c>
      <c r="D17" s="132">
        <v>33.009708737864081</v>
      </c>
      <c r="E17" s="131">
        <v>105</v>
      </c>
    </row>
    <row r="18" spans="1:5" x14ac:dyDescent="0.25">
      <c r="A18" s="131" t="s">
        <v>50</v>
      </c>
      <c r="B18" s="132">
        <v>23.4375</v>
      </c>
      <c r="C18" s="132">
        <v>36.979166666666664</v>
      </c>
      <c r="D18" s="132">
        <v>39.583333333333336</v>
      </c>
      <c r="E18" s="131">
        <v>194</v>
      </c>
    </row>
    <row r="19" spans="1:5" x14ac:dyDescent="0.25">
      <c r="A19" s="131" t="s">
        <v>69</v>
      </c>
      <c r="B19" s="132">
        <v>32.27665706051873</v>
      </c>
      <c r="C19" s="132">
        <v>36.023054755043226</v>
      </c>
      <c r="D19" s="132">
        <v>31.70028818443804</v>
      </c>
      <c r="E19" s="131">
        <v>350</v>
      </c>
    </row>
    <row r="20" spans="1:5" x14ac:dyDescent="0.25">
      <c r="A20" s="131" t="s">
        <v>6</v>
      </c>
      <c r="B20" s="132">
        <v>29.166666666666668</v>
      </c>
      <c r="C20" s="132">
        <v>35.15625</v>
      </c>
      <c r="D20" s="132">
        <v>35.677083333333336</v>
      </c>
      <c r="E20" s="131">
        <v>389</v>
      </c>
    </row>
    <row r="21" spans="1:5" x14ac:dyDescent="0.25">
      <c r="A21" s="131" t="s">
        <v>70</v>
      </c>
      <c r="B21" s="132">
        <v>30.341880341880341</v>
      </c>
      <c r="C21" s="132">
        <v>35.470085470085472</v>
      </c>
      <c r="D21" s="132">
        <v>34.188034188034187</v>
      </c>
      <c r="E21" s="131">
        <v>239</v>
      </c>
    </row>
    <row r="22" spans="1:5" x14ac:dyDescent="0.25">
      <c r="A22" s="131" t="s">
        <v>7</v>
      </c>
      <c r="B22" s="132">
        <v>25.149700598802394</v>
      </c>
      <c r="C22" s="132">
        <v>35.928143712574851</v>
      </c>
      <c r="D22" s="132">
        <v>38.922155688622752</v>
      </c>
      <c r="E22" s="131">
        <v>168</v>
      </c>
    </row>
    <row r="23" spans="1:5" x14ac:dyDescent="0.25">
      <c r="A23" s="131" t="s">
        <v>22</v>
      </c>
      <c r="B23" s="132">
        <v>29.479768786127167</v>
      </c>
      <c r="C23" s="132">
        <v>35.260115606936417</v>
      </c>
      <c r="D23" s="132">
        <v>35.260115606936417</v>
      </c>
      <c r="E23" s="131">
        <v>177</v>
      </c>
    </row>
    <row r="24" spans="1:5" x14ac:dyDescent="0.25">
      <c r="A24" s="131" t="s">
        <v>8</v>
      </c>
      <c r="B24" s="132">
        <v>35.037878787878789</v>
      </c>
      <c r="C24" s="132">
        <v>37.310606060606062</v>
      </c>
      <c r="D24" s="132">
        <v>27.651515151515152</v>
      </c>
      <c r="E24" s="131">
        <v>533</v>
      </c>
    </row>
    <row r="25" spans="1:5" x14ac:dyDescent="0.25">
      <c r="A25" s="131" t="s">
        <v>9</v>
      </c>
      <c r="B25" s="132">
        <v>37.209302325581397</v>
      </c>
      <c r="C25" s="132">
        <v>31.782945736434108</v>
      </c>
      <c r="D25" s="132">
        <v>31.007751937984494</v>
      </c>
      <c r="E25" s="131">
        <v>262</v>
      </c>
    </row>
    <row r="26" spans="1:5" x14ac:dyDescent="0.25">
      <c r="A26" s="131" t="s">
        <v>54</v>
      </c>
      <c r="B26" s="132">
        <v>40.123456790123456</v>
      </c>
      <c r="C26" s="132">
        <v>35.802469135802468</v>
      </c>
      <c r="D26" s="132">
        <v>24.074074074074073</v>
      </c>
      <c r="E26" s="131">
        <v>168</v>
      </c>
    </row>
    <row r="27" spans="1:5" x14ac:dyDescent="0.25">
      <c r="A27" s="131" t="s">
        <v>71</v>
      </c>
      <c r="B27" s="132">
        <v>32.470588235294116</v>
      </c>
      <c r="C27" s="132">
        <v>37.411764705882355</v>
      </c>
      <c r="D27" s="132">
        <v>30.117647058823529</v>
      </c>
      <c r="E27" s="131">
        <v>437</v>
      </c>
    </row>
    <row r="28" spans="1:5" x14ac:dyDescent="0.25">
      <c r="A28" s="131" t="s">
        <v>10</v>
      </c>
      <c r="B28" s="132">
        <v>29.245283018867923</v>
      </c>
      <c r="C28" s="132">
        <v>39.150943396226417</v>
      </c>
      <c r="D28" s="132">
        <v>31.60377358490566</v>
      </c>
      <c r="E28" s="131">
        <v>219</v>
      </c>
    </row>
    <row r="29" spans="1:5" x14ac:dyDescent="0.25">
      <c r="A29" s="131" t="s">
        <v>56</v>
      </c>
      <c r="B29" s="132">
        <v>38.150289017341038</v>
      </c>
      <c r="C29" s="132">
        <v>34.682080924855491</v>
      </c>
      <c r="D29" s="132">
        <v>27.167630057803468</v>
      </c>
      <c r="E29" s="131">
        <v>179</v>
      </c>
    </row>
    <row r="30" spans="1:5" x14ac:dyDescent="0.25">
      <c r="A30" s="131" t="s">
        <v>11</v>
      </c>
      <c r="B30" s="132">
        <v>32.159999999999997</v>
      </c>
      <c r="C30" s="132">
        <v>36.479999999999997</v>
      </c>
      <c r="D30" s="132">
        <v>31.36</v>
      </c>
      <c r="E30" s="131">
        <v>639</v>
      </c>
    </row>
    <row r="31" spans="1:5" x14ac:dyDescent="0.25">
      <c r="A31" s="131" t="s">
        <v>58</v>
      </c>
      <c r="B31" s="132">
        <v>45.045045045045043</v>
      </c>
      <c r="C31" s="132">
        <v>31.531531531531531</v>
      </c>
      <c r="D31" s="132">
        <v>23.423423423423422</v>
      </c>
      <c r="E31" s="131">
        <v>114</v>
      </c>
    </row>
    <row r="32" spans="1:5" x14ac:dyDescent="0.25">
      <c r="A32" s="131" t="s">
        <v>59</v>
      </c>
      <c r="B32" s="132">
        <v>29.285714285714285</v>
      </c>
      <c r="C32" s="132">
        <v>43.571428571428569</v>
      </c>
      <c r="D32" s="132">
        <v>27.142857142857142</v>
      </c>
      <c r="E32" s="131">
        <v>143</v>
      </c>
    </row>
    <row r="33" spans="1:5" x14ac:dyDescent="0.25">
      <c r="A33" s="131" t="s">
        <v>60</v>
      </c>
      <c r="B33" s="132">
        <v>25.874125874125873</v>
      </c>
      <c r="C33" s="132">
        <v>32.167832167832167</v>
      </c>
      <c r="D33" s="132">
        <v>41.95804195804196</v>
      </c>
      <c r="E33" s="131">
        <v>144</v>
      </c>
    </row>
    <row r="34" spans="1:5" x14ac:dyDescent="0.25">
      <c r="A34" s="131" t="s">
        <v>12</v>
      </c>
      <c r="B34" s="132">
        <v>34.615384615384613</v>
      </c>
      <c r="C34" s="132">
        <v>31.53846153846154</v>
      </c>
      <c r="D34" s="132">
        <v>33.846153846153847</v>
      </c>
      <c r="E34" s="131">
        <v>135</v>
      </c>
    </row>
    <row r="35" spans="1:5" x14ac:dyDescent="0.25">
      <c r="A35" s="131" t="s">
        <v>61</v>
      </c>
      <c r="B35" s="132">
        <v>34.285714285714285</v>
      </c>
      <c r="C35" s="132">
        <v>35.102040816326529</v>
      </c>
      <c r="D35" s="132">
        <v>30.612244897959183</v>
      </c>
      <c r="E35" s="131">
        <v>248</v>
      </c>
    </row>
    <row r="36" spans="1:5" x14ac:dyDescent="0.25">
      <c r="A36" s="131" t="s">
        <v>62</v>
      </c>
      <c r="B36" s="132">
        <v>21.428571428571427</v>
      </c>
      <c r="C36" s="132">
        <v>44.642857142857146</v>
      </c>
      <c r="D36" s="132">
        <v>33.928571428571431</v>
      </c>
      <c r="E36" s="131">
        <v>115</v>
      </c>
    </row>
    <row r="37" spans="1:5" x14ac:dyDescent="0.25">
      <c r="A37" s="131" t="s">
        <v>23</v>
      </c>
      <c r="B37" s="132">
        <v>32.848837209302324</v>
      </c>
      <c r="C37" s="132">
        <v>33.430232558139537</v>
      </c>
      <c r="D37" s="132">
        <v>33.720930232558139</v>
      </c>
      <c r="E37" s="131">
        <v>348</v>
      </c>
    </row>
    <row r="38" spans="1:5" x14ac:dyDescent="0.25">
      <c r="A38" s="131" t="s">
        <v>13</v>
      </c>
      <c r="B38" s="132">
        <v>32.046332046332047</v>
      </c>
      <c r="C38" s="132">
        <v>35.521235521235518</v>
      </c>
      <c r="D38" s="132">
        <v>32.432432432432435</v>
      </c>
      <c r="E38" s="131">
        <v>525</v>
      </c>
    </row>
    <row r="39" spans="1:5" x14ac:dyDescent="0.25">
      <c r="A39" s="131" t="s">
        <v>14</v>
      </c>
      <c r="B39" s="132">
        <v>29.936305732484076</v>
      </c>
      <c r="C39" s="132">
        <v>38.216560509554142</v>
      </c>
      <c r="D39" s="132">
        <v>31.847133757961782</v>
      </c>
      <c r="E39" s="131">
        <v>158</v>
      </c>
    </row>
    <row r="40" spans="1:5" x14ac:dyDescent="0.25">
      <c r="A40" s="131" t="s">
        <v>64</v>
      </c>
      <c r="B40" s="132">
        <v>30.864197530864196</v>
      </c>
      <c r="C40" s="132">
        <v>32.716049382716051</v>
      </c>
      <c r="D40" s="132">
        <v>36.419753086419753</v>
      </c>
      <c r="E40" s="131">
        <v>167</v>
      </c>
    </row>
    <row r="41" spans="1:5" x14ac:dyDescent="0.25">
      <c r="A41" s="131" t="s">
        <v>65</v>
      </c>
      <c r="B41" s="132">
        <v>29.307805596465389</v>
      </c>
      <c r="C41" s="132">
        <v>35.051546391752581</v>
      </c>
      <c r="D41" s="132">
        <v>35.640648011782034</v>
      </c>
      <c r="E41" s="131">
        <v>692</v>
      </c>
    </row>
    <row r="42" spans="1:5" x14ac:dyDescent="0.25">
      <c r="A42" s="131" t="s">
        <v>66</v>
      </c>
      <c r="B42" s="132">
        <v>30.303030303030305</v>
      </c>
      <c r="C42" s="132">
        <v>32.323232323232325</v>
      </c>
      <c r="D42" s="132">
        <v>37.373737373737377</v>
      </c>
      <c r="E42" s="131">
        <v>202</v>
      </c>
    </row>
    <row r="43" spans="1:5" x14ac:dyDescent="0.25">
      <c r="A43" s="131" t="s">
        <v>15</v>
      </c>
      <c r="B43" s="132">
        <v>29.59349593495935</v>
      </c>
      <c r="C43" s="132">
        <v>34.796747967479675</v>
      </c>
      <c r="D43" s="132">
        <v>35.609756097560975</v>
      </c>
      <c r="E43" s="131">
        <v>627</v>
      </c>
    </row>
    <row r="44" spans="1:5" x14ac:dyDescent="0.25">
      <c r="A44" s="131" t="s">
        <v>16</v>
      </c>
      <c r="B44" s="132">
        <v>27.24867724867725</v>
      </c>
      <c r="C44" s="132">
        <v>36.507936507936506</v>
      </c>
      <c r="D44" s="132">
        <v>36.24338624338624</v>
      </c>
      <c r="E44" s="131">
        <v>387</v>
      </c>
    </row>
    <row r="45" spans="1:5" x14ac:dyDescent="0.25">
      <c r="A45" s="131" t="s">
        <v>17</v>
      </c>
      <c r="B45" s="132">
        <v>24.742268041237114</v>
      </c>
      <c r="C45" s="132">
        <v>45.360824742268044</v>
      </c>
      <c r="D45" s="132">
        <v>29.896907216494846</v>
      </c>
      <c r="E45" s="131">
        <v>99</v>
      </c>
    </row>
    <row r="46" spans="1:5" x14ac:dyDescent="0.25">
      <c r="A46" s="131" t="s">
        <v>24</v>
      </c>
      <c r="B46" s="132">
        <v>28.415300546448087</v>
      </c>
      <c r="C46" s="132">
        <v>36.065573770491802</v>
      </c>
      <c r="D46" s="132">
        <v>35.519125683060111</v>
      </c>
      <c r="E46" s="131">
        <v>185</v>
      </c>
    </row>
    <row r="49" spans="1:5" ht="14" x14ac:dyDescent="0.3">
      <c r="A49" s="125" t="s">
        <v>422</v>
      </c>
    </row>
    <row r="51" spans="1:5" ht="14" x14ac:dyDescent="0.3">
      <c r="A51" s="133" t="s">
        <v>158</v>
      </c>
      <c r="B51" s="129" t="s">
        <v>418</v>
      </c>
      <c r="C51" s="129" t="s">
        <v>419</v>
      </c>
      <c r="D51" s="129" t="s">
        <v>420</v>
      </c>
      <c r="E51" s="130" t="s">
        <v>421</v>
      </c>
    </row>
    <row r="52" spans="1:5" x14ac:dyDescent="0.25">
      <c r="A52" s="113" t="s">
        <v>74</v>
      </c>
      <c r="B52" s="132">
        <v>30.408472012102873</v>
      </c>
      <c r="C52" s="132">
        <v>36.913767019667169</v>
      </c>
      <c r="D52" s="132">
        <v>32.677760968229954</v>
      </c>
      <c r="E52" s="131">
        <v>676</v>
      </c>
    </row>
    <row r="53" spans="1:5" x14ac:dyDescent="0.25">
      <c r="A53" s="110" t="s">
        <v>75</v>
      </c>
      <c r="B53" s="132">
        <v>32.345679012345677</v>
      </c>
      <c r="C53" s="132">
        <v>35.061728395061728</v>
      </c>
      <c r="D53" s="132">
        <v>32.592592592592595</v>
      </c>
      <c r="E53" s="131">
        <v>1238</v>
      </c>
    </row>
    <row r="54" spans="1:5" x14ac:dyDescent="0.25">
      <c r="A54" s="110" t="s">
        <v>76</v>
      </c>
      <c r="B54" s="132">
        <v>30.492898913951546</v>
      </c>
      <c r="C54" s="132">
        <v>36.257309941520468</v>
      </c>
      <c r="D54" s="132">
        <v>33.24979114452799</v>
      </c>
      <c r="E54" s="131">
        <v>1223</v>
      </c>
    </row>
    <row r="55" spans="1:5" x14ac:dyDescent="0.25">
      <c r="A55" s="110" t="s">
        <v>77</v>
      </c>
      <c r="B55" s="132">
        <v>31.94588969823101</v>
      </c>
      <c r="C55" s="132">
        <v>34.495317377731531</v>
      </c>
      <c r="D55" s="132">
        <v>33.558792924037462</v>
      </c>
      <c r="E55" s="131">
        <v>1950</v>
      </c>
    </row>
    <row r="56" spans="1:5" x14ac:dyDescent="0.25">
      <c r="A56" s="110" t="s">
        <v>78</v>
      </c>
      <c r="B56" s="132">
        <v>31.988676574663835</v>
      </c>
      <c r="C56" s="132">
        <v>36.270346779900919</v>
      </c>
      <c r="D56" s="132">
        <v>31.740976645435243</v>
      </c>
      <c r="E56" s="131">
        <v>2870</v>
      </c>
    </row>
    <row r="57" spans="1:5" x14ac:dyDescent="0.25">
      <c r="A57" s="110" t="s">
        <v>79</v>
      </c>
      <c r="B57" s="132">
        <v>30.785285677015391</v>
      </c>
      <c r="C57" s="132">
        <v>36.003130707018002</v>
      </c>
      <c r="D57" s="132">
        <v>33.211583615966603</v>
      </c>
      <c r="E57" s="131">
        <v>3899</v>
      </c>
    </row>
    <row r="59" spans="1:5" ht="14" x14ac:dyDescent="0.3">
      <c r="A59" s="128" t="s">
        <v>159</v>
      </c>
      <c r="B59" s="134">
        <v>31.379783765230822</v>
      </c>
      <c r="C59" s="134">
        <v>35.798867341685259</v>
      </c>
      <c r="D59" s="134">
        <v>32.821348893083922</v>
      </c>
      <c r="E59" s="131">
        <v>11856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A6" sqref="A6"/>
    </sheetView>
  </sheetViews>
  <sheetFormatPr defaultRowHeight="13.5" x14ac:dyDescent="0.25"/>
  <cols>
    <col min="1" max="1" width="19.5" style="105" customWidth="1"/>
    <col min="2" max="10" width="9" style="105" customWidth="1"/>
    <col min="11" max="255" width="8.7109375" style="105"/>
    <col min="256" max="256" width="13.85546875" style="105" customWidth="1"/>
    <col min="257" max="257" width="19.5" style="105" customWidth="1"/>
    <col min="258" max="266" width="9" style="105" customWidth="1"/>
    <col min="267" max="511" width="8.7109375" style="105"/>
    <col min="512" max="512" width="13.85546875" style="105" customWidth="1"/>
    <col min="513" max="513" width="19.5" style="105" customWidth="1"/>
    <col min="514" max="522" width="9" style="105" customWidth="1"/>
    <col min="523" max="767" width="8.7109375" style="105"/>
    <col min="768" max="768" width="13.85546875" style="105" customWidth="1"/>
    <col min="769" max="769" width="19.5" style="105" customWidth="1"/>
    <col min="770" max="778" width="9" style="105" customWidth="1"/>
    <col min="779" max="1023" width="8.7109375" style="105"/>
    <col min="1024" max="1024" width="13.85546875" style="105" customWidth="1"/>
    <col min="1025" max="1025" width="19.5" style="105" customWidth="1"/>
    <col min="1026" max="1034" width="9" style="105" customWidth="1"/>
    <col min="1035" max="1279" width="8.7109375" style="105"/>
    <col min="1280" max="1280" width="13.85546875" style="105" customWidth="1"/>
    <col min="1281" max="1281" width="19.5" style="105" customWidth="1"/>
    <col min="1282" max="1290" width="9" style="105" customWidth="1"/>
    <col min="1291" max="1535" width="8.7109375" style="105"/>
    <col min="1536" max="1536" width="13.85546875" style="105" customWidth="1"/>
    <col min="1537" max="1537" width="19.5" style="105" customWidth="1"/>
    <col min="1538" max="1546" width="9" style="105" customWidth="1"/>
    <col min="1547" max="1791" width="8.7109375" style="105"/>
    <col min="1792" max="1792" width="13.85546875" style="105" customWidth="1"/>
    <col min="1793" max="1793" width="19.5" style="105" customWidth="1"/>
    <col min="1794" max="1802" width="9" style="105" customWidth="1"/>
    <col min="1803" max="2047" width="8.7109375" style="105"/>
    <col min="2048" max="2048" width="13.85546875" style="105" customWidth="1"/>
    <col min="2049" max="2049" width="19.5" style="105" customWidth="1"/>
    <col min="2050" max="2058" width="9" style="105" customWidth="1"/>
    <col min="2059" max="2303" width="8.7109375" style="105"/>
    <col min="2304" max="2304" width="13.85546875" style="105" customWidth="1"/>
    <col min="2305" max="2305" width="19.5" style="105" customWidth="1"/>
    <col min="2306" max="2314" width="9" style="105" customWidth="1"/>
    <col min="2315" max="2559" width="8.7109375" style="105"/>
    <col min="2560" max="2560" width="13.85546875" style="105" customWidth="1"/>
    <col min="2561" max="2561" width="19.5" style="105" customWidth="1"/>
    <col min="2562" max="2570" width="9" style="105" customWidth="1"/>
    <col min="2571" max="2815" width="8.7109375" style="105"/>
    <col min="2816" max="2816" width="13.85546875" style="105" customWidth="1"/>
    <col min="2817" max="2817" width="19.5" style="105" customWidth="1"/>
    <col min="2818" max="2826" width="9" style="105" customWidth="1"/>
    <col min="2827" max="3071" width="8.7109375" style="105"/>
    <col min="3072" max="3072" width="13.85546875" style="105" customWidth="1"/>
    <col min="3073" max="3073" width="19.5" style="105" customWidth="1"/>
    <col min="3074" max="3082" width="9" style="105" customWidth="1"/>
    <col min="3083" max="3327" width="8.7109375" style="105"/>
    <col min="3328" max="3328" width="13.85546875" style="105" customWidth="1"/>
    <col min="3329" max="3329" width="19.5" style="105" customWidth="1"/>
    <col min="3330" max="3338" width="9" style="105" customWidth="1"/>
    <col min="3339" max="3583" width="8.7109375" style="105"/>
    <col min="3584" max="3584" width="13.85546875" style="105" customWidth="1"/>
    <col min="3585" max="3585" width="19.5" style="105" customWidth="1"/>
    <col min="3586" max="3594" width="9" style="105" customWidth="1"/>
    <col min="3595" max="3839" width="8.7109375" style="105"/>
    <col min="3840" max="3840" width="13.85546875" style="105" customWidth="1"/>
    <col min="3841" max="3841" width="19.5" style="105" customWidth="1"/>
    <col min="3842" max="3850" width="9" style="105" customWidth="1"/>
    <col min="3851" max="4095" width="8.7109375" style="105"/>
    <col min="4096" max="4096" width="13.85546875" style="105" customWidth="1"/>
    <col min="4097" max="4097" width="19.5" style="105" customWidth="1"/>
    <col min="4098" max="4106" width="9" style="105" customWidth="1"/>
    <col min="4107" max="4351" width="8.7109375" style="105"/>
    <col min="4352" max="4352" width="13.85546875" style="105" customWidth="1"/>
    <col min="4353" max="4353" width="19.5" style="105" customWidth="1"/>
    <col min="4354" max="4362" width="9" style="105" customWidth="1"/>
    <col min="4363" max="4607" width="8.7109375" style="105"/>
    <col min="4608" max="4608" width="13.85546875" style="105" customWidth="1"/>
    <col min="4609" max="4609" width="19.5" style="105" customWidth="1"/>
    <col min="4610" max="4618" width="9" style="105" customWidth="1"/>
    <col min="4619" max="4863" width="8.7109375" style="105"/>
    <col min="4864" max="4864" width="13.85546875" style="105" customWidth="1"/>
    <col min="4865" max="4865" width="19.5" style="105" customWidth="1"/>
    <col min="4866" max="4874" width="9" style="105" customWidth="1"/>
    <col min="4875" max="5119" width="8.7109375" style="105"/>
    <col min="5120" max="5120" width="13.85546875" style="105" customWidth="1"/>
    <col min="5121" max="5121" width="19.5" style="105" customWidth="1"/>
    <col min="5122" max="5130" width="9" style="105" customWidth="1"/>
    <col min="5131" max="5375" width="8.7109375" style="105"/>
    <col min="5376" max="5376" width="13.85546875" style="105" customWidth="1"/>
    <col min="5377" max="5377" width="19.5" style="105" customWidth="1"/>
    <col min="5378" max="5386" width="9" style="105" customWidth="1"/>
    <col min="5387" max="5631" width="8.7109375" style="105"/>
    <col min="5632" max="5632" width="13.85546875" style="105" customWidth="1"/>
    <col min="5633" max="5633" width="19.5" style="105" customWidth="1"/>
    <col min="5634" max="5642" width="9" style="105" customWidth="1"/>
    <col min="5643" max="5887" width="8.7109375" style="105"/>
    <col min="5888" max="5888" width="13.85546875" style="105" customWidth="1"/>
    <col min="5889" max="5889" width="19.5" style="105" customWidth="1"/>
    <col min="5890" max="5898" width="9" style="105" customWidth="1"/>
    <col min="5899" max="6143" width="8.7109375" style="105"/>
    <col min="6144" max="6144" width="13.85546875" style="105" customWidth="1"/>
    <col min="6145" max="6145" width="19.5" style="105" customWidth="1"/>
    <col min="6146" max="6154" width="9" style="105" customWidth="1"/>
    <col min="6155" max="6399" width="8.7109375" style="105"/>
    <col min="6400" max="6400" width="13.85546875" style="105" customWidth="1"/>
    <col min="6401" max="6401" width="19.5" style="105" customWidth="1"/>
    <col min="6402" max="6410" width="9" style="105" customWidth="1"/>
    <col min="6411" max="6655" width="8.7109375" style="105"/>
    <col min="6656" max="6656" width="13.85546875" style="105" customWidth="1"/>
    <col min="6657" max="6657" width="19.5" style="105" customWidth="1"/>
    <col min="6658" max="6666" width="9" style="105" customWidth="1"/>
    <col min="6667" max="6911" width="8.7109375" style="105"/>
    <col min="6912" max="6912" width="13.85546875" style="105" customWidth="1"/>
    <col min="6913" max="6913" width="19.5" style="105" customWidth="1"/>
    <col min="6914" max="6922" width="9" style="105" customWidth="1"/>
    <col min="6923" max="7167" width="8.7109375" style="105"/>
    <col min="7168" max="7168" width="13.85546875" style="105" customWidth="1"/>
    <col min="7169" max="7169" width="19.5" style="105" customWidth="1"/>
    <col min="7170" max="7178" width="9" style="105" customWidth="1"/>
    <col min="7179" max="7423" width="8.7109375" style="105"/>
    <col min="7424" max="7424" width="13.85546875" style="105" customWidth="1"/>
    <col min="7425" max="7425" width="19.5" style="105" customWidth="1"/>
    <col min="7426" max="7434" width="9" style="105" customWidth="1"/>
    <col min="7435" max="7679" width="8.7109375" style="105"/>
    <col min="7680" max="7680" width="13.85546875" style="105" customWidth="1"/>
    <col min="7681" max="7681" width="19.5" style="105" customWidth="1"/>
    <col min="7682" max="7690" width="9" style="105" customWidth="1"/>
    <col min="7691" max="7935" width="8.7109375" style="105"/>
    <col min="7936" max="7936" width="13.85546875" style="105" customWidth="1"/>
    <col min="7937" max="7937" width="19.5" style="105" customWidth="1"/>
    <col min="7938" max="7946" width="9" style="105" customWidth="1"/>
    <col min="7947" max="8191" width="8.7109375" style="105"/>
    <col min="8192" max="8192" width="13.85546875" style="105" customWidth="1"/>
    <col min="8193" max="8193" width="19.5" style="105" customWidth="1"/>
    <col min="8194" max="8202" width="9" style="105" customWidth="1"/>
    <col min="8203" max="8447" width="8.7109375" style="105"/>
    <col min="8448" max="8448" width="13.85546875" style="105" customWidth="1"/>
    <col min="8449" max="8449" width="19.5" style="105" customWidth="1"/>
    <col min="8450" max="8458" width="9" style="105" customWidth="1"/>
    <col min="8459" max="8703" width="8.7109375" style="105"/>
    <col min="8704" max="8704" width="13.85546875" style="105" customWidth="1"/>
    <col min="8705" max="8705" width="19.5" style="105" customWidth="1"/>
    <col min="8706" max="8714" width="9" style="105" customWidth="1"/>
    <col min="8715" max="8959" width="8.7109375" style="105"/>
    <col min="8960" max="8960" width="13.85546875" style="105" customWidth="1"/>
    <col min="8961" max="8961" width="19.5" style="105" customWidth="1"/>
    <col min="8962" max="8970" width="9" style="105" customWidth="1"/>
    <col min="8971" max="9215" width="8.7109375" style="105"/>
    <col min="9216" max="9216" width="13.85546875" style="105" customWidth="1"/>
    <col min="9217" max="9217" width="19.5" style="105" customWidth="1"/>
    <col min="9218" max="9226" width="9" style="105" customWidth="1"/>
    <col min="9227" max="9471" width="8.7109375" style="105"/>
    <col min="9472" max="9472" width="13.85546875" style="105" customWidth="1"/>
    <col min="9473" max="9473" width="19.5" style="105" customWidth="1"/>
    <col min="9474" max="9482" width="9" style="105" customWidth="1"/>
    <col min="9483" max="9727" width="8.7109375" style="105"/>
    <col min="9728" max="9728" width="13.85546875" style="105" customWidth="1"/>
    <col min="9729" max="9729" width="19.5" style="105" customWidth="1"/>
    <col min="9730" max="9738" width="9" style="105" customWidth="1"/>
    <col min="9739" max="9983" width="8.7109375" style="105"/>
    <col min="9984" max="9984" width="13.85546875" style="105" customWidth="1"/>
    <col min="9985" max="9985" width="19.5" style="105" customWidth="1"/>
    <col min="9986" max="9994" width="9" style="105" customWidth="1"/>
    <col min="9995" max="10239" width="8.7109375" style="105"/>
    <col min="10240" max="10240" width="13.85546875" style="105" customWidth="1"/>
    <col min="10241" max="10241" width="19.5" style="105" customWidth="1"/>
    <col min="10242" max="10250" width="9" style="105" customWidth="1"/>
    <col min="10251" max="10495" width="8.7109375" style="105"/>
    <col min="10496" max="10496" width="13.85546875" style="105" customWidth="1"/>
    <col min="10497" max="10497" width="19.5" style="105" customWidth="1"/>
    <col min="10498" max="10506" width="9" style="105" customWidth="1"/>
    <col min="10507" max="10751" width="8.7109375" style="105"/>
    <col min="10752" max="10752" width="13.85546875" style="105" customWidth="1"/>
    <col min="10753" max="10753" width="19.5" style="105" customWidth="1"/>
    <col min="10754" max="10762" width="9" style="105" customWidth="1"/>
    <col min="10763" max="11007" width="8.7109375" style="105"/>
    <col min="11008" max="11008" width="13.85546875" style="105" customWidth="1"/>
    <col min="11009" max="11009" width="19.5" style="105" customWidth="1"/>
    <col min="11010" max="11018" width="9" style="105" customWidth="1"/>
    <col min="11019" max="11263" width="8.7109375" style="105"/>
    <col min="11264" max="11264" width="13.85546875" style="105" customWidth="1"/>
    <col min="11265" max="11265" width="19.5" style="105" customWidth="1"/>
    <col min="11266" max="11274" width="9" style="105" customWidth="1"/>
    <col min="11275" max="11519" width="8.7109375" style="105"/>
    <col min="11520" max="11520" width="13.85546875" style="105" customWidth="1"/>
    <col min="11521" max="11521" width="19.5" style="105" customWidth="1"/>
    <col min="11522" max="11530" width="9" style="105" customWidth="1"/>
    <col min="11531" max="11775" width="8.7109375" style="105"/>
    <col min="11776" max="11776" width="13.85546875" style="105" customWidth="1"/>
    <col min="11777" max="11777" width="19.5" style="105" customWidth="1"/>
    <col min="11778" max="11786" width="9" style="105" customWidth="1"/>
    <col min="11787" max="12031" width="8.7109375" style="105"/>
    <col min="12032" max="12032" width="13.85546875" style="105" customWidth="1"/>
    <col min="12033" max="12033" width="19.5" style="105" customWidth="1"/>
    <col min="12034" max="12042" width="9" style="105" customWidth="1"/>
    <col min="12043" max="12287" width="8.7109375" style="105"/>
    <col min="12288" max="12288" width="13.85546875" style="105" customWidth="1"/>
    <col min="12289" max="12289" width="19.5" style="105" customWidth="1"/>
    <col min="12290" max="12298" width="9" style="105" customWidth="1"/>
    <col min="12299" max="12543" width="8.7109375" style="105"/>
    <col min="12544" max="12544" width="13.85546875" style="105" customWidth="1"/>
    <col min="12545" max="12545" width="19.5" style="105" customWidth="1"/>
    <col min="12546" max="12554" width="9" style="105" customWidth="1"/>
    <col min="12555" max="12799" width="8.7109375" style="105"/>
    <col min="12800" max="12800" width="13.85546875" style="105" customWidth="1"/>
    <col min="12801" max="12801" width="19.5" style="105" customWidth="1"/>
    <col min="12802" max="12810" width="9" style="105" customWidth="1"/>
    <col min="12811" max="13055" width="8.7109375" style="105"/>
    <col min="13056" max="13056" width="13.85546875" style="105" customWidth="1"/>
    <col min="13057" max="13057" width="19.5" style="105" customWidth="1"/>
    <col min="13058" max="13066" width="9" style="105" customWidth="1"/>
    <col min="13067" max="13311" width="8.7109375" style="105"/>
    <col min="13312" max="13312" width="13.85546875" style="105" customWidth="1"/>
    <col min="13313" max="13313" width="19.5" style="105" customWidth="1"/>
    <col min="13314" max="13322" width="9" style="105" customWidth="1"/>
    <col min="13323" max="13567" width="8.7109375" style="105"/>
    <col min="13568" max="13568" width="13.85546875" style="105" customWidth="1"/>
    <col min="13569" max="13569" width="19.5" style="105" customWidth="1"/>
    <col min="13570" max="13578" width="9" style="105" customWidth="1"/>
    <col min="13579" max="13823" width="8.7109375" style="105"/>
    <col min="13824" max="13824" width="13.85546875" style="105" customWidth="1"/>
    <col min="13825" max="13825" width="19.5" style="105" customWidth="1"/>
    <col min="13826" max="13834" width="9" style="105" customWidth="1"/>
    <col min="13835" max="14079" width="8.7109375" style="105"/>
    <col min="14080" max="14080" width="13.85546875" style="105" customWidth="1"/>
    <col min="14081" max="14081" width="19.5" style="105" customWidth="1"/>
    <col min="14082" max="14090" width="9" style="105" customWidth="1"/>
    <col min="14091" max="14335" width="8.7109375" style="105"/>
    <col min="14336" max="14336" width="13.85546875" style="105" customWidth="1"/>
    <col min="14337" max="14337" width="19.5" style="105" customWidth="1"/>
    <col min="14338" max="14346" width="9" style="105" customWidth="1"/>
    <col min="14347" max="14591" width="8.7109375" style="105"/>
    <col min="14592" max="14592" width="13.85546875" style="105" customWidth="1"/>
    <col min="14593" max="14593" width="19.5" style="105" customWidth="1"/>
    <col min="14594" max="14602" width="9" style="105" customWidth="1"/>
    <col min="14603" max="14847" width="8.7109375" style="105"/>
    <col min="14848" max="14848" width="13.85546875" style="105" customWidth="1"/>
    <col min="14849" max="14849" width="19.5" style="105" customWidth="1"/>
    <col min="14850" max="14858" width="9" style="105" customWidth="1"/>
    <col min="14859" max="15103" width="8.7109375" style="105"/>
    <col min="15104" max="15104" width="13.85546875" style="105" customWidth="1"/>
    <col min="15105" max="15105" width="19.5" style="105" customWidth="1"/>
    <col min="15106" max="15114" width="9" style="105" customWidth="1"/>
    <col min="15115" max="15359" width="8.7109375" style="105"/>
    <col min="15360" max="15360" width="13.85546875" style="105" customWidth="1"/>
    <col min="15361" max="15361" width="19.5" style="105" customWidth="1"/>
    <col min="15362" max="15370" width="9" style="105" customWidth="1"/>
    <col min="15371" max="15615" width="8.7109375" style="105"/>
    <col min="15616" max="15616" width="13.85546875" style="105" customWidth="1"/>
    <col min="15617" max="15617" width="19.5" style="105" customWidth="1"/>
    <col min="15618" max="15626" width="9" style="105" customWidth="1"/>
    <col min="15627" max="15871" width="8.7109375" style="105"/>
    <col min="15872" max="15872" width="13.85546875" style="105" customWidth="1"/>
    <col min="15873" max="15873" width="19.5" style="105" customWidth="1"/>
    <col min="15874" max="15882" width="9" style="105" customWidth="1"/>
    <col min="15883" max="16127" width="8.7109375" style="105"/>
    <col min="16128" max="16128" width="13.85546875" style="105" customWidth="1"/>
    <col min="16129" max="16129" width="19.5" style="105" customWidth="1"/>
    <col min="16130" max="16138" width="9" style="105" customWidth="1"/>
    <col min="16139" max="16384" width="8.7109375" style="105"/>
  </cols>
  <sheetData>
    <row r="1" spans="1:10" ht="14" x14ac:dyDescent="0.3">
      <c r="A1" s="125" t="s">
        <v>423</v>
      </c>
    </row>
    <row r="2" spans="1:10" ht="14" x14ac:dyDescent="0.3">
      <c r="A2" s="126" t="s">
        <v>424</v>
      </c>
    </row>
    <row r="3" spans="1:10" ht="14" x14ac:dyDescent="0.3">
      <c r="A3" s="125" t="s">
        <v>433</v>
      </c>
    </row>
    <row r="5" spans="1:10" ht="14" x14ac:dyDescent="0.3">
      <c r="A5" s="128" t="s">
        <v>157</v>
      </c>
      <c r="B5" s="129" t="s">
        <v>425</v>
      </c>
      <c r="C5" s="129" t="s">
        <v>426</v>
      </c>
      <c r="D5" s="129" t="s">
        <v>427</v>
      </c>
      <c r="E5" s="129" t="s">
        <v>428</v>
      </c>
      <c r="F5" s="129" t="s">
        <v>429</v>
      </c>
      <c r="G5" s="129" t="s">
        <v>430</v>
      </c>
      <c r="H5" s="129" t="s">
        <v>431</v>
      </c>
      <c r="I5" s="129" t="s">
        <v>432</v>
      </c>
      <c r="J5" s="130" t="s">
        <v>421</v>
      </c>
    </row>
    <row r="6" spans="1:10" x14ac:dyDescent="0.25">
      <c r="A6" s="131" t="s">
        <v>42</v>
      </c>
      <c r="B6" s="132">
        <v>56.25</v>
      </c>
      <c r="C6" s="132">
        <v>79.464285714285708</v>
      </c>
      <c r="D6" s="132">
        <v>67.272727272727266</v>
      </c>
      <c r="E6" s="132">
        <v>34.545454545454547</v>
      </c>
      <c r="F6" s="132">
        <v>51.327433628318587</v>
      </c>
      <c r="G6" s="132">
        <v>46.363636363636367</v>
      </c>
      <c r="H6" s="132">
        <v>25.225225225225227</v>
      </c>
      <c r="I6" s="132">
        <v>36.936936936936938</v>
      </c>
      <c r="J6" s="131">
        <v>119</v>
      </c>
    </row>
    <row r="7" spans="1:10" x14ac:dyDescent="0.25">
      <c r="A7" s="131" t="s">
        <v>43</v>
      </c>
      <c r="B7" s="132">
        <v>54.976303317535546</v>
      </c>
      <c r="C7" s="132">
        <v>74.203338391502271</v>
      </c>
      <c r="D7" s="132">
        <v>58.29457364341085</v>
      </c>
      <c r="E7" s="132">
        <v>40.909090909090907</v>
      </c>
      <c r="F7" s="132">
        <v>65.842349304482227</v>
      </c>
      <c r="G7" s="132">
        <v>26.447574334898277</v>
      </c>
      <c r="H7" s="132">
        <v>13.615023474178404</v>
      </c>
      <c r="I7" s="132">
        <v>23.029366306027821</v>
      </c>
      <c r="J7" s="131">
        <v>667</v>
      </c>
    </row>
    <row r="8" spans="1:10" x14ac:dyDescent="0.25">
      <c r="A8" s="131" t="s">
        <v>44</v>
      </c>
      <c r="B8" s="132">
        <v>75.925925925925924</v>
      </c>
      <c r="C8" s="132">
        <v>83.536585365853654</v>
      </c>
      <c r="D8" s="132">
        <v>63.125</v>
      </c>
      <c r="E8" s="132">
        <v>24.203821656050955</v>
      </c>
      <c r="F8" s="132">
        <v>60.377358490566039</v>
      </c>
      <c r="G8" s="132">
        <v>23.076923076923077</v>
      </c>
      <c r="H8" s="132">
        <v>10.759493670886076</v>
      </c>
      <c r="I8" s="132">
        <v>21.383647798742139</v>
      </c>
      <c r="J8" s="131">
        <v>165</v>
      </c>
    </row>
    <row r="9" spans="1:10" x14ac:dyDescent="0.25">
      <c r="A9" s="131" t="s">
        <v>68</v>
      </c>
      <c r="B9" s="132">
        <v>48.489932885906043</v>
      </c>
      <c r="C9" s="132">
        <v>75.493421052631575</v>
      </c>
      <c r="D9" s="132">
        <v>58.783783783783782</v>
      </c>
      <c r="E9" s="132">
        <v>37.137989778534923</v>
      </c>
      <c r="F9" s="132">
        <v>62.43739565943239</v>
      </c>
      <c r="G9" s="132">
        <v>21.489001692047378</v>
      </c>
      <c r="H9" s="132">
        <v>12.711864406779661</v>
      </c>
      <c r="I9" s="132">
        <v>19.561551433389546</v>
      </c>
      <c r="J9" s="131">
        <v>624</v>
      </c>
    </row>
    <row r="10" spans="1:10" x14ac:dyDescent="0.25">
      <c r="A10" s="131" t="s">
        <v>2</v>
      </c>
      <c r="B10" s="132">
        <v>79.569892473118273</v>
      </c>
      <c r="C10" s="132">
        <v>89.473684210526315</v>
      </c>
      <c r="D10" s="132">
        <v>56.179775280898873</v>
      </c>
      <c r="E10" s="132">
        <v>30.952380952380953</v>
      </c>
      <c r="F10" s="132">
        <v>61.956521739130437</v>
      </c>
      <c r="G10" s="132">
        <v>27.38095238095238</v>
      </c>
      <c r="H10" s="132">
        <v>17.857142857142858</v>
      </c>
      <c r="I10" s="132">
        <v>18.072289156626507</v>
      </c>
      <c r="J10" s="131">
        <v>99</v>
      </c>
    </row>
    <row r="11" spans="1:10" x14ac:dyDescent="0.25">
      <c r="A11" s="131" t="s">
        <v>3</v>
      </c>
      <c r="B11" s="132">
        <v>77.966101694915253</v>
      </c>
      <c r="C11" s="132">
        <v>86.440677966101688</v>
      </c>
      <c r="D11" s="132">
        <v>59.363957597173147</v>
      </c>
      <c r="E11" s="132">
        <v>35.294117647058826</v>
      </c>
      <c r="F11" s="132">
        <v>68.600682593856661</v>
      </c>
      <c r="G11" s="132">
        <v>24.305555555555557</v>
      </c>
      <c r="H11" s="132">
        <v>15.734265734265735</v>
      </c>
      <c r="I11" s="132">
        <v>20.689655172413794</v>
      </c>
      <c r="J11" s="131">
        <v>301</v>
      </c>
    </row>
    <row r="12" spans="1:10" x14ac:dyDescent="0.25">
      <c r="A12" s="131" t="s">
        <v>4</v>
      </c>
      <c r="B12" s="132">
        <v>67.708333333333329</v>
      </c>
      <c r="C12" s="132">
        <v>83.589743589743591</v>
      </c>
      <c r="D12" s="132">
        <v>59.115044247787608</v>
      </c>
      <c r="E12" s="132">
        <v>26.353790613718413</v>
      </c>
      <c r="F12" s="132">
        <v>70.629370629370626</v>
      </c>
      <c r="G12" s="132">
        <v>22.003577817531305</v>
      </c>
      <c r="H12" s="132">
        <v>10.59245960502693</v>
      </c>
      <c r="I12" s="132">
        <v>22.064056939501778</v>
      </c>
      <c r="J12" s="131">
        <v>600</v>
      </c>
    </row>
    <row r="13" spans="1:10" x14ac:dyDescent="0.25">
      <c r="A13" s="131" t="s">
        <v>46</v>
      </c>
      <c r="B13" s="132">
        <v>66.187050359712231</v>
      </c>
      <c r="C13" s="132">
        <v>88.489208633093526</v>
      </c>
      <c r="D13" s="132">
        <v>45.255474452554743</v>
      </c>
      <c r="E13" s="132">
        <v>23.30827067669173</v>
      </c>
      <c r="F13" s="132">
        <v>70.212765957446805</v>
      </c>
      <c r="G13" s="132">
        <v>37.681159420289852</v>
      </c>
      <c r="H13" s="132">
        <v>16.788321167883211</v>
      </c>
      <c r="I13" s="132">
        <v>34.814814814814817</v>
      </c>
      <c r="J13" s="131">
        <v>148</v>
      </c>
    </row>
    <row r="14" spans="1:10" x14ac:dyDescent="0.25">
      <c r="A14" s="131" t="s">
        <v>5</v>
      </c>
      <c r="B14" s="132">
        <v>70.72784810126582</v>
      </c>
      <c r="C14" s="132">
        <v>78.110236220472444</v>
      </c>
      <c r="D14" s="132">
        <v>63.695299837925447</v>
      </c>
      <c r="E14" s="132">
        <v>37.335526315789473</v>
      </c>
      <c r="F14" s="132">
        <v>73.143759873617697</v>
      </c>
      <c r="G14" s="132">
        <v>24.462809917355372</v>
      </c>
      <c r="H14" s="132">
        <v>14.473684210526315</v>
      </c>
      <c r="I14" s="132">
        <v>27.741935483870968</v>
      </c>
      <c r="J14" s="131">
        <v>650</v>
      </c>
    </row>
    <row r="15" spans="1:10" x14ac:dyDescent="0.25">
      <c r="A15" s="131" t="s">
        <v>48</v>
      </c>
      <c r="B15" s="132">
        <v>75.609756097560975</v>
      </c>
      <c r="C15" s="132">
        <v>83.333333333333329</v>
      </c>
      <c r="D15" s="132">
        <v>51.260504201680675</v>
      </c>
      <c r="E15" s="132">
        <v>37.288135593220339</v>
      </c>
      <c r="F15" s="132">
        <v>67.2</v>
      </c>
      <c r="G15" s="132">
        <v>25.862068965517242</v>
      </c>
      <c r="H15" s="132">
        <v>20</v>
      </c>
      <c r="I15" s="132">
        <v>29.166666666666668</v>
      </c>
      <c r="J15" s="131">
        <v>135</v>
      </c>
    </row>
    <row r="16" spans="1:10" x14ac:dyDescent="0.25">
      <c r="A16" s="131" t="s">
        <v>49</v>
      </c>
      <c r="B16" s="132">
        <v>75.247524752475243</v>
      </c>
      <c r="C16" s="132">
        <v>92.233009708737868</v>
      </c>
      <c r="D16" s="132">
        <v>58.94736842105263</v>
      </c>
      <c r="E16" s="132">
        <v>37.5</v>
      </c>
      <c r="F16" s="132">
        <v>59.595959595959599</v>
      </c>
      <c r="G16" s="132">
        <v>47.368421052631582</v>
      </c>
      <c r="H16" s="132">
        <v>21.649484536082475</v>
      </c>
      <c r="I16" s="132">
        <v>28.125</v>
      </c>
      <c r="J16" s="131">
        <v>105</v>
      </c>
    </row>
    <row r="17" spans="1:10" x14ac:dyDescent="0.25">
      <c r="A17" s="131" t="s">
        <v>50</v>
      </c>
      <c r="B17" s="132">
        <v>66.847826086956516</v>
      </c>
      <c r="C17" s="132">
        <v>87.096774193548384</v>
      </c>
      <c r="D17" s="132">
        <v>37.640449438202246</v>
      </c>
      <c r="E17" s="132">
        <v>27.272727272727273</v>
      </c>
      <c r="F17" s="132">
        <v>69.945355191256837</v>
      </c>
      <c r="G17" s="132">
        <v>27.528089887640448</v>
      </c>
      <c r="H17" s="132">
        <v>20.114942528735632</v>
      </c>
      <c r="I17" s="132">
        <v>20</v>
      </c>
      <c r="J17" s="131">
        <v>194</v>
      </c>
    </row>
    <row r="18" spans="1:10" x14ac:dyDescent="0.25">
      <c r="A18" s="131" t="s">
        <v>69</v>
      </c>
      <c r="B18" s="132">
        <v>74.183976261127597</v>
      </c>
      <c r="C18" s="132">
        <v>88.988095238095241</v>
      </c>
      <c r="D18" s="132">
        <v>64.556962025316452</v>
      </c>
      <c r="E18" s="132">
        <v>31.230283911671926</v>
      </c>
      <c r="F18" s="132">
        <v>77.245508982035929</v>
      </c>
      <c r="G18" s="132">
        <v>27.760252365930601</v>
      </c>
      <c r="H18" s="132">
        <v>14.465408805031446</v>
      </c>
      <c r="I18" s="132">
        <v>30.555555555555557</v>
      </c>
      <c r="J18" s="131">
        <v>350</v>
      </c>
    </row>
    <row r="19" spans="1:10" x14ac:dyDescent="0.25">
      <c r="A19" s="131" t="s">
        <v>6</v>
      </c>
      <c r="B19" s="132">
        <v>61.707988980716252</v>
      </c>
      <c r="C19" s="132">
        <v>85.638297872340431</v>
      </c>
      <c r="D19" s="132">
        <v>47.008547008547012</v>
      </c>
      <c r="E19" s="132">
        <v>23.563218390804597</v>
      </c>
      <c r="F19" s="132">
        <v>76.756756756756758</v>
      </c>
      <c r="G19" s="132">
        <v>21.288515406162464</v>
      </c>
      <c r="H19" s="132">
        <v>10.511363636363637</v>
      </c>
      <c r="I19" s="132">
        <v>19.722222222222221</v>
      </c>
      <c r="J19" s="131">
        <v>389</v>
      </c>
    </row>
    <row r="20" spans="1:10" x14ac:dyDescent="0.25">
      <c r="A20" s="131" t="s">
        <v>70</v>
      </c>
      <c r="B20" s="132">
        <v>80.257510729613728</v>
      </c>
      <c r="C20" s="132">
        <v>90.08620689655173</v>
      </c>
      <c r="D20" s="132">
        <v>61.434977578475333</v>
      </c>
      <c r="E20" s="132">
        <v>33.944954128440365</v>
      </c>
      <c r="F20" s="132">
        <v>70.925110132158594</v>
      </c>
      <c r="G20" s="132">
        <v>21.658986175115206</v>
      </c>
      <c r="H20" s="132">
        <v>14.027149321266968</v>
      </c>
      <c r="I20" s="132">
        <v>26.576576576576578</v>
      </c>
      <c r="J20" s="131">
        <v>239</v>
      </c>
    </row>
    <row r="21" spans="1:10" x14ac:dyDescent="0.25">
      <c r="A21" s="131" t="s">
        <v>7</v>
      </c>
      <c r="B21" s="132">
        <v>55.696202531645568</v>
      </c>
      <c r="C21" s="132">
        <v>91.975308641975303</v>
      </c>
      <c r="D21" s="132">
        <v>50.34013605442177</v>
      </c>
      <c r="E21" s="132">
        <v>26</v>
      </c>
      <c r="F21" s="132">
        <v>78.709677419354833</v>
      </c>
      <c r="G21" s="132">
        <v>28.859060402684563</v>
      </c>
      <c r="H21" s="132">
        <v>12</v>
      </c>
      <c r="I21" s="132">
        <v>32.885906040268459</v>
      </c>
      <c r="J21" s="131">
        <v>168</v>
      </c>
    </row>
    <row r="22" spans="1:10" x14ac:dyDescent="0.25">
      <c r="A22" s="131" t="s">
        <v>22</v>
      </c>
      <c r="B22" s="132">
        <v>76.64670658682634</v>
      </c>
      <c r="C22" s="132">
        <v>83.832335329341319</v>
      </c>
      <c r="D22" s="132">
        <v>54.430379746835442</v>
      </c>
      <c r="E22" s="132">
        <v>36.25</v>
      </c>
      <c r="F22" s="132">
        <v>79.761904761904759</v>
      </c>
      <c r="G22" s="132">
        <v>38.888888888888886</v>
      </c>
      <c r="H22" s="132">
        <v>21.25</v>
      </c>
      <c r="I22" s="132">
        <v>31.901840490797547</v>
      </c>
      <c r="J22" s="131">
        <v>177</v>
      </c>
    </row>
    <row r="23" spans="1:10" x14ac:dyDescent="0.25">
      <c r="A23" s="131" t="s">
        <v>8</v>
      </c>
      <c r="B23" s="132">
        <v>76.413255360623779</v>
      </c>
      <c r="C23" s="132">
        <v>85.142857142857139</v>
      </c>
      <c r="D23" s="132">
        <v>52.988047808764939</v>
      </c>
      <c r="E23" s="132">
        <v>28.657314629258519</v>
      </c>
      <c r="F23" s="132">
        <v>78.957528957528964</v>
      </c>
      <c r="G23" s="132">
        <v>18.7624750499002</v>
      </c>
      <c r="H23" s="132">
        <v>8.617234468937875</v>
      </c>
      <c r="I23" s="132">
        <v>23.015873015873016</v>
      </c>
      <c r="J23" s="131">
        <v>533</v>
      </c>
    </row>
    <row r="24" spans="1:10" x14ac:dyDescent="0.25">
      <c r="A24" s="131" t="s">
        <v>9</v>
      </c>
      <c r="B24" s="132">
        <v>65.490196078431367</v>
      </c>
      <c r="C24" s="132">
        <v>71.814671814671811</v>
      </c>
      <c r="D24" s="132">
        <v>46.8</v>
      </c>
      <c r="E24" s="132">
        <v>31.325301204819276</v>
      </c>
      <c r="F24" s="132">
        <v>53.6</v>
      </c>
      <c r="G24" s="132">
        <v>31.300813008130081</v>
      </c>
      <c r="H24" s="132">
        <v>16.46586345381526</v>
      </c>
      <c r="I24" s="132">
        <v>26.984126984126984</v>
      </c>
      <c r="J24" s="131">
        <v>262</v>
      </c>
    </row>
    <row r="25" spans="1:10" x14ac:dyDescent="0.25">
      <c r="A25" s="131" t="s">
        <v>54</v>
      </c>
      <c r="B25" s="132">
        <v>69.696969696969703</v>
      </c>
      <c r="C25" s="132">
        <v>73.170731707317074</v>
      </c>
      <c r="D25" s="132">
        <v>50.931677018633543</v>
      </c>
      <c r="E25" s="132">
        <v>25.641025641025642</v>
      </c>
      <c r="F25" s="132">
        <v>62.345679012345677</v>
      </c>
      <c r="G25" s="132">
        <v>26.415094339622641</v>
      </c>
      <c r="H25" s="132">
        <v>13.375796178343949</v>
      </c>
      <c r="I25" s="132">
        <v>27.044025157232703</v>
      </c>
      <c r="J25" s="131">
        <v>168</v>
      </c>
    </row>
    <row r="26" spans="1:10" x14ac:dyDescent="0.25">
      <c r="A26" s="131" t="s">
        <v>71</v>
      </c>
      <c r="B26" s="132">
        <v>79.665071770334933</v>
      </c>
      <c r="C26" s="132">
        <v>87.589498806682585</v>
      </c>
      <c r="D26" s="132">
        <v>58.291457286432163</v>
      </c>
      <c r="E26" s="132">
        <v>32.061068702290079</v>
      </c>
      <c r="F26" s="132">
        <v>69.544364508393286</v>
      </c>
      <c r="G26" s="132">
        <v>18.320610687022899</v>
      </c>
      <c r="H26" s="132">
        <v>9.8984771573604053</v>
      </c>
      <c r="I26" s="132">
        <v>19.746835443037973</v>
      </c>
      <c r="J26" s="131">
        <v>437</v>
      </c>
    </row>
    <row r="27" spans="1:10" x14ac:dyDescent="0.25">
      <c r="A27" s="131" t="s">
        <v>10</v>
      </c>
      <c r="B27" s="132">
        <v>81.516587677725113</v>
      </c>
      <c r="C27" s="132">
        <v>80.568720379146924</v>
      </c>
      <c r="D27" s="132">
        <v>75.980392156862749</v>
      </c>
      <c r="E27" s="132">
        <v>49.246231155778894</v>
      </c>
      <c r="F27" s="132">
        <v>71.634615384615387</v>
      </c>
      <c r="G27" s="132">
        <v>33.668341708542712</v>
      </c>
      <c r="H27" s="132">
        <v>18.5</v>
      </c>
      <c r="I27" s="132">
        <v>38.190954773869343</v>
      </c>
      <c r="J27" s="131">
        <v>219</v>
      </c>
    </row>
    <row r="28" spans="1:10" x14ac:dyDescent="0.25">
      <c r="A28" s="131" t="s">
        <v>56</v>
      </c>
      <c r="B28" s="132">
        <v>67.79661016949153</v>
      </c>
      <c r="C28" s="132">
        <v>89.830508474576277</v>
      </c>
      <c r="D28" s="132">
        <v>57.988165680473372</v>
      </c>
      <c r="E28" s="132">
        <v>27.218934911242602</v>
      </c>
      <c r="F28" s="132">
        <v>54.545454545454547</v>
      </c>
      <c r="G28" s="132">
        <v>25.149700598802394</v>
      </c>
      <c r="H28" s="132">
        <v>14.201183431952662</v>
      </c>
      <c r="I28" s="132">
        <v>25.882352941176471</v>
      </c>
      <c r="J28" s="131">
        <v>179</v>
      </c>
    </row>
    <row r="29" spans="1:10" x14ac:dyDescent="0.25">
      <c r="A29" s="131" t="s">
        <v>11</v>
      </c>
      <c r="B29" s="132">
        <v>65.686274509803923</v>
      </c>
      <c r="C29" s="132">
        <v>76.8</v>
      </c>
      <c r="D29" s="132">
        <v>58.360655737704917</v>
      </c>
      <c r="E29" s="132">
        <v>35.090609555189459</v>
      </c>
      <c r="F29" s="132">
        <v>76.076555023923447</v>
      </c>
      <c r="G29" s="132">
        <v>29.421487603305785</v>
      </c>
      <c r="H29" s="132">
        <v>13.014827018121911</v>
      </c>
      <c r="I29" s="132">
        <v>28.501628664495115</v>
      </c>
      <c r="J29" s="131">
        <v>639</v>
      </c>
    </row>
    <row r="30" spans="1:10" x14ac:dyDescent="0.25">
      <c r="A30" s="131" t="s">
        <v>58</v>
      </c>
      <c r="B30" s="132">
        <v>69.811320754716988</v>
      </c>
      <c r="C30" s="132">
        <v>80</v>
      </c>
      <c r="D30" s="132">
        <v>83.486238532110093</v>
      </c>
      <c r="E30" s="132">
        <v>31.481481481481481</v>
      </c>
      <c r="F30" s="132">
        <v>60.185185185185183</v>
      </c>
      <c r="G30" s="132">
        <v>28.703703703703702</v>
      </c>
      <c r="H30" s="132">
        <v>15.238095238095237</v>
      </c>
      <c r="I30" s="132">
        <v>26.605504587155963</v>
      </c>
      <c r="J30" s="131">
        <v>114</v>
      </c>
    </row>
    <row r="31" spans="1:10" x14ac:dyDescent="0.25">
      <c r="A31" s="131" t="s">
        <v>59</v>
      </c>
      <c r="B31" s="132">
        <v>63.909774436090224</v>
      </c>
      <c r="C31" s="132">
        <v>92.198581560283685</v>
      </c>
      <c r="D31" s="132">
        <v>47.014925373134325</v>
      </c>
      <c r="E31" s="132">
        <v>22.137404580152673</v>
      </c>
      <c r="F31" s="132">
        <v>54.477611940298509</v>
      </c>
      <c r="G31" s="132">
        <v>31.818181818181817</v>
      </c>
      <c r="H31" s="132">
        <v>9.9236641221374047</v>
      </c>
      <c r="I31" s="132">
        <v>22.222222222222221</v>
      </c>
      <c r="J31" s="131">
        <v>143</v>
      </c>
    </row>
    <row r="32" spans="1:10" x14ac:dyDescent="0.25">
      <c r="A32" s="131" t="s">
        <v>60</v>
      </c>
      <c r="B32" s="132">
        <v>77.777777777777771</v>
      </c>
      <c r="C32" s="132">
        <v>85.925925925925924</v>
      </c>
      <c r="D32" s="132">
        <v>56.92307692307692</v>
      </c>
      <c r="E32" s="132">
        <v>33.582089552238806</v>
      </c>
      <c r="F32" s="132">
        <v>64.661654135338352</v>
      </c>
      <c r="G32" s="132">
        <v>43.939393939393938</v>
      </c>
      <c r="H32" s="132">
        <v>20</v>
      </c>
      <c r="I32" s="132">
        <v>39.393939393939391</v>
      </c>
      <c r="J32" s="131">
        <v>144</v>
      </c>
    </row>
    <row r="33" spans="1:10" x14ac:dyDescent="0.25">
      <c r="A33" s="131" t="s">
        <v>12</v>
      </c>
      <c r="B33" s="132">
        <v>72.58064516129032</v>
      </c>
      <c r="C33" s="132">
        <v>90.07633587786259</v>
      </c>
      <c r="D33" s="132">
        <v>57.72357723577236</v>
      </c>
      <c r="E33" s="132">
        <v>31.666666666666668</v>
      </c>
      <c r="F33" s="132">
        <v>71.774193548387103</v>
      </c>
      <c r="G33" s="132">
        <v>38.333333333333336</v>
      </c>
      <c r="H33" s="132">
        <v>16.806722689075631</v>
      </c>
      <c r="I33" s="132">
        <v>17.355371900826448</v>
      </c>
      <c r="J33" s="131">
        <v>135</v>
      </c>
    </row>
    <row r="34" spans="1:10" x14ac:dyDescent="0.25">
      <c r="A34" s="131" t="s">
        <v>61</v>
      </c>
      <c r="B34" s="132">
        <v>74.152542372881356</v>
      </c>
      <c r="C34" s="132">
        <v>83.265306122448976</v>
      </c>
      <c r="D34" s="132">
        <v>80.3347280334728</v>
      </c>
      <c r="E34" s="132">
        <v>38.695652173913047</v>
      </c>
      <c r="F34" s="132">
        <v>64.43514644351464</v>
      </c>
      <c r="G34" s="132">
        <v>30.603448275862068</v>
      </c>
      <c r="H34" s="132">
        <v>12.608695652173912</v>
      </c>
      <c r="I34" s="132">
        <v>17.748917748917748</v>
      </c>
      <c r="J34" s="131">
        <v>248</v>
      </c>
    </row>
    <row r="35" spans="1:10" x14ac:dyDescent="0.25">
      <c r="A35" s="131" t="s">
        <v>62</v>
      </c>
      <c r="B35" s="132">
        <v>73.394495412844037</v>
      </c>
      <c r="C35" s="132">
        <v>88.888888888888886</v>
      </c>
      <c r="D35" s="132">
        <v>60.784313725490193</v>
      </c>
      <c r="E35" s="132">
        <v>36.893203883495147</v>
      </c>
      <c r="F35" s="132">
        <v>71.698113207547166</v>
      </c>
      <c r="G35" s="132">
        <v>44.117647058823529</v>
      </c>
      <c r="H35" s="132">
        <v>16.666666666666668</v>
      </c>
      <c r="I35" s="132">
        <v>29.126213592233011</v>
      </c>
      <c r="J35" s="131">
        <v>115</v>
      </c>
    </row>
    <row r="36" spans="1:10" x14ac:dyDescent="0.25">
      <c r="A36" s="131" t="s">
        <v>23</v>
      </c>
      <c r="B36" s="132">
        <v>73.273273273273276</v>
      </c>
      <c r="C36" s="132">
        <v>84.569732937685458</v>
      </c>
      <c r="D36" s="132">
        <v>47.468354430379748</v>
      </c>
      <c r="E36" s="132">
        <v>35.962145110410091</v>
      </c>
      <c r="F36" s="132">
        <v>76.417910447761187</v>
      </c>
      <c r="G36" s="132">
        <v>31.761006289308177</v>
      </c>
      <c r="H36" s="132">
        <v>20.88607594936709</v>
      </c>
      <c r="I36" s="132">
        <v>38.580246913580247</v>
      </c>
      <c r="J36" s="131">
        <v>348</v>
      </c>
    </row>
    <row r="37" spans="1:10" x14ac:dyDescent="0.25">
      <c r="A37" s="131" t="s">
        <v>13</v>
      </c>
      <c r="B37" s="132">
        <v>54.885654885654887</v>
      </c>
      <c r="C37" s="132">
        <v>87.134502923976612</v>
      </c>
      <c r="D37" s="132">
        <v>72.545090180360717</v>
      </c>
      <c r="E37" s="132">
        <v>33.962264150943398</v>
      </c>
      <c r="F37" s="132">
        <v>63.453815261044177</v>
      </c>
      <c r="G37" s="132">
        <v>26.6384778012685</v>
      </c>
      <c r="H37" s="132">
        <v>14.345991561181435</v>
      </c>
      <c r="I37" s="132">
        <v>25.879917184265011</v>
      </c>
      <c r="J37" s="131">
        <v>525</v>
      </c>
    </row>
    <row r="38" spans="1:10" x14ac:dyDescent="0.25">
      <c r="A38" s="131" t="s">
        <v>14</v>
      </c>
      <c r="B38" s="132">
        <v>62.913907284768214</v>
      </c>
      <c r="C38" s="132">
        <v>81.045751633986924</v>
      </c>
      <c r="D38" s="132">
        <v>54</v>
      </c>
      <c r="E38" s="132">
        <v>38.255033557046978</v>
      </c>
      <c r="F38" s="132">
        <v>60.38961038961039</v>
      </c>
      <c r="G38" s="132">
        <v>47.651006711409394</v>
      </c>
      <c r="H38" s="132">
        <v>24.657534246575342</v>
      </c>
      <c r="I38" s="132">
        <v>32.214765100671144</v>
      </c>
      <c r="J38" s="131">
        <v>158</v>
      </c>
    </row>
    <row r="39" spans="1:10" x14ac:dyDescent="0.25">
      <c r="A39" s="131" t="s">
        <v>64</v>
      </c>
      <c r="B39" s="132">
        <v>74.683544303797461</v>
      </c>
      <c r="C39" s="132">
        <v>95.151515151515156</v>
      </c>
      <c r="D39" s="132">
        <v>67.515923566878982</v>
      </c>
      <c r="E39" s="132">
        <v>45.569620253164558</v>
      </c>
      <c r="F39" s="132">
        <v>67.484662576687114</v>
      </c>
      <c r="G39" s="132">
        <v>35.897435897435898</v>
      </c>
      <c r="H39" s="132">
        <v>24.025974025974026</v>
      </c>
      <c r="I39" s="132">
        <v>27.672955974842768</v>
      </c>
      <c r="J39" s="131">
        <v>167</v>
      </c>
    </row>
    <row r="40" spans="1:10" x14ac:dyDescent="0.25">
      <c r="A40" s="131" t="s">
        <v>65</v>
      </c>
      <c r="B40" s="132">
        <v>64.946889226100154</v>
      </c>
      <c r="C40" s="132">
        <v>72.888888888888886</v>
      </c>
      <c r="D40" s="132">
        <v>55.403348554033485</v>
      </c>
      <c r="E40" s="132">
        <v>32.507739938080498</v>
      </c>
      <c r="F40" s="132">
        <v>73.590504451038569</v>
      </c>
      <c r="G40" s="132">
        <v>24.265842349304481</v>
      </c>
      <c r="H40" s="132">
        <v>14.285714285714286</v>
      </c>
      <c r="I40" s="132">
        <v>28.790199081163859</v>
      </c>
      <c r="J40" s="131">
        <v>692</v>
      </c>
    </row>
    <row r="41" spans="1:10" x14ac:dyDescent="0.25">
      <c r="A41" s="131" t="s">
        <v>66</v>
      </c>
      <c r="B41" s="132">
        <v>72.448979591836732</v>
      </c>
      <c r="C41" s="132">
        <v>85</v>
      </c>
      <c r="D41" s="132">
        <v>63.541666666666664</v>
      </c>
      <c r="E41" s="132">
        <v>30.158730158730158</v>
      </c>
      <c r="F41" s="132">
        <v>78.534031413612567</v>
      </c>
      <c r="G41" s="132">
        <v>36.125654450261777</v>
      </c>
      <c r="H41" s="132">
        <v>12.5</v>
      </c>
      <c r="I41" s="132">
        <v>24.870466321243523</v>
      </c>
      <c r="J41" s="131">
        <v>202</v>
      </c>
    </row>
    <row r="42" spans="1:10" x14ac:dyDescent="0.25">
      <c r="A42" s="131" t="s">
        <v>15</v>
      </c>
      <c r="B42" s="132">
        <v>59.265442404006677</v>
      </c>
      <c r="C42" s="132">
        <v>72.312703583061889</v>
      </c>
      <c r="D42" s="132">
        <v>60.101010101010104</v>
      </c>
      <c r="E42" s="132">
        <v>31.756756756756758</v>
      </c>
      <c r="F42" s="132">
        <v>74.918566775244301</v>
      </c>
      <c r="G42" s="132">
        <v>22.711864406779661</v>
      </c>
      <c r="H42" s="132">
        <v>12.224108658743633</v>
      </c>
      <c r="I42" s="132">
        <v>31.260504201680671</v>
      </c>
      <c r="J42" s="131">
        <v>627</v>
      </c>
    </row>
    <row r="43" spans="1:10" x14ac:dyDescent="0.25">
      <c r="A43" s="131" t="s">
        <v>16</v>
      </c>
      <c r="B43" s="132">
        <v>75.741239892183287</v>
      </c>
      <c r="C43" s="132">
        <v>79.144385026737964</v>
      </c>
      <c r="D43" s="132">
        <v>61.772853185595565</v>
      </c>
      <c r="E43" s="132">
        <v>36.134453781512605</v>
      </c>
      <c r="F43" s="132">
        <v>75.661375661375658</v>
      </c>
      <c r="G43" s="132">
        <v>24.233983286908078</v>
      </c>
      <c r="H43" s="132">
        <v>15.32033426183844</v>
      </c>
      <c r="I43" s="132">
        <v>35.989010989010985</v>
      </c>
      <c r="J43" s="131">
        <v>387</v>
      </c>
    </row>
    <row r="44" spans="1:10" x14ac:dyDescent="0.25">
      <c r="A44" s="131" t="s">
        <v>17</v>
      </c>
      <c r="B44" s="132">
        <v>78.021978021978029</v>
      </c>
      <c r="C44" s="132">
        <v>90.526315789473685</v>
      </c>
      <c r="D44" s="132">
        <v>66.304347826086953</v>
      </c>
      <c r="E44" s="132">
        <v>41.111111111111114</v>
      </c>
      <c r="F44" s="132">
        <v>61.956521739130437</v>
      </c>
      <c r="G44" s="132">
        <v>38.46153846153846</v>
      </c>
      <c r="H44" s="132">
        <v>24.444444444444443</v>
      </c>
      <c r="I44" s="132">
        <v>37.777777777777779</v>
      </c>
      <c r="J44" s="131">
        <v>99</v>
      </c>
    </row>
    <row r="45" spans="1:10" x14ac:dyDescent="0.25">
      <c r="A45" s="131" t="s">
        <v>24</v>
      </c>
      <c r="B45" s="132">
        <v>80.555555555555557</v>
      </c>
      <c r="C45" s="132">
        <v>80</v>
      </c>
      <c r="D45" s="132">
        <v>75.862068965517238</v>
      </c>
      <c r="E45" s="132">
        <v>49.710982658959537</v>
      </c>
      <c r="F45" s="132">
        <v>78.531073446327682</v>
      </c>
      <c r="G45" s="132">
        <v>32.758620689655174</v>
      </c>
      <c r="H45" s="132">
        <v>19.767441860465116</v>
      </c>
      <c r="I45" s="132">
        <v>40</v>
      </c>
      <c r="J45" s="131">
        <v>185</v>
      </c>
    </row>
    <row r="48" spans="1:10" ht="14" x14ac:dyDescent="0.3">
      <c r="A48" s="125" t="s">
        <v>433</v>
      </c>
    </row>
    <row r="51" spans="1:10" ht="14" x14ac:dyDescent="0.3">
      <c r="A51" s="133" t="s">
        <v>158</v>
      </c>
      <c r="B51" s="129" t="s">
        <v>425</v>
      </c>
      <c r="C51" s="129" t="s">
        <v>426</v>
      </c>
      <c r="D51" s="129" t="s">
        <v>427</v>
      </c>
      <c r="E51" s="129" t="s">
        <v>428</v>
      </c>
      <c r="F51" s="129" t="s">
        <v>429</v>
      </c>
      <c r="G51" s="129" t="s">
        <v>430</v>
      </c>
      <c r="H51" s="129" t="s">
        <v>431</v>
      </c>
      <c r="I51" s="129" t="s">
        <v>432</v>
      </c>
      <c r="J51" s="130" t="s">
        <v>421</v>
      </c>
    </row>
    <row r="52" spans="1:10" x14ac:dyDescent="0.25">
      <c r="A52" s="113" t="s">
        <v>74</v>
      </c>
      <c r="B52" s="132">
        <v>75.590551181102356</v>
      </c>
      <c r="C52" s="132">
        <v>87.616099071207429</v>
      </c>
      <c r="D52" s="132">
        <v>63.857374392220422</v>
      </c>
      <c r="E52" s="132">
        <v>35.121951219512198</v>
      </c>
      <c r="F52" s="132">
        <v>63.492063492063494</v>
      </c>
      <c r="G52" s="132">
        <v>38.725490196078432</v>
      </c>
      <c r="H52" s="132">
        <v>19.243421052631579</v>
      </c>
      <c r="I52" s="132">
        <v>30.505709624796086</v>
      </c>
      <c r="J52" s="131">
        <v>676</v>
      </c>
    </row>
    <row r="53" spans="1:10" x14ac:dyDescent="0.25">
      <c r="A53" s="110" t="s">
        <v>75</v>
      </c>
      <c r="B53" s="132">
        <v>71.976149914821121</v>
      </c>
      <c r="C53" s="132">
        <v>86.672254819782069</v>
      </c>
      <c r="D53" s="132">
        <v>60.329861111111114</v>
      </c>
      <c r="E53" s="132">
        <v>34.180543382997371</v>
      </c>
      <c r="F53" s="132">
        <v>67.657045840407477</v>
      </c>
      <c r="G53" s="132">
        <v>35.222319093286835</v>
      </c>
      <c r="H53" s="132">
        <v>17.966695880806309</v>
      </c>
      <c r="I53" s="132">
        <v>29.213483146067414</v>
      </c>
      <c r="J53" s="131">
        <v>1238</v>
      </c>
    </row>
    <row r="54" spans="1:10" x14ac:dyDescent="0.25">
      <c r="A54" s="110" t="s">
        <v>76</v>
      </c>
      <c r="B54" s="132">
        <v>68.830059777967548</v>
      </c>
      <c r="C54" s="132">
        <v>83.827265029635896</v>
      </c>
      <c r="D54" s="132">
        <v>54.778761061946902</v>
      </c>
      <c r="E54" s="132">
        <v>33.243967828418228</v>
      </c>
      <c r="F54" s="132">
        <v>66.523605150214593</v>
      </c>
      <c r="G54" s="132">
        <v>30.741733690795353</v>
      </c>
      <c r="H54" s="132">
        <v>17.531305903398927</v>
      </c>
      <c r="I54" s="132">
        <v>29.563668744434551</v>
      </c>
      <c r="J54" s="131">
        <v>1223</v>
      </c>
    </row>
    <row r="55" spans="1:10" x14ac:dyDescent="0.25">
      <c r="A55" s="110" t="s">
        <v>77</v>
      </c>
      <c r="B55" s="132">
        <v>74.0053050397878</v>
      </c>
      <c r="C55" s="132">
        <v>84.453781512605048</v>
      </c>
      <c r="D55" s="132">
        <v>59.923034634414513</v>
      </c>
      <c r="E55" s="132">
        <v>33.886124930901047</v>
      </c>
      <c r="F55" s="132">
        <v>70.304975922953446</v>
      </c>
      <c r="G55" s="132">
        <v>28.911000552791599</v>
      </c>
      <c r="H55" s="132">
        <v>15.562913907284768</v>
      </c>
      <c r="I55" s="132">
        <v>27.233115468409586</v>
      </c>
      <c r="J55" s="131">
        <v>1950</v>
      </c>
    </row>
    <row r="56" spans="1:10" x14ac:dyDescent="0.25">
      <c r="A56" s="110" t="s">
        <v>78</v>
      </c>
      <c r="B56" s="132">
        <v>69.202499081220139</v>
      </c>
      <c r="C56" s="132">
        <v>84.808312432819775</v>
      </c>
      <c r="D56" s="132">
        <v>59.10280373831776</v>
      </c>
      <c r="E56" s="132">
        <v>29.996193376475066</v>
      </c>
      <c r="F56" s="132">
        <v>72.238372093023258</v>
      </c>
      <c r="G56" s="132">
        <v>21.847784929950777</v>
      </c>
      <c r="H56" s="132">
        <v>11.427486712224754</v>
      </c>
      <c r="I56" s="132">
        <v>24.146981627296586</v>
      </c>
      <c r="J56" s="131">
        <v>2870</v>
      </c>
    </row>
    <row r="57" spans="1:10" x14ac:dyDescent="0.25">
      <c r="A57" s="110" t="s">
        <v>79</v>
      </c>
      <c r="B57" s="132">
        <v>60.814794961136421</v>
      </c>
      <c r="C57" s="132">
        <v>74.94758909853249</v>
      </c>
      <c r="D57" s="132">
        <v>59.0578734858681</v>
      </c>
      <c r="E57" s="132">
        <v>35.807504078303424</v>
      </c>
      <c r="F57" s="132">
        <v>71.059567738534525</v>
      </c>
      <c r="G57" s="132">
        <v>24.830024476475387</v>
      </c>
      <c r="H57" s="132">
        <v>13.409337676438653</v>
      </c>
      <c r="I57" s="132">
        <v>26.491133799032777</v>
      </c>
      <c r="J57" s="131">
        <v>3899</v>
      </c>
    </row>
    <row r="59" spans="1:10" s="126" customFormat="1" ht="13" x14ac:dyDescent="0.3">
      <c r="A59" s="128" t="s">
        <v>159</v>
      </c>
      <c r="B59" s="134">
        <v>67.844835203675885</v>
      </c>
      <c r="C59" s="134">
        <v>81.736189402480264</v>
      </c>
      <c r="D59" s="134">
        <v>59.173568599207776</v>
      </c>
      <c r="E59" s="134">
        <v>33.633633633633636</v>
      </c>
      <c r="F59" s="134">
        <v>69.98595012293643</v>
      </c>
      <c r="G59" s="134">
        <v>27.242162653339392</v>
      </c>
      <c r="H59" s="134">
        <v>14.503955624261161</v>
      </c>
      <c r="I59" s="134">
        <v>26.866342867422198</v>
      </c>
      <c r="J59" s="128">
        <v>11856</v>
      </c>
    </row>
    <row r="61" spans="1:10" x14ac:dyDescent="0.25">
      <c r="A61" s="105" t="s">
        <v>654</v>
      </c>
    </row>
    <row r="62" spans="1:10" x14ac:dyDescent="0.25">
      <c r="A62" s="105" t="s">
        <v>655</v>
      </c>
    </row>
    <row r="63" spans="1:10" x14ac:dyDescent="0.25">
      <c r="A63" s="105" t="s">
        <v>656</v>
      </c>
    </row>
    <row r="64" spans="1:10" x14ac:dyDescent="0.25">
      <c r="A64" s="105" t="s">
        <v>657</v>
      </c>
    </row>
    <row r="65" spans="1:1" x14ac:dyDescent="0.25">
      <c r="A65" s="105" t="s">
        <v>658</v>
      </c>
    </row>
    <row r="66" spans="1:1" x14ac:dyDescent="0.25">
      <c r="A66" s="105" t="s">
        <v>659</v>
      </c>
    </row>
    <row r="67" spans="1:1" x14ac:dyDescent="0.25">
      <c r="A67" s="105" t="s">
        <v>660</v>
      </c>
    </row>
    <row r="68" spans="1:1" x14ac:dyDescent="0.25">
      <c r="A68" s="105" t="s">
        <v>661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2"/>
  <sheetViews>
    <sheetView zoomScale="90" zoomScaleNormal="90" workbookViewId="0">
      <selection activeCell="N217" sqref="N217"/>
    </sheetView>
  </sheetViews>
  <sheetFormatPr defaultColWidth="8.78515625" defaultRowHeight="12.5" x14ac:dyDescent="0.25"/>
  <cols>
    <col min="1" max="2" width="8.78515625" style="23"/>
    <col min="3" max="3" width="8.78515625" style="23" customWidth="1"/>
    <col min="4" max="4" width="9.78515625" style="23" bestFit="1" customWidth="1"/>
    <col min="5" max="5" width="10.5" style="23" bestFit="1" customWidth="1"/>
    <col min="6" max="7" width="8.78515625" style="23"/>
    <col min="8" max="8" width="9.640625" style="23" bestFit="1" customWidth="1"/>
    <col min="9" max="12" width="9.640625" style="23" customWidth="1"/>
    <col min="13" max="16384" width="8.78515625" style="23"/>
  </cols>
  <sheetData>
    <row r="1" spans="1:9" x14ac:dyDescent="0.25">
      <c r="A1" s="88"/>
      <c r="B1" s="89" t="str">
        <f>IF(D1&gt;100000,"yli 100000",IF(D1&gt;50000,"50001-100000",IF(D1&gt;20000,"20001-50000", IF(D1&gt;10000,"10001-20000",IF(D1&gt;4999,"5000-10000","alle 5000")))))</f>
        <v>5000-10000</v>
      </c>
      <c r="C1" s="88" t="str">
        <f>IF(D1&gt;100000,"Yli 100000 as. kunnat",IF(D1&gt;50000,"50001-100000 as. kunnat",IF(D1&gt;20000,"20001-50000 as. kunnat", IF(D1&gt;10000,"10001-20000 as. kunnat",IF(D1&gt;4999,"5000-10000 as. kunnat","alle 5000 as. kunnat")))))</f>
        <v>5000-10000 as. kunnat</v>
      </c>
      <c r="D1" s="88">
        <f>VLOOKUP(Etusivu!$B$9,asukasluku,8,FALSE)</f>
        <v>5046</v>
      </c>
      <c r="E1" s="88"/>
      <c r="F1" s="23" t="s">
        <v>109</v>
      </c>
      <c r="G1" s="23" t="s">
        <v>110</v>
      </c>
      <c r="H1" s="96" t="s">
        <v>111</v>
      </c>
      <c r="I1" s="23" t="s">
        <v>725</v>
      </c>
    </row>
    <row r="2" spans="1:9" ht="13" x14ac:dyDescent="0.3">
      <c r="A2" s="106" t="s">
        <v>155</v>
      </c>
      <c r="B2" s="89"/>
      <c r="C2" s="88"/>
      <c r="D2" s="88"/>
      <c r="E2" s="88"/>
    </row>
    <row r="3" spans="1:9" x14ac:dyDescent="0.25">
      <c r="B3" s="88" t="s">
        <v>113</v>
      </c>
      <c r="C3" s="88" t="str">
        <f>$C$1</f>
        <v>5000-10000 as. kunnat</v>
      </c>
      <c r="D3" s="91" t="str">
        <f>Etusivu!$B$9</f>
        <v>Askola</v>
      </c>
      <c r="E3" s="88" t="s">
        <v>98</v>
      </c>
      <c r="F3" s="23" t="str">
        <f>A2</f>
        <v>K11: Miten tyytyväinen olet nykyiseen elämäntilanteeseesi?</v>
      </c>
    </row>
    <row r="4" spans="1:9" x14ac:dyDescent="0.25">
      <c r="A4" s="107" t="s">
        <v>156</v>
      </c>
      <c r="B4" s="102">
        <f>'K11'!B59</f>
        <v>71.564222128020347</v>
      </c>
      <c r="C4" s="87">
        <f>VLOOKUP(AN_koko,TN_K11_ryhmat[],2)</f>
        <v>72.385368366821226</v>
      </c>
      <c r="D4" s="87">
        <f>VLOOKUP(Etusivu!$B$9,TN_K11_kunnat[],2,FALSE)</f>
        <v>72.881355932203405</v>
      </c>
      <c r="E4" s="88">
        <f>VLOOKUP(Etusivu!$B$9, TN_kunnat[[Kunnan nimi]:[vast.% 2015]], 4,FALSE)</f>
        <v>119</v>
      </c>
      <c r="F4" s="23" t="str">
        <f>Etusivu!$B$9&amp;": "&amp;E3&amp;" = "&amp;$I$1&amp;" "&amp;E4</f>
        <v>Askola: N = max. 119</v>
      </c>
    </row>
    <row r="5" spans="1:9" ht="13" x14ac:dyDescent="0.3">
      <c r="A5" s="106" t="s">
        <v>160</v>
      </c>
      <c r="B5" s="102"/>
      <c r="C5" s="87"/>
      <c r="D5" s="87"/>
      <c r="E5" s="88"/>
    </row>
    <row r="6" spans="1:9" x14ac:dyDescent="0.25">
      <c r="A6" s="88"/>
      <c r="B6" s="102" t="str">
        <f>$B$3</f>
        <v>Kaikki ARTTU2-kunnat</v>
      </c>
      <c r="C6" s="87" t="str">
        <f>$C$3</f>
        <v>5000-10000 as. kunnat</v>
      </c>
      <c r="D6" s="87" t="str">
        <f>$D$3</f>
        <v>Askola</v>
      </c>
      <c r="E6" s="88" t="str">
        <f>$E$3</f>
        <v>N</v>
      </c>
      <c r="F6" s="23" t="str">
        <f>A5</f>
        <v>K12: Miten hyvin kykenet mielestäsi hoitamaan asioitasi kunnan kanssa?</v>
      </c>
    </row>
    <row r="7" spans="1:9" x14ac:dyDescent="0.25">
      <c r="A7" s="115" t="s">
        <v>161</v>
      </c>
      <c r="B7" s="102">
        <f>'K12'!B59</f>
        <v>60.224470708273103</v>
      </c>
      <c r="C7" s="87">
        <f>VLOOKUP(AN_koko,TN_K12_ryhmat[],2)</f>
        <v>62.150982419855225</v>
      </c>
      <c r="D7" s="87">
        <f>VLOOKUP(Etusivu!$B$9,TN_K12_kunnat[],2,FALSE)</f>
        <v>60.16949152542373</v>
      </c>
      <c r="E7" s="88">
        <f>VLOOKUP(Etusivu!$B$9, TN_kunnat[[Kunnan nimi]:[vast.% 2015]], 4,FALSE)</f>
        <v>119</v>
      </c>
      <c r="F7" s="23" t="str">
        <f>Etusivu!$B$9&amp;": "&amp;E6&amp;" = "&amp;$I$1&amp;" "&amp;E7</f>
        <v>Askola: N = max. 119</v>
      </c>
    </row>
    <row r="8" spans="1:9" ht="14" x14ac:dyDescent="0.3">
      <c r="A8" s="116" t="s">
        <v>749</v>
      </c>
      <c r="B8" s="102"/>
      <c r="C8" s="87"/>
      <c r="D8" s="87"/>
      <c r="E8" s="88"/>
    </row>
    <row r="9" spans="1:9" x14ac:dyDescent="0.25">
      <c r="A9" s="88"/>
      <c r="B9" s="102" t="str">
        <f>$B$3</f>
        <v>Kaikki ARTTU2-kunnat</v>
      </c>
      <c r="C9" s="87" t="str">
        <f>$C$3</f>
        <v>5000-10000 as. kunnat</v>
      </c>
      <c r="D9" s="87" t="str">
        <f>$D$3</f>
        <v>Askola</v>
      </c>
      <c r="E9" s="88" t="str">
        <f>$E$3</f>
        <v>N</v>
      </c>
      <c r="F9" s="23" t="str">
        <f>A8</f>
        <v xml:space="preserve">K13: Kuvittele tilanne, jossa kunnat kilpailevat keskenään siitä, missä kunnassa tai kaupungissa on "hyvä asua ja elää".  Miten arvioisit nykyisen kotikuntasi sijoittuvan kilpailussa? </v>
      </c>
    </row>
    <row r="10" spans="1:9" x14ac:dyDescent="0.25">
      <c r="A10" s="23" t="str">
        <f>'K13'!A3</f>
        <v>% vastanneista arvioi kotikuntansa sijoittuvan kilpailussa melko tai erittäin hyvin (4+5)</v>
      </c>
      <c r="B10" s="102">
        <f>'K13'!B62</f>
        <v>57.953671253953331</v>
      </c>
      <c r="C10" s="87">
        <f>VLOOKUP(AN_koko,TN_K13_ryhmat[],2)</f>
        <v>56.971904266389181</v>
      </c>
      <c r="D10" s="87">
        <f>VLOOKUP(Etusivu!$B$9,TN_K13_kunnat[],2,FALSE)</f>
        <v>47.457627118644069</v>
      </c>
      <c r="E10" s="88">
        <f>VLOOKUP(Etusivu!$B$9, TN_kunnat[[Kunnan nimi]:[vast.% 2015]], 4,FALSE)</f>
        <v>119</v>
      </c>
      <c r="F10" s="23" t="str">
        <f>Etusivu!$B$9&amp;": "&amp;E9&amp;" = "&amp;$I$1&amp;" "&amp;E10</f>
        <v>Askola: N = max. 119</v>
      </c>
    </row>
    <row r="11" spans="1:9" ht="14" x14ac:dyDescent="0.3">
      <c r="A11" s="116" t="s">
        <v>166</v>
      </c>
      <c r="B11" s="102"/>
      <c r="C11" s="87"/>
      <c r="D11" s="87"/>
      <c r="E11" s="88"/>
    </row>
    <row r="12" spans="1:9" x14ac:dyDescent="0.25">
      <c r="A12" s="89"/>
      <c r="B12" s="102" t="str">
        <f>$B$3</f>
        <v>Kaikki ARTTU2-kunnat</v>
      </c>
      <c r="C12" s="87" t="str">
        <f>$C$3</f>
        <v>5000-10000 as. kunnat</v>
      </c>
      <c r="D12" s="87" t="str">
        <f>$D$3</f>
        <v>Askola</v>
      </c>
      <c r="E12" s="88" t="str">
        <f>$E$3</f>
        <v>N</v>
      </c>
      <c r="F12" s="23" t="str">
        <f>A11</f>
        <v>K14: Mitkä ovat mielestäsi kolme tärkeintä asiaa hyvässä kotikunnassa/-kaupungissa?</v>
      </c>
    </row>
    <row r="13" spans="1:9" x14ac:dyDescent="0.25">
      <c r="A13" s="115" t="s">
        <v>101</v>
      </c>
      <c r="B13" s="102">
        <f>'K14'!B$61</f>
        <v>28.238866396761132</v>
      </c>
      <c r="C13" s="87">
        <f>VLOOKUP(AN_koko,TN_K14_ryhmat[],2)</f>
        <v>26.974358974358974</v>
      </c>
      <c r="D13" s="87">
        <f>VLOOKUP(Etusivu!$B$9,TN_K14_kunnat[],2,FALSE)</f>
        <v>28.571428571428573</v>
      </c>
      <c r="E13" s="88">
        <f>VLOOKUP(Etusivu!$B$9, TN_kunnat[[Kunnan nimi]:[vast.% 2015]], 4,FALSE)</f>
        <v>119</v>
      </c>
      <c r="F13" s="23" t="str">
        <f>Etusivu!$B$9&amp;": "&amp;E12&amp;" = "&amp;$I$1&amp;" "&amp;E13</f>
        <v>Askola: N = max. 119</v>
      </c>
    </row>
    <row r="14" spans="1:9" x14ac:dyDescent="0.25">
      <c r="A14" s="115" t="s">
        <v>102</v>
      </c>
      <c r="B14" s="102">
        <f>'K14'!C$61</f>
        <v>46.271929824561404</v>
      </c>
      <c r="C14" s="87">
        <f>VLOOKUP(AN_koko,TN_K14_ryhmat[],3)</f>
        <v>46.358974358974358</v>
      </c>
      <c r="D14" s="87">
        <f>VLOOKUP(Etusivu!$B$9,TN_K14_kunnat[],3,FALSE)</f>
        <v>46.218487394957982</v>
      </c>
      <c r="E14" s="88"/>
      <c r="F14" s="23" t="s">
        <v>168</v>
      </c>
    </row>
    <row r="15" spans="1:9" x14ac:dyDescent="0.25">
      <c r="A15" s="115" t="s">
        <v>114</v>
      </c>
      <c r="B15" s="102">
        <f>'K14'!D$61</f>
        <v>30.727058029689609</v>
      </c>
      <c r="C15" s="87">
        <f>VLOOKUP(AN_koko,TN_K14_ryhmat[],4)</f>
        <v>29.333333333333332</v>
      </c>
      <c r="D15" s="87">
        <f>VLOOKUP(Etusivu!$B$9,TN_K14_kunnat[],4,FALSE)</f>
        <v>42.016806722689076</v>
      </c>
      <c r="E15" s="88"/>
    </row>
    <row r="16" spans="1:9" x14ac:dyDescent="0.25">
      <c r="A16" s="115" t="s">
        <v>103</v>
      </c>
      <c r="B16" s="102">
        <f>'K14'!E$61</f>
        <v>25.868758434547907</v>
      </c>
      <c r="C16" s="87">
        <f>VLOOKUP(AN_koko,TN_K14_ryhmat[],5)</f>
        <v>24.717948717948719</v>
      </c>
      <c r="D16" s="87">
        <f>VLOOKUP(Etusivu!$B$9,TN_K14_kunnat[],5,FALSE)</f>
        <v>21.008403361344538</v>
      </c>
      <c r="E16" s="88"/>
    </row>
    <row r="17" spans="1:24" x14ac:dyDescent="0.25">
      <c r="A17" s="115" t="s">
        <v>104</v>
      </c>
      <c r="B17" s="102">
        <f>'K14'!F$61</f>
        <v>47.731106612685558</v>
      </c>
      <c r="C17" s="87">
        <f>VLOOKUP(AN_koko,TN_K14_ryhmat[],6)</f>
        <v>50.717948717948715</v>
      </c>
      <c r="D17" s="87">
        <f>VLOOKUP(Etusivu!$B$9,TN_K14_kunnat[],6,FALSE)</f>
        <v>40.336134453781511</v>
      </c>
      <c r="E17" s="88"/>
    </row>
    <row r="18" spans="1:24" x14ac:dyDescent="0.25">
      <c r="A18" s="115" t="s">
        <v>105</v>
      </c>
      <c r="B18" s="102">
        <f>'K14'!G$61</f>
        <v>30.85357624831309</v>
      </c>
      <c r="C18" s="87">
        <f>VLOOKUP(AN_koko,TN_K14_ryhmat[],7)</f>
        <v>32.564102564102562</v>
      </c>
      <c r="D18" s="87">
        <f>VLOOKUP(Etusivu!$B$9,TN_K14_kunnat[],7,FALSE)</f>
        <v>34.45378151260504</v>
      </c>
      <c r="E18" s="88"/>
    </row>
    <row r="19" spans="1:24" x14ac:dyDescent="0.25">
      <c r="A19" s="115" t="s">
        <v>106</v>
      </c>
      <c r="B19" s="102">
        <f>'K14'!H$61</f>
        <v>7.5067476383265861</v>
      </c>
      <c r="C19" s="87">
        <f>VLOOKUP(AN_koko,TN_K14_ryhmat[],8)</f>
        <v>8.3589743589743595</v>
      </c>
      <c r="D19" s="87">
        <f>VLOOKUP(Etusivu!$B$9,TN_K14_kunnat[],8,FALSE)</f>
        <v>10.92436974789916</v>
      </c>
      <c r="E19" s="88"/>
    </row>
    <row r="20" spans="1:24" x14ac:dyDescent="0.25">
      <c r="A20" s="115" t="s">
        <v>107</v>
      </c>
      <c r="B20" s="102">
        <f>'K14'!I$61</f>
        <v>35.560053981106613</v>
      </c>
      <c r="C20" s="87">
        <f>VLOOKUP(AN_koko,TN_K14_ryhmat[],9)</f>
        <v>36.974358974358971</v>
      </c>
      <c r="D20" s="87">
        <f>VLOOKUP(Etusivu!$B$9,TN_K14_kunnat[],9,FALSE)</f>
        <v>36.134453781512605</v>
      </c>
      <c r="E20" s="88"/>
    </row>
    <row r="21" spans="1:24" x14ac:dyDescent="0.25">
      <c r="A21" s="115" t="s">
        <v>108</v>
      </c>
      <c r="B21" s="102">
        <f>'K14'!J$61</f>
        <v>17.729419703103915</v>
      </c>
      <c r="C21" s="87">
        <f>VLOOKUP(AN_koko,TN_K14_ryhmat[],10)</f>
        <v>15.179487179487179</v>
      </c>
      <c r="D21" s="87">
        <f>VLOOKUP(Etusivu!$B$9,TN_K14_kunnat[],10,FALSE)</f>
        <v>7.5630252100840334</v>
      </c>
      <c r="E21" s="88"/>
    </row>
    <row r="22" spans="1:24" ht="14" x14ac:dyDescent="0.3">
      <c r="A22" s="116" t="s">
        <v>178</v>
      </c>
      <c r="B22" s="102"/>
      <c r="C22" s="87"/>
      <c r="D22" s="87"/>
      <c r="E22" s="88"/>
    </row>
    <row r="23" spans="1:24" x14ac:dyDescent="0.25">
      <c r="B23" s="102" t="str">
        <f>$B$3</f>
        <v>Kaikki ARTTU2-kunnat</v>
      </c>
      <c r="C23" s="87" t="str">
        <f>$C$3</f>
        <v>5000-10000 as. kunnat</v>
      </c>
      <c r="D23" s="87" t="str">
        <f>$D$3</f>
        <v>Askola</v>
      </c>
      <c r="E23" s="88" t="str">
        <f>$E$3</f>
        <v>N</v>
      </c>
      <c r="F23" s="23" t="str">
        <f>A22</f>
        <v>K15: Miten todennäköistä on, että asut nykyisessä kotikunnassasi edelleen 3 vuoden kuluttua?</v>
      </c>
    </row>
    <row r="24" spans="1:24" x14ac:dyDescent="0.25">
      <c r="A24" s="89" t="s">
        <v>180</v>
      </c>
      <c r="B24" s="54">
        <f>'K15'!B62</f>
        <v>82.203894226681399</v>
      </c>
      <c r="C24" s="87">
        <f>VLOOKUP(AN_koko,TN_K15_ryhmat[],2)</f>
        <v>84.229576008273014</v>
      </c>
      <c r="D24" s="87">
        <f>VLOOKUP(Etusivu!$B$9,TN_K15_kunnat[],2,FALSE)</f>
        <v>82.20338983050847</v>
      </c>
      <c r="E24" s="88">
        <f>VLOOKUP(Etusivu!$B$9, TN_kunnat[[Kunnan nimi]:[vast.% 2015]], 4,FALSE)</f>
        <v>119</v>
      </c>
      <c r="F24" s="23" t="str">
        <f>Etusivu!$B$9&amp;": "&amp;E23&amp;" = "&amp;$I$1&amp;" "&amp;E24</f>
        <v>Askola: N = max. 119</v>
      </c>
    </row>
    <row r="25" spans="1:24" ht="14" x14ac:dyDescent="0.3">
      <c r="A25" s="116" t="s">
        <v>181</v>
      </c>
      <c r="B25" s="54"/>
      <c r="C25" s="87"/>
      <c r="D25" s="87"/>
      <c r="E25" s="88"/>
    </row>
    <row r="26" spans="1:24" x14ac:dyDescent="0.25">
      <c r="A26" s="89"/>
      <c r="B26" s="102" t="str">
        <f>$B$3</f>
        <v>Kaikki ARTTU2-kunnat</v>
      </c>
      <c r="C26" s="87" t="str">
        <f>$C$3</f>
        <v>5000-10000 as. kunnat</v>
      </c>
      <c r="D26" s="87" t="str">
        <f>$D$3</f>
        <v>Askola</v>
      </c>
      <c r="E26" s="88" t="str">
        <f>$E$3</f>
        <v>N</v>
      </c>
      <c r="F26" s="23" t="str">
        <f>A25</f>
        <v>K16: Ihminen voi samaistua ja kokea kuuluvansa erilaisiin alueellisiin kokonaisuuksiin. Missä määrin koet samaistuvasi tai koet yhteenkuuluvaisuutta seuraaviin alueellisiin kokonaisuuksiin?</v>
      </c>
    </row>
    <row r="27" spans="1:24" x14ac:dyDescent="0.25">
      <c r="A27" s="115" t="s">
        <v>194</v>
      </c>
      <c r="B27" s="54">
        <f>'K16'!B$59</f>
        <v>55.849830568931694</v>
      </c>
      <c r="C27" s="87">
        <f>VLOOKUP(AN_koko,TN_K16_ryhmat[],2)</f>
        <v>58.396533044420366</v>
      </c>
      <c r="D27" s="87">
        <f>VLOOKUP(Etusivu!$B$9,TN_K16_kunnat[],2,FALSE)</f>
        <v>55.454545454545453</v>
      </c>
      <c r="E27" s="88">
        <f>VLOOKUP(Etusivu!$B$9, TN_kunnat[[Kunnan nimi]:[vast.% 2015]], 4,FALSE)</f>
        <v>119</v>
      </c>
      <c r="F27" s="23" t="str">
        <f>Etusivu!$B$9&amp;": "&amp;E26&amp;" = "&amp;$I$1&amp;" "&amp;E27</f>
        <v>Askola: N = max. 119</v>
      </c>
    </row>
    <row r="28" spans="1:24" x14ac:dyDescent="0.25">
      <c r="A28" s="115" t="s">
        <v>195</v>
      </c>
      <c r="B28" s="54">
        <f>'K16'!C$59</f>
        <v>52.968905810896565</v>
      </c>
      <c r="C28" s="87">
        <f>VLOOKUP(AN_koko,TN_K16_ryhmat[],3)</f>
        <v>53.884297520661157</v>
      </c>
      <c r="D28" s="87">
        <f>VLOOKUP(Etusivu!$B$9,TN_K16_kunnat[],3,FALSE)</f>
        <v>54.954954954954957</v>
      </c>
      <c r="E28" s="90"/>
      <c r="F28" s="47" t="str">
        <f>'K16'!A3</f>
        <v>% vastanneista samaistuu melko tai erittäin paljon (4+5)</v>
      </c>
      <c r="G28" s="47"/>
      <c r="H28" s="36"/>
      <c r="I28" s="33"/>
      <c r="J28" s="47"/>
      <c r="K28" s="57"/>
      <c r="L28" s="57"/>
      <c r="M28" s="48"/>
      <c r="O28" s="19"/>
    </row>
    <row r="29" spans="1:24" ht="13" x14ac:dyDescent="0.3">
      <c r="A29" s="115" t="s">
        <v>196</v>
      </c>
      <c r="B29" s="54">
        <f>'K16'!D$59</f>
        <v>59.894984609813505</v>
      </c>
      <c r="C29" s="87">
        <f>VLOOKUP(AN_koko,TN_K16_ryhmat[],4)</f>
        <v>60.032985156679494</v>
      </c>
      <c r="D29" s="87">
        <f>VLOOKUP(Etusivu!$B$9,TN_K16_kunnat[],4,FALSE)</f>
        <v>57.407407407407405</v>
      </c>
      <c r="E29" s="88"/>
      <c r="H29" s="18"/>
      <c r="I29" s="18"/>
      <c r="L29" s="18"/>
      <c r="M29" s="49"/>
      <c r="P29" s="18"/>
      <c r="Q29" s="49"/>
      <c r="T29" s="18"/>
      <c r="U29" s="49"/>
      <c r="X29" s="18"/>
    </row>
    <row r="30" spans="1:24" x14ac:dyDescent="0.25">
      <c r="A30" s="115" t="s">
        <v>197</v>
      </c>
      <c r="B30" s="54">
        <f>'K16'!E$59</f>
        <v>35.968830181507172</v>
      </c>
      <c r="C30" s="87">
        <f>VLOOKUP(AN_koko,TN_K16_ryhmat[],5)</f>
        <v>33.294596165020337</v>
      </c>
      <c r="D30" s="87">
        <f>VLOOKUP(Etusivu!$B$9,TN_K16_kunnat[],5,FALSE)</f>
        <v>36.19047619047619</v>
      </c>
      <c r="E30" s="58"/>
      <c r="F30" s="43"/>
      <c r="G30" s="43"/>
      <c r="H30" s="44"/>
      <c r="I30" s="58"/>
      <c r="J30" s="42"/>
      <c r="K30" s="42"/>
      <c r="L30" s="42"/>
      <c r="M30" s="58"/>
      <c r="N30" s="41"/>
      <c r="O30" s="42"/>
      <c r="P30" s="59"/>
      <c r="Q30" s="58"/>
      <c r="R30" s="19"/>
      <c r="S30" s="19"/>
      <c r="T30" s="19"/>
      <c r="U30" s="58"/>
      <c r="V30" s="18"/>
      <c r="W30" s="18"/>
      <c r="X30" s="18"/>
    </row>
    <row r="31" spans="1:24" x14ac:dyDescent="0.25">
      <c r="A31" s="115" t="s">
        <v>198</v>
      </c>
      <c r="B31" s="54">
        <f>'K16'!F$59</f>
        <v>44.392435873431943</v>
      </c>
      <c r="C31" s="87">
        <f>VLOOKUP(AN_koko,TN_K16_ryhmat[],6)</f>
        <v>46.898121798520208</v>
      </c>
      <c r="D31" s="87">
        <f>VLOOKUP(Etusivu!$B$9,TN_K16_kunnat[],6,FALSE)</f>
        <v>41.904761904761905</v>
      </c>
      <c r="E31" s="88"/>
      <c r="F31" s="43"/>
      <c r="G31" s="43"/>
      <c r="H31" s="44"/>
      <c r="I31" s="58"/>
      <c r="J31" s="42"/>
      <c r="K31" s="42"/>
      <c r="L31" s="42"/>
      <c r="M31" s="58"/>
      <c r="N31" s="41"/>
      <c r="O31" s="42"/>
      <c r="P31" s="59"/>
      <c r="Q31" s="58"/>
      <c r="R31" s="19"/>
      <c r="S31" s="19"/>
      <c r="T31" s="19"/>
      <c r="U31" s="58"/>
      <c r="V31" s="18"/>
      <c r="W31" s="18"/>
      <c r="X31" s="18"/>
    </row>
    <row r="32" spans="1:24" x14ac:dyDescent="0.25">
      <c r="A32" s="115" t="s">
        <v>200</v>
      </c>
      <c r="B32" s="54">
        <f>'K16'!G$59</f>
        <v>43.878312803284807</v>
      </c>
      <c r="C32" s="87">
        <f>VLOOKUP(AN_koko,TN_K16_ryhmat[],7)</f>
        <v>47.843359818388194</v>
      </c>
      <c r="D32" s="87">
        <f>VLOOKUP(Etusivu!$B$9,TN_K16_kunnat[],7,FALSE)</f>
        <v>39.047619047619051</v>
      </c>
      <c r="E32" s="88"/>
      <c r="G32" s="43"/>
      <c r="H32" s="44"/>
      <c r="I32" s="58"/>
      <c r="J32" s="42"/>
      <c r="K32" s="42"/>
      <c r="L32" s="42"/>
      <c r="M32" s="58"/>
      <c r="N32" s="41"/>
      <c r="O32" s="42"/>
      <c r="P32" s="59"/>
      <c r="Q32" s="58"/>
      <c r="R32" s="19"/>
      <c r="S32" s="19"/>
      <c r="T32" s="19"/>
      <c r="U32" s="58"/>
      <c r="V32" s="18"/>
      <c r="W32" s="18"/>
      <c r="X32" s="18"/>
    </row>
    <row r="33" spans="1:24" x14ac:dyDescent="0.25">
      <c r="A33" s="115" t="s">
        <v>201</v>
      </c>
      <c r="B33" s="54">
        <f>'K16'!H$59</f>
        <v>85.386333184457342</v>
      </c>
      <c r="C33" s="87">
        <f>VLOOKUP(AN_koko,TN_K16_ryhmat[],8)</f>
        <v>85.064935064935071</v>
      </c>
      <c r="D33" s="87">
        <f>VLOOKUP(Etusivu!$B$9,TN_K16_kunnat[],8,FALSE)</f>
        <v>90.825688073394502</v>
      </c>
      <c r="E33" s="58"/>
      <c r="F33" s="43"/>
      <c r="G33" s="43"/>
      <c r="H33" s="44"/>
      <c r="I33" s="58"/>
      <c r="J33" s="42"/>
      <c r="K33" s="42"/>
      <c r="L33" s="42"/>
      <c r="M33" s="58"/>
      <c r="N33" s="41"/>
      <c r="O33" s="42"/>
      <c r="P33" s="59"/>
      <c r="Q33" s="58"/>
      <c r="T33" s="18"/>
      <c r="U33" s="58"/>
      <c r="V33" s="18"/>
      <c r="W33" s="18"/>
      <c r="X33" s="18"/>
    </row>
    <row r="34" spans="1:24" x14ac:dyDescent="0.25">
      <c r="A34" s="115" t="s">
        <v>202</v>
      </c>
      <c r="B34" s="54">
        <f>'K16'!I$59</f>
        <v>59.464235885033951</v>
      </c>
      <c r="C34" s="87">
        <f>VLOOKUP(AN_koko,TN_K16_ryhmat[],9)</f>
        <v>60.270880361173816</v>
      </c>
      <c r="D34" s="87">
        <f>VLOOKUP(Etusivu!$B$9,TN_K16_kunnat[],9,FALSE)</f>
        <v>57.142857142857146</v>
      </c>
      <c r="E34" s="88"/>
      <c r="F34" s="43"/>
      <c r="G34" s="43"/>
      <c r="H34" s="44"/>
      <c r="I34" s="58"/>
      <c r="J34" s="42"/>
      <c r="K34" s="42"/>
      <c r="L34" s="42"/>
      <c r="M34" s="58"/>
      <c r="N34" s="41"/>
      <c r="O34" s="42"/>
      <c r="P34" s="59"/>
      <c r="Q34" s="58"/>
      <c r="R34" s="19"/>
      <c r="S34" s="19"/>
      <c r="T34" s="19"/>
      <c r="U34" s="58"/>
      <c r="V34" s="18"/>
      <c r="W34" s="18"/>
      <c r="X34" s="18"/>
    </row>
    <row r="35" spans="1:24" x14ac:dyDescent="0.25">
      <c r="A35" s="115" t="s">
        <v>203</v>
      </c>
      <c r="B35" s="54">
        <f>'K16'!J$59</f>
        <v>50.662189889945907</v>
      </c>
      <c r="C35" s="87">
        <f>VLOOKUP(AN_koko,TN_K16_ryhmat[],10)</f>
        <v>47.613636363636367</v>
      </c>
      <c r="D35" s="87">
        <f>VLOOKUP(Etusivu!$B$9,TN_K16_kunnat[],10,FALSE)</f>
        <v>50</v>
      </c>
      <c r="E35" s="58"/>
      <c r="F35" s="43"/>
      <c r="G35" s="43"/>
      <c r="H35" s="44"/>
      <c r="I35" s="58"/>
      <c r="J35" s="42"/>
      <c r="K35" s="42"/>
      <c r="L35" s="42"/>
      <c r="M35" s="58"/>
      <c r="N35" s="41"/>
      <c r="O35" s="42"/>
      <c r="P35" s="59"/>
      <c r="Q35" s="58"/>
      <c r="R35" s="19"/>
      <c r="S35" s="19"/>
      <c r="T35" s="19"/>
      <c r="U35" s="58"/>
      <c r="V35" s="18"/>
      <c r="W35" s="18"/>
      <c r="X35" s="18"/>
    </row>
    <row r="36" spans="1:24" x14ac:dyDescent="0.25">
      <c r="A36" s="115" t="s">
        <v>204</v>
      </c>
      <c r="B36" s="54">
        <f>'K16'!K$59</f>
        <v>30.480089318943058</v>
      </c>
      <c r="C36" s="87">
        <f>VLOOKUP(AN_koko,TN_K16_ryhmat[],11)</f>
        <v>28.571428571428573</v>
      </c>
      <c r="D36" s="87">
        <f>VLOOKUP(Etusivu!$B$9,TN_K16_kunnat[],11,FALSE)</f>
        <v>25.96153846153846</v>
      </c>
      <c r="E36" s="58"/>
      <c r="F36" s="43"/>
      <c r="G36" s="43"/>
      <c r="H36" s="44"/>
      <c r="I36" s="58"/>
      <c r="J36" s="42"/>
      <c r="K36" s="42"/>
      <c r="L36" s="42"/>
      <c r="M36" s="58"/>
      <c r="N36" s="41"/>
      <c r="O36" s="42"/>
      <c r="P36" s="59"/>
      <c r="Q36" s="58"/>
      <c r="R36" s="19"/>
      <c r="S36" s="19"/>
      <c r="T36" s="19"/>
      <c r="U36" s="58"/>
      <c r="V36" s="18"/>
      <c r="W36" s="18"/>
      <c r="X36" s="18"/>
    </row>
    <row r="37" spans="1:24" ht="14" x14ac:dyDescent="0.3">
      <c r="A37" s="116" t="s">
        <v>205</v>
      </c>
      <c r="B37" s="54"/>
      <c r="C37" s="87"/>
      <c r="D37" s="87"/>
      <c r="E37" s="58"/>
      <c r="F37" s="43"/>
      <c r="G37" s="43"/>
      <c r="H37" s="44"/>
      <c r="I37" s="58"/>
      <c r="J37" s="42"/>
      <c r="K37" s="42"/>
      <c r="L37" s="42"/>
      <c r="M37" s="58"/>
      <c r="N37" s="41"/>
      <c r="O37" s="42"/>
      <c r="P37" s="59"/>
      <c r="Q37" s="58"/>
      <c r="R37" s="19"/>
      <c r="S37" s="19"/>
      <c r="T37" s="19"/>
      <c r="U37" s="58"/>
      <c r="V37" s="18"/>
      <c r="W37" s="18"/>
      <c r="X37" s="18"/>
    </row>
    <row r="38" spans="1:24" x14ac:dyDescent="0.25">
      <c r="B38" s="102" t="str">
        <f>$B$3</f>
        <v>Kaikki ARTTU2-kunnat</v>
      </c>
      <c r="C38" s="87" t="str">
        <f>$C$3</f>
        <v>5000-10000 as. kunnat</v>
      </c>
      <c r="D38" s="87" t="str">
        <f>$D$3</f>
        <v>Askola</v>
      </c>
      <c r="E38" s="88" t="str">
        <f>$E$3</f>
        <v>N</v>
      </c>
      <c r="F38" s="23" t="str">
        <f>A37</f>
        <v>K22: Onko sinulla/perheelläsi käytössä internet-yhteys?</v>
      </c>
      <c r="G38" s="43"/>
      <c r="H38" s="44"/>
      <c r="I38" s="58"/>
      <c r="J38" s="42"/>
      <c r="K38" s="42"/>
      <c r="L38" s="42"/>
      <c r="M38" s="58"/>
      <c r="N38" s="41"/>
      <c r="O38" s="42"/>
      <c r="P38" s="59"/>
      <c r="Q38" s="58"/>
      <c r="R38" s="19"/>
      <c r="S38" s="19"/>
      <c r="T38" s="19"/>
      <c r="U38" s="58"/>
      <c r="V38" s="18"/>
      <c r="W38" s="18"/>
      <c r="X38" s="18"/>
    </row>
    <row r="39" spans="1:24" x14ac:dyDescent="0.25">
      <c r="A39" s="115" t="s">
        <v>206</v>
      </c>
      <c r="B39" s="87">
        <f>'K22'!B62</f>
        <v>90.835048010973935</v>
      </c>
      <c r="C39" s="87">
        <f>VLOOKUP(AN_koko,TN_K22_ryhmat[],2)</f>
        <v>90.809399477806792</v>
      </c>
      <c r="D39" s="87">
        <f>VLOOKUP(Etusivu!$B$9,TN_K22_kunnat[],2,FALSE)</f>
        <v>92.436974789915965</v>
      </c>
      <c r="E39" s="88">
        <f>VLOOKUP(Etusivu!$B$9, TN_kunnat[[Kunnan nimi]:[vast.% 2015]], 4,FALSE)</f>
        <v>119</v>
      </c>
      <c r="F39" s="23" t="str">
        <f>Etusivu!$B$9&amp;": "&amp;E38&amp;" = "&amp;$I$1&amp;" "&amp;E39</f>
        <v>Askola: N = max. 119</v>
      </c>
      <c r="G39" s="43"/>
      <c r="H39" s="44" t="s">
        <v>206</v>
      </c>
      <c r="I39" s="58"/>
      <c r="J39" s="42"/>
      <c r="K39" s="42"/>
      <c r="L39" s="42"/>
      <c r="M39" s="58"/>
      <c r="N39" s="41"/>
      <c r="O39" s="42"/>
      <c r="P39" s="59"/>
      <c r="Q39" s="58"/>
      <c r="R39" s="19"/>
      <c r="S39" s="19"/>
      <c r="T39" s="19"/>
      <c r="U39" s="58"/>
      <c r="V39" s="18"/>
      <c r="W39" s="18"/>
      <c r="X39" s="18"/>
    </row>
    <row r="40" spans="1:24" ht="14" x14ac:dyDescent="0.3">
      <c r="A40" s="116" t="s">
        <v>207</v>
      </c>
      <c r="B40" s="87"/>
      <c r="C40" s="87"/>
      <c r="D40" s="87"/>
      <c r="E40" s="58"/>
      <c r="F40" s="43"/>
      <c r="G40" s="43"/>
      <c r="H40" s="44"/>
      <c r="I40" s="58"/>
      <c r="J40" s="42"/>
      <c r="K40" s="42"/>
      <c r="L40" s="42"/>
      <c r="M40" s="58"/>
      <c r="N40" s="41"/>
      <c r="O40" s="42"/>
      <c r="P40" s="59"/>
      <c r="Q40" s="58"/>
      <c r="R40" s="19"/>
      <c r="S40" s="19"/>
      <c r="T40" s="19"/>
      <c r="U40" s="58"/>
      <c r="V40" s="18"/>
      <c r="W40" s="18"/>
      <c r="X40" s="18"/>
    </row>
    <row r="41" spans="1:24" x14ac:dyDescent="0.25">
      <c r="A41" s="70"/>
      <c r="B41" s="102" t="str">
        <f>$B$3</f>
        <v>Kaikki ARTTU2-kunnat</v>
      </c>
      <c r="C41" s="87" t="str">
        <f>$C$3</f>
        <v>5000-10000 as. kunnat</v>
      </c>
      <c r="D41" s="87" t="str">
        <f>$D$3</f>
        <v>Askola</v>
      </c>
      <c r="E41" s="88" t="str">
        <f>$E$3</f>
        <v>N</v>
      </c>
      <c r="F41" s="23" t="str">
        <f>A40</f>
        <v>K23: Oletko käyttänyt kuntasi tarjoamia sähköisiä asiointipalveluja?</v>
      </c>
      <c r="G41" s="43"/>
      <c r="H41" s="44"/>
      <c r="I41" s="58"/>
      <c r="J41" s="42"/>
      <c r="K41" s="42"/>
      <c r="L41" s="42"/>
      <c r="M41" s="58"/>
      <c r="N41" s="41"/>
      <c r="O41" s="42"/>
      <c r="P41" s="59"/>
      <c r="Q41" s="58"/>
      <c r="R41" s="19"/>
      <c r="S41" s="19"/>
      <c r="T41" s="19"/>
      <c r="U41" s="58"/>
      <c r="V41" s="18"/>
      <c r="W41" s="18"/>
      <c r="X41" s="18"/>
    </row>
    <row r="42" spans="1:24" x14ac:dyDescent="0.25">
      <c r="A42" s="115" t="s">
        <v>208</v>
      </c>
      <c r="B42" s="87">
        <f>'K23'!B61</f>
        <v>55.918227108744205</v>
      </c>
      <c r="C42" s="87">
        <f>VLOOKUP(AN_koko,TN_K23_ryhmat[],2)</f>
        <v>51.67189132706374</v>
      </c>
      <c r="D42" s="87">
        <f>VLOOKUP(Etusivu!$B$9,TN_K23_kunnat[],2,FALSE)</f>
        <v>46.218487394957982</v>
      </c>
      <c r="E42" s="88">
        <f>VLOOKUP(Etusivu!$B$9, TN_kunnat[[Kunnan nimi]:[vast.% 2015]], 4,FALSE)</f>
        <v>119</v>
      </c>
      <c r="F42" s="23" t="str">
        <f>Etusivu!$B$9&amp;": "&amp;E41&amp;" = "&amp;$I$1&amp;" "&amp;E42</f>
        <v>Askola: N = max. 119</v>
      </c>
      <c r="G42" s="43"/>
      <c r="H42" s="44" t="s">
        <v>735</v>
      </c>
      <c r="I42" s="58"/>
      <c r="J42" s="42"/>
      <c r="K42" s="42"/>
      <c r="L42" s="42"/>
      <c r="M42" s="58"/>
      <c r="N42" s="41"/>
      <c r="O42" s="42"/>
      <c r="P42" s="59"/>
      <c r="Q42" s="58"/>
      <c r="R42" s="19"/>
      <c r="S42" s="19"/>
      <c r="T42" s="19"/>
      <c r="U42" s="58"/>
      <c r="V42" s="18"/>
      <c r="W42" s="18"/>
      <c r="X42" s="18"/>
    </row>
    <row r="43" spans="1:24" s="161" customFormat="1" ht="14" x14ac:dyDescent="0.3">
      <c r="A43" s="152" t="s">
        <v>736</v>
      </c>
      <c r="B43" s="153"/>
      <c r="C43" s="153"/>
      <c r="D43" s="153"/>
      <c r="E43" s="154"/>
      <c r="F43" s="155"/>
      <c r="G43" s="155"/>
      <c r="H43" s="156"/>
      <c r="I43" s="154"/>
      <c r="J43" s="157"/>
      <c r="K43" s="157"/>
      <c r="L43" s="157"/>
      <c r="M43" s="154"/>
      <c r="N43" s="158"/>
      <c r="O43" s="157"/>
      <c r="P43" s="157"/>
      <c r="Q43" s="154"/>
      <c r="R43" s="159"/>
      <c r="S43" s="159"/>
      <c r="T43" s="159"/>
      <c r="U43" s="154"/>
      <c r="V43" s="160"/>
      <c r="W43" s="160"/>
      <c r="X43" s="160"/>
    </row>
    <row r="44" spans="1:24" s="161" customFormat="1" x14ac:dyDescent="0.25">
      <c r="A44" s="162"/>
      <c r="B44" s="163" t="str">
        <f>$B$3</f>
        <v>Kaikki ARTTU2-kunnat</v>
      </c>
      <c r="C44" s="153" t="str">
        <f>$C$3</f>
        <v>5000-10000 as. kunnat</v>
      </c>
      <c r="D44" s="153" t="str">
        <f>$D$3</f>
        <v>Askola</v>
      </c>
      <c r="E44" s="164" t="str">
        <f>$E$3</f>
        <v>N</v>
      </c>
      <c r="F44" s="161" t="str">
        <f>A43</f>
        <v xml:space="preserve">K24: Miten arvioit kuntasi tarjoamien sähköisten asiointipalvelujen toimivuutta? </v>
      </c>
      <c r="G44" s="155"/>
      <c r="H44" s="156"/>
      <c r="I44" s="154"/>
      <c r="J44" s="157"/>
      <c r="K44" s="157"/>
      <c r="L44" s="157"/>
      <c r="M44" s="154"/>
      <c r="N44" s="158"/>
      <c r="O44" s="157"/>
      <c r="P44" s="157"/>
      <c r="Q44" s="154"/>
      <c r="R44" s="159"/>
      <c r="S44" s="159"/>
      <c r="T44" s="159"/>
      <c r="U44" s="154"/>
      <c r="V44" s="160"/>
      <c r="W44" s="160"/>
      <c r="X44" s="160"/>
    </row>
    <row r="45" spans="1:24" s="161" customFormat="1" x14ac:dyDescent="0.25">
      <c r="A45" s="165" t="s">
        <v>742</v>
      </c>
      <c r="B45" s="153">
        <f>'K24'!B61</f>
        <v>43.27835051546392</v>
      </c>
      <c r="C45" s="153">
        <f>VLOOKUP(AN_koko,TN_K24_ryhmat[],2)</f>
        <v>43.110236220472444</v>
      </c>
      <c r="D45" s="153">
        <f>VLOOKUP(Etusivu!$B$9,TN_K24_kunnat[],2,FALSE)</f>
        <v>26.804123711340207</v>
      </c>
      <c r="E45" s="164">
        <f>VLOOKUP(Etusivu!$B$9, TN_kunnat[[Kunnan nimi]:[vast.% 2015]], 4,FALSE)</f>
        <v>119</v>
      </c>
      <c r="F45" s="161" t="str">
        <f>Etusivu!$B$9&amp;": "&amp;E44&amp;" = "&amp;$I$1&amp;" "&amp;E45</f>
        <v>Askola: N = max. 119</v>
      </c>
      <c r="G45" s="155"/>
      <c r="H45" s="156" t="s">
        <v>211</v>
      </c>
      <c r="I45" s="154"/>
      <c r="J45" s="157"/>
      <c r="K45" s="157"/>
      <c r="L45" s="157"/>
      <c r="M45" s="154"/>
      <c r="N45" s="158"/>
      <c r="O45" s="157"/>
      <c r="P45" s="157"/>
      <c r="Q45" s="154"/>
      <c r="R45" s="159"/>
      <c r="S45" s="159"/>
      <c r="T45" s="159"/>
      <c r="U45" s="154"/>
      <c r="V45" s="160"/>
      <c r="W45" s="160"/>
      <c r="X45" s="160"/>
    </row>
    <row r="46" spans="1:24" s="161" customFormat="1" ht="13" x14ac:dyDescent="0.3">
      <c r="A46" s="166" t="s">
        <v>727</v>
      </c>
      <c r="B46" s="153"/>
      <c r="C46" s="153"/>
      <c r="D46" s="153"/>
      <c r="E46" s="164"/>
      <c r="F46" s="155"/>
      <c r="G46" s="155"/>
      <c r="H46" s="156"/>
      <c r="I46" s="154"/>
      <c r="J46" s="157"/>
      <c r="K46" s="157"/>
      <c r="L46" s="157"/>
      <c r="M46" s="154"/>
      <c r="N46" s="158" t="s">
        <v>726</v>
      </c>
      <c r="O46" s="157"/>
      <c r="P46" s="157"/>
      <c r="Q46" s="154"/>
      <c r="R46" s="159"/>
      <c r="S46" s="159"/>
      <c r="T46" s="159"/>
      <c r="U46" s="154"/>
      <c r="V46" s="160"/>
      <c r="W46" s="160"/>
      <c r="X46" s="160"/>
    </row>
    <row r="47" spans="1:24" s="161" customFormat="1" ht="13" x14ac:dyDescent="0.3">
      <c r="A47" s="166" t="s">
        <v>257</v>
      </c>
      <c r="B47" s="163" t="str">
        <f>$B$3</f>
        <v>Kaikki ARTTU2-kunnat</v>
      </c>
      <c r="C47" s="153" t="str">
        <f>$C$3</f>
        <v>5000-10000 as. kunnat</v>
      </c>
      <c r="D47" s="153" t="str">
        <f>$D$3</f>
        <v>Askola</v>
      </c>
      <c r="E47" s="164" t="str">
        <f>$E$3</f>
        <v>N</v>
      </c>
      <c r="F47" s="161" t="str">
        <f>A47&amp;" "&amp;$A$46</f>
        <v>Terveyspalvelut: Mitä kuntasi järjestämiä palveluja tai toimia olet käyttänyt? Oletko Sinä tai perheenjäsenesi käyttänyt alla mainittuja palveluja viimeisen 12 kuukauden aikana?</v>
      </c>
      <c r="G47" s="155"/>
      <c r="H47" s="156"/>
      <c r="I47" s="154"/>
      <c r="J47" s="157"/>
      <c r="K47" s="157"/>
      <c r="L47" s="157"/>
      <c r="M47" s="154"/>
      <c r="N47" s="158"/>
      <c r="O47" s="157"/>
      <c r="P47" s="157"/>
      <c r="Q47" s="154"/>
      <c r="R47" s="159"/>
      <c r="S47" s="159"/>
      <c r="T47" s="159"/>
      <c r="U47" s="154"/>
      <c r="V47" s="160"/>
      <c r="W47" s="160"/>
      <c r="X47" s="160"/>
    </row>
    <row r="48" spans="1:24" x14ac:dyDescent="0.25">
      <c r="A48" s="107" t="s">
        <v>258</v>
      </c>
      <c r="B48" s="87">
        <f>K17A!B$57</f>
        <v>72.221743995868124</v>
      </c>
      <c r="C48" s="87">
        <f>VLOOKUP(AN_koko,TN_K17A_ryhmat[],2)</f>
        <v>73.518615626638706</v>
      </c>
      <c r="D48" s="87">
        <f>VLOOKUP(Etusivu!$B$9,TN_17A_kunnat[],2,FALSE)</f>
        <v>68.644067796610173</v>
      </c>
      <c r="E48" s="149">
        <f>VLOOKUP(Etusivu!$B$9,TN_17A_kunnat[],41,FALSE)</f>
        <v>119</v>
      </c>
      <c r="F48" s="23" t="str">
        <f>Etusivu!$B$9&amp;": "&amp;E47&amp;" = "&amp;$I$1&amp;" "&amp;E48</f>
        <v>Askola: N = max. 119</v>
      </c>
      <c r="G48" s="43"/>
      <c r="H48" s="44"/>
      <c r="I48" s="58"/>
      <c r="J48" s="42"/>
      <c r="K48" s="42"/>
      <c r="L48" s="42"/>
      <c r="M48" s="58"/>
      <c r="N48" s="41"/>
      <c r="O48" s="42"/>
      <c r="P48" s="59"/>
      <c r="Q48" s="58"/>
      <c r="R48" s="19"/>
      <c r="S48" s="19"/>
      <c r="T48" s="19"/>
      <c r="U48" s="58"/>
      <c r="V48" s="18"/>
      <c r="W48" s="18"/>
      <c r="X48" s="18"/>
    </row>
    <row r="49" spans="1:24" x14ac:dyDescent="0.25">
      <c r="A49" s="107" t="s">
        <v>259</v>
      </c>
      <c r="B49" s="87">
        <f>K17A!C$57</f>
        <v>67.182936543056911</v>
      </c>
      <c r="C49" s="87">
        <f>VLOOKUP(AN_koko,TN_K17A_ryhmat[],3)</f>
        <v>67.686527106816968</v>
      </c>
      <c r="D49" s="87">
        <f>VLOOKUP(Etusivu!$B$9,TN_17A_kunnat[],3,FALSE)</f>
        <v>63.478260869565219</v>
      </c>
      <c r="E49" s="58"/>
      <c r="F49" s="115" t="s">
        <v>213</v>
      </c>
      <c r="G49" s="43"/>
      <c r="H49" s="44"/>
      <c r="I49" s="58"/>
      <c r="J49" s="42"/>
      <c r="K49" s="42"/>
      <c r="L49" s="42"/>
      <c r="M49" s="58"/>
      <c r="N49" s="41"/>
      <c r="O49" s="42"/>
      <c r="P49" s="59"/>
      <c r="Q49" s="58"/>
      <c r="R49" s="19"/>
      <c r="S49" s="19"/>
      <c r="T49" s="19"/>
      <c r="U49" s="58"/>
      <c r="V49" s="18"/>
      <c r="W49" s="18"/>
      <c r="X49" s="18"/>
    </row>
    <row r="50" spans="1:24" x14ac:dyDescent="0.25">
      <c r="A50" s="107" t="s">
        <v>260</v>
      </c>
      <c r="B50" s="87">
        <f>K17A!D$57</f>
        <v>54.098507195852328</v>
      </c>
      <c r="C50" s="87">
        <f>VLOOKUP(AN_koko,TN_K17A_ryhmat[],4)</f>
        <v>56.639566395663955</v>
      </c>
      <c r="D50" s="87">
        <f>VLOOKUP(Etusivu!$B$9,TN_17A_kunnat[],4,FALSE)</f>
        <v>65.517241379310349</v>
      </c>
      <c r="E50" s="58"/>
      <c r="G50" s="43"/>
      <c r="H50" s="44"/>
      <c r="I50" s="58"/>
      <c r="J50" s="42"/>
      <c r="K50" s="42"/>
      <c r="L50" s="42"/>
      <c r="M50" s="58"/>
      <c r="N50" s="41"/>
      <c r="O50" s="42"/>
      <c r="P50" s="59"/>
      <c r="Q50" s="58"/>
      <c r="R50" s="19"/>
      <c r="S50" s="19"/>
      <c r="T50" s="19"/>
      <c r="U50" s="58"/>
      <c r="V50" s="18"/>
      <c r="W50" s="18"/>
      <c r="X50" s="18"/>
    </row>
    <row r="51" spans="1:24" x14ac:dyDescent="0.25">
      <c r="A51" s="107" t="s">
        <v>261</v>
      </c>
      <c r="B51" s="87">
        <f>K17A!E$57</f>
        <v>11.772449459332393</v>
      </c>
      <c r="C51" s="87">
        <f>VLOOKUP(AN_koko,TN_K17A_ryhmat[],5)</f>
        <v>11.818703384968446</v>
      </c>
      <c r="D51" s="87">
        <f>VLOOKUP(Etusivu!$B$9,TN_17A_kunnat[],5,FALSE)</f>
        <v>14.545454545454545</v>
      </c>
      <c r="E51" s="58"/>
      <c r="F51" s="43"/>
      <c r="G51" s="43"/>
      <c r="H51" s="44"/>
      <c r="I51" s="58"/>
      <c r="J51" s="42"/>
      <c r="K51" s="42"/>
      <c r="L51" s="42"/>
      <c r="M51" s="58"/>
      <c r="N51" s="41"/>
      <c r="O51" s="42"/>
      <c r="P51" s="59"/>
      <c r="Q51" s="58"/>
      <c r="R51" s="19"/>
      <c r="S51" s="19"/>
      <c r="T51" s="19"/>
      <c r="U51" s="58"/>
      <c r="V51" s="18"/>
      <c r="W51" s="18"/>
      <c r="X51" s="18"/>
    </row>
    <row r="52" spans="1:24" x14ac:dyDescent="0.25">
      <c r="A52" s="107" t="s">
        <v>262</v>
      </c>
      <c r="B52" s="87">
        <f>K17A!F$57</f>
        <v>16.561588406888117</v>
      </c>
      <c r="C52" s="87">
        <f>VLOOKUP(AN_koko,TN_K17A_ryhmat[],6)</f>
        <v>17.613310384394723</v>
      </c>
      <c r="D52" s="87">
        <f>VLOOKUP(Etusivu!$B$9,TN_17A_kunnat[],6,FALSE)</f>
        <v>15.315315315315315</v>
      </c>
      <c r="E52" s="58"/>
      <c r="F52" s="43"/>
      <c r="G52" s="43"/>
      <c r="H52" s="44"/>
      <c r="I52" s="58"/>
      <c r="J52" s="42"/>
      <c r="K52" s="42"/>
      <c r="L52" s="42"/>
      <c r="M52" s="58"/>
      <c r="N52" s="41"/>
      <c r="O52" s="42"/>
      <c r="P52" s="59"/>
      <c r="Q52" s="58"/>
      <c r="R52" s="19"/>
      <c r="S52" s="19"/>
      <c r="T52" s="19"/>
      <c r="U52" s="58"/>
      <c r="V52" s="18"/>
      <c r="W52" s="18"/>
      <c r="X52" s="18"/>
    </row>
    <row r="53" spans="1:24" x14ac:dyDescent="0.25">
      <c r="A53" s="107" t="s">
        <v>263</v>
      </c>
      <c r="B53" s="87">
        <f>K17A!G$57</f>
        <v>31.435121503897296</v>
      </c>
      <c r="C53" s="87">
        <f>VLOOKUP(AN_koko,TN_K17A_ryhmat[],7)</f>
        <v>29.82652490207051</v>
      </c>
      <c r="D53" s="87">
        <f>VLOOKUP(Etusivu!$B$9,TN_17A_kunnat[],7,FALSE)</f>
        <v>33.333333333333336</v>
      </c>
      <c r="E53" s="88"/>
      <c r="G53" s="43"/>
      <c r="H53" s="44"/>
      <c r="I53" s="58"/>
      <c r="J53" s="42"/>
      <c r="K53" s="42"/>
      <c r="L53" s="42"/>
      <c r="M53" s="58"/>
      <c r="N53" s="41"/>
      <c r="O53" s="42"/>
      <c r="P53" s="59"/>
      <c r="Q53" s="58"/>
      <c r="R53" s="19"/>
      <c r="S53" s="19"/>
      <c r="T53" s="19"/>
      <c r="U53" s="58"/>
      <c r="V53" s="18"/>
      <c r="W53" s="18"/>
      <c r="X53" s="18"/>
    </row>
    <row r="54" spans="1:24" ht="12.75" customHeight="1" x14ac:dyDescent="0.25">
      <c r="A54" s="107" t="s">
        <v>264</v>
      </c>
      <c r="B54" s="87">
        <f>K17A!H$57</f>
        <v>4.7623485554520038</v>
      </c>
      <c r="C54" s="87">
        <f>VLOOKUP(AN_koko,TN_K17A_ryhmat[],8)</f>
        <v>4.9403747870528107</v>
      </c>
      <c r="D54" s="87">
        <f>VLOOKUP(Etusivu!$B$9,TN_17A_kunnat[],8,FALSE)</f>
        <v>7.0796460176991154</v>
      </c>
      <c r="E54" s="58"/>
      <c r="F54" s="43"/>
      <c r="G54" s="43"/>
      <c r="H54" s="44"/>
      <c r="I54" s="58"/>
      <c r="J54" s="42"/>
      <c r="K54" s="42"/>
      <c r="L54" s="42"/>
      <c r="M54" s="58"/>
      <c r="N54" s="41"/>
      <c r="O54" s="42"/>
      <c r="P54" s="59"/>
      <c r="Q54" s="58"/>
      <c r="R54" s="19"/>
      <c r="S54" s="19"/>
      <c r="T54" s="19"/>
      <c r="U54" s="58"/>
      <c r="V54" s="18"/>
      <c r="W54" s="18"/>
      <c r="X54" s="18"/>
    </row>
    <row r="55" spans="1:24" x14ac:dyDescent="0.25">
      <c r="A55" s="107" t="s">
        <v>265</v>
      </c>
      <c r="B55" s="87">
        <f>K17A!I$57</f>
        <v>5.1608703738143946</v>
      </c>
      <c r="C55" s="87">
        <f>VLOOKUP(AN_koko,TN_K17A_ryhmat[],9)</f>
        <v>5.0282485875706211</v>
      </c>
      <c r="D55" s="87">
        <f>VLOOKUP(Etusivu!$B$9,TN_17A_kunnat[],9,FALSE)</f>
        <v>1.7857142857142858</v>
      </c>
      <c r="E55" s="88"/>
      <c r="F55" s="43"/>
      <c r="G55" s="43"/>
      <c r="H55" s="43"/>
      <c r="I55" s="58"/>
      <c r="J55" s="42"/>
      <c r="K55" s="42"/>
      <c r="L55" s="42"/>
      <c r="M55" s="58"/>
      <c r="N55" s="41"/>
      <c r="O55" s="42"/>
      <c r="P55" s="59"/>
      <c r="Q55" s="58"/>
      <c r="R55" s="19"/>
      <c r="S55" s="19"/>
      <c r="T55" s="19"/>
      <c r="U55" s="58"/>
      <c r="V55" s="18"/>
      <c r="W55" s="18"/>
      <c r="X55" s="18"/>
    </row>
    <row r="56" spans="1:24" x14ac:dyDescent="0.25">
      <c r="A56" s="107" t="s">
        <v>266</v>
      </c>
      <c r="B56" s="87">
        <f>K17A!J$57</f>
        <v>5.9169938306225465</v>
      </c>
      <c r="C56" s="87">
        <f>VLOOKUP(AN_koko,TN_K17A_ryhmat[],10)</f>
        <v>6.1363636363636367</v>
      </c>
      <c r="D56" s="87">
        <f>VLOOKUP(Etusivu!$B$9,TN_17A_kunnat[],10,FALSE)</f>
        <v>3.6036036036036037</v>
      </c>
      <c r="E56" s="58"/>
      <c r="F56" s="43"/>
      <c r="G56" s="43"/>
      <c r="H56" s="44"/>
      <c r="I56" s="58"/>
      <c r="J56" s="42"/>
      <c r="K56" s="42"/>
      <c r="L56" s="42"/>
      <c r="M56" s="58"/>
      <c r="N56" s="41"/>
      <c r="O56" s="42"/>
      <c r="P56" s="59"/>
      <c r="Q56" s="58"/>
      <c r="R56" s="19"/>
      <c r="S56" s="19"/>
      <c r="T56" s="19"/>
      <c r="U56" s="58"/>
      <c r="V56" s="18"/>
      <c r="W56" s="18"/>
      <c r="X56" s="18"/>
    </row>
    <row r="57" spans="1:24" ht="13" x14ac:dyDescent="0.3">
      <c r="A57" s="106" t="s">
        <v>267</v>
      </c>
      <c r="B57" s="102" t="str">
        <f>$B$3</f>
        <v>Kaikki ARTTU2-kunnat</v>
      </c>
      <c r="C57" s="87" t="str">
        <f>$C$3</f>
        <v>5000-10000 as. kunnat</v>
      </c>
      <c r="D57" s="87" t="str">
        <f>$D$3</f>
        <v>Askola</v>
      </c>
      <c r="E57" s="58"/>
      <c r="F57" s="23" t="str">
        <f>A57&amp;" "&amp;$A$46</f>
        <v>Sosiaalipalvelut: Mitä kuntasi järjestämiä palveluja tai toimia olet käyttänyt? Oletko Sinä tai perheenjäsenesi käyttänyt alla mainittuja palveluja viimeisen 12 kuukauden aikana?</v>
      </c>
      <c r="G57" s="43"/>
      <c r="H57" s="44"/>
      <c r="I57" s="58"/>
      <c r="J57" s="42"/>
      <c r="K57" s="42"/>
      <c r="L57" s="42"/>
      <c r="M57" s="58"/>
      <c r="N57" s="41"/>
      <c r="O57" s="42"/>
      <c r="P57" s="59"/>
      <c r="Q57" s="58"/>
      <c r="R57" s="19"/>
      <c r="S57" s="19"/>
      <c r="T57" s="19"/>
      <c r="U57" s="58"/>
      <c r="V57" s="18"/>
      <c r="W57" s="18"/>
      <c r="X57" s="18"/>
    </row>
    <row r="58" spans="1:24" x14ac:dyDescent="0.25">
      <c r="A58" s="107" t="s">
        <v>268</v>
      </c>
      <c r="B58" s="87">
        <f>K17A!K$57</f>
        <v>2.3583602026715798</v>
      </c>
      <c r="C58" s="87">
        <f>VLOOKUP(AN_koko,TN_K17A_ryhmat[],11)</f>
        <v>1.79472798653954</v>
      </c>
      <c r="D58" s="87">
        <f>VLOOKUP(Etusivu!$B$9,TN_17A_kunnat[],11,FALSE)</f>
        <v>1.8018018018018018</v>
      </c>
      <c r="E58" s="58"/>
      <c r="F58" s="115" t="s">
        <v>213</v>
      </c>
      <c r="G58" s="43"/>
      <c r="H58" s="44"/>
      <c r="I58" s="58"/>
      <c r="J58" s="42"/>
      <c r="K58" s="42"/>
      <c r="L58" s="42"/>
      <c r="M58" s="58"/>
      <c r="N58" s="41"/>
      <c r="O58" s="42"/>
      <c r="P58" s="59"/>
      <c r="Q58" s="58"/>
      <c r="R58" s="19"/>
      <c r="S58" s="19"/>
      <c r="T58" s="19"/>
      <c r="U58" s="58"/>
      <c r="V58" s="18"/>
      <c r="W58" s="18"/>
      <c r="X58" s="18"/>
    </row>
    <row r="59" spans="1:24" x14ac:dyDescent="0.25">
      <c r="A59" s="107" t="s">
        <v>269</v>
      </c>
      <c r="B59" s="87">
        <f>K17A!L$57</f>
        <v>1.8126329418292795</v>
      </c>
      <c r="C59" s="87">
        <f>VLOOKUP(AN_koko,TN_K17A_ryhmat[],12)</f>
        <v>1.4076576576576576</v>
      </c>
      <c r="D59" s="87">
        <f>VLOOKUP(Etusivu!$B$9,TN_17A_kunnat[],12,FALSE)</f>
        <v>5.3097345132743365</v>
      </c>
      <c r="E59" s="58"/>
      <c r="F59" s="43"/>
      <c r="G59" s="43"/>
      <c r="H59" s="44"/>
      <c r="I59" s="58"/>
      <c r="J59" s="42"/>
      <c r="K59" s="42"/>
      <c r="L59" s="42"/>
      <c r="M59" s="58"/>
      <c r="N59" s="41"/>
      <c r="O59" s="42"/>
      <c r="P59" s="59"/>
      <c r="Q59" s="58"/>
      <c r="R59" s="19"/>
      <c r="S59" s="19"/>
      <c r="T59" s="19"/>
      <c r="U59" s="58"/>
      <c r="V59" s="18"/>
      <c r="W59" s="18"/>
      <c r="X59" s="18"/>
    </row>
    <row r="60" spans="1:24" x14ac:dyDescent="0.25">
      <c r="A60" s="107" t="s">
        <v>270</v>
      </c>
      <c r="B60" s="87">
        <f>K17A!M$57</f>
        <v>3.3170551921127798</v>
      </c>
      <c r="C60" s="87">
        <f>VLOOKUP(AN_koko,TN_K17A_ryhmat[],13)</f>
        <v>3.3053221288515404</v>
      </c>
      <c r="D60" s="87">
        <f>VLOOKUP(Etusivu!$B$9,TN_17A_kunnat[],13,FALSE)</f>
        <v>6.9565217391304346</v>
      </c>
      <c r="E60" s="58"/>
      <c r="F60" s="43"/>
      <c r="G60" s="43"/>
      <c r="H60" s="44"/>
      <c r="I60" s="58"/>
      <c r="J60" s="42"/>
      <c r="K60" s="42"/>
      <c r="L60" s="42"/>
      <c r="M60" s="58"/>
      <c r="N60" s="41"/>
      <c r="O60" s="42"/>
      <c r="P60" s="59"/>
      <c r="Q60" s="58"/>
      <c r="R60" s="19"/>
      <c r="S60" s="19"/>
      <c r="T60" s="19"/>
      <c r="U60" s="58"/>
      <c r="V60" s="18"/>
      <c r="W60" s="18"/>
      <c r="X60" s="18"/>
    </row>
    <row r="61" spans="1:24" x14ac:dyDescent="0.25">
      <c r="A61" s="107" t="s">
        <v>271</v>
      </c>
      <c r="B61" s="87">
        <f>K17A!N$57</f>
        <v>0.94786729857819907</v>
      </c>
      <c r="C61" s="87">
        <f>VLOOKUP(AN_koko,TN_K17A_ryhmat[],14)</f>
        <v>1.1312217194570136</v>
      </c>
      <c r="D61" s="87">
        <f>VLOOKUP(Etusivu!$B$9,TN_17A_kunnat[],14,FALSE)</f>
        <v>0.8928571428571429</v>
      </c>
      <c r="E61" s="58"/>
      <c r="F61" s="43"/>
      <c r="G61" s="43"/>
      <c r="H61" s="44"/>
      <c r="I61" s="58"/>
      <c r="J61" s="42"/>
      <c r="K61" s="42"/>
      <c r="L61" s="42"/>
      <c r="M61" s="58"/>
      <c r="N61" s="41"/>
      <c r="O61" s="42"/>
      <c r="P61" s="59"/>
      <c r="Q61" s="58"/>
      <c r="R61" s="19"/>
      <c r="S61" s="19"/>
      <c r="T61" s="19"/>
      <c r="U61" s="58"/>
      <c r="V61" s="18"/>
      <c r="W61" s="18"/>
      <c r="X61" s="18"/>
    </row>
    <row r="62" spans="1:24" x14ac:dyDescent="0.25">
      <c r="A62" s="107" t="s">
        <v>272</v>
      </c>
      <c r="B62" s="87">
        <f>K17A!O$57</f>
        <v>3.6992285528394833</v>
      </c>
      <c r="C62" s="87">
        <f>VLOOKUP(AN_koko,TN_K17A_ryhmat[],15)</f>
        <v>3.8439796495195027</v>
      </c>
      <c r="D62" s="87">
        <f>VLOOKUP(Etusivu!$B$9,TN_17A_kunnat[],15,FALSE)</f>
        <v>8.0357142857142865</v>
      </c>
      <c r="E62" s="58"/>
      <c r="F62" s="43"/>
      <c r="H62" s="44"/>
      <c r="I62" s="58"/>
      <c r="J62" s="42"/>
      <c r="K62" s="42"/>
      <c r="L62" s="42"/>
      <c r="M62" s="40"/>
      <c r="N62" s="43"/>
      <c r="O62" s="44"/>
      <c r="P62" s="55"/>
      <c r="Q62" s="40"/>
      <c r="R62" s="19"/>
      <c r="S62" s="19"/>
      <c r="T62" s="19"/>
      <c r="U62" s="40"/>
      <c r="V62" s="18"/>
      <c r="W62" s="18"/>
      <c r="X62" s="18"/>
    </row>
    <row r="63" spans="1:24" x14ac:dyDescent="0.25">
      <c r="A63" s="107" t="s">
        <v>273</v>
      </c>
      <c r="B63" s="87">
        <f>K17A!P$57</f>
        <v>1.7459138187221397</v>
      </c>
      <c r="C63" s="87">
        <f>VLOOKUP(AN_koko,TN_K17A_ryhmat[],16)</f>
        <v>1.8068887634105026</v>
      </c>
      <c r="D63" s="87">
        <f>VLOOKUP(Etusivu!$B$9,TN_17A_kunnat[],16,FALSE)</f>
        <v>2.6785714285714284</v>
      </c>
      <c r="E63" s="88"/>
      <c r="H63" s="44"/>
      <c r="I63" s="58"/>
      <c r="J63" s="42"/>
      <c r="K63" s="42"/>
      <c r="L63" s="42"/>
      <c r="M63" s="40"/>
      <c r="N63" s="43"/>
      <c r="O63" s="44"/>
      <c r="P63" s="55"/>
      <c r="Q63" s="40"/>
      <c r="R63" s="19"/>
      <c r="S63" s="19"/>
      <c r="T63" s="19"/>
      <c r="U63" s="40"/>
      <c r="V63" s="18"/>
      <c r="W63" s="18"/>
      <c r="X63" s="18"/>
    </row>
    <row r="64" spans="1:24" x14ac:dyDescent="0.25">
      <c r="A64" s="107" t="s">
        <v>275</v>
      </c>
      <c r="B64" s="87">
        <f>K17A!Q$57</f>
        <v>3.3910868155285834</v>
      </c>
      <c r="C64" s="87">
        <f>VLOOKUP(AN_koko,TN_K17A_ryhmat[],17)</f>
        <v>3.7288135593220337</v>
      </c>
      <c r="D64" s="87">
        <f>VLOOKUP(Etusivu!$B$9,TN_17A_kunnat[],17,FALSE)</f>
        <v>1.7857142857142858</v>
      </c>
      <c r="E64" s="58"/>
      <c r="F64" s="43"/>
      <c r="G64" s="43"/>
      <c r="H64" s="44"/>
      <c r="I64" s="58"/>
      <c r="J64" s="42"/>
      <c r="K64" s="42"/>
      <c r="L64" s="42"/>
      <c r="M64" s="40"/>
      <c r="N64" s="43"/>
      <c r="O64" s="44"/>
      <c r="P64" s="55"/>
      <c r="Q64" s="40"/>
      <c r="R64" s="19"/>
      <c r="S64" s="19"/>
      <c r="T64" s="19"/>
      <c r="U64" s="40"/>
      <c r="V64" s="18"/>
      <c r="W64" s="18"/>
      <c r="X64" s="18"/>
    </row>
    <row r="65" spans="1:24" x14ac:dyDescent="0.25">
      <c r="A65" s="107" t="s">
        <v>276</v>
      </c>
      <c r="B65" s="87">
        <f>K17A!R$57</f>
        <v>0.9461088952787311</v>
      </c>
      <c r="C65" s="87">
        <f>VLOOKUP(AN_koko,TN_K17A_ryhmat[],18)</f>
        <v>0.95882684715172029</v>
      </c>
      <c r="D65" s="87">
        <f>VLOOKUP(Etusivu!$B$9,TN_17A_kunnat[],18,FALSE)</f>
        <v>0</v>
      </c>
      <c r="E65" s="88"/>
      <c r="F65" s="43"/>
      <c r="G65" s="43"/>
      <c r="H65" s="44"/>
      <c r="I65" s="58"/>
      <c r="J65" s="42"/>
      <c r="K65" s="42"/>
      <c r="L65" s="42"/>
      <c r="M65" s="40"/>
      <c r="N65" s="43"/>
      <c r="O65" s="44"/>
      <c r="P65" s="55"/>
      <c r="Q65" s="40"/>
      <c r="R65" s="19"/>
      <c r="S65" s="19"/>
      <c r="T65" s="19"/>
      <c r="U65" s="40"/>
      <c r="V65" s="18"/>
      <c r="W65" s="18"/>
      <c r="X65" s="18"/>
    </row>
    <row r="66" spans="1:24" x14ac:dyDescent="0.25">
      <c r="A66" s="107" t="s">
        <v>277</v>
      </c>
      <c r="B66" s="87">
        <f>K17A!S$57</f>
        <v>4.6002596920793914</v>
      </c>
      <c r="C66" s="87">
        <f>VLOOKUP(AN_koko,TN_K17A_ryhmat[],19)</f>
        <v>3.6557930258717661</v>
      </c>
      <c r="D66" s="87">
        <f>VLOOKUP(Etusivu!$B$9,TN_17A_kunnat[],19,FALSE)</f>
        <v>2.7272727272727271</v>
      </c>
      <c r="E66" s="58"/>
      <c r="F66" s="43"/>
      <c r="G66" s="43"/>
      <c r="H66" s="44"/>
      <c r="I66" s="58"/>
      <c r="J66" s="42"/>
      <c r="K66" s="42"/>
      <c r="L66" s="42"/>
      <c r="M66" s="40"/>
      <c r="N66" s="43"/>
      <c r="O66" s="44"/>
      <c r="P66" s="55"/>
      <c r="Q66" s="40"/>
      <c r="R66" s="19"/>
      <c r="S66" s="19"/>
      <c r="T66" s="19"/>
      <c r="U66" s="40"/>
      <c r="V66" s="18"/>
      <c r="W66" s="18"/>
      <c r="X66" s="18"/>
    </row>
    <row r="67" spans="1:24" ht="13" x14ac:dyDescent="0.3">
      <c r="A67" s="106" t="s">
        <v>278</v>
      </c>
      <c r="B67" s="102" t="str">
        <f>$B$3</f>
        <v>Kaikki ARTTU2-kunnat</v>
      </c>
      <c r="C67" s="87" t="str">
        <f>$C$3</f>
        <v>5000-10000 as. kunnat</v>
      </c>
      <c r="D67" s="87" t="str">
        <f>$D$3</f>
        <v>Askola</v>
      </c>
      <c r="E67" s="58"/>
      <c r="F67" s="23" t="str">
        <f>A67&amp;" "&amp;$A$46</f>
        <v>Koulutus- ja sivistyspalvelut: Mitä kuntasi järjestämiä palveluja tai toimia olet käyttänyt? Oletko Sinä tai perheenjäsenesi käyttänyt alla mainittuja palveluja viimeisen 12 kuukauden aikana?</v>
      </c>
      <c r="G67" s="43"/>
      <c r="H67" s="44"/>
      <c r="I67" s="58"/>
      <c r="J67" s="42"/>
      <c r="K67" s="42"/>
      <c r="L67" s="42"/>
      <c r="M67" s="40"/>
      <c r="N67" s="43"/>
      <c r="O67" s="44"/>
      <c r="P67" s="55"/>
      <c r="Q67" s="40"/>
      <c r="R67" s="19"/>
      <c r="S67" s="19"/>
      <c r="T67" s="19"/>
      <c r="U67" s="40"/>
      <c r="V67" s="18"/>
      <c r="W67" s="18"/>
      <c r="X67" s="18"/>
    </row>
    <row r="68" spans="1:24" x14ac:dyDescent="0.25">
      <c r="A68" s="107" t="s">
        <v>279</v>
      </c>
      <c r="B68" s="87">
        <f>K17A!T$57</f>
        <v>9.5678148044432003</v>
      </c>
      <c r="C68" s="87">
        <f>VLOOKUP(AN_koko,TN_K17A_ryhmat[],20)</f>
        <v>10.079726651480637</v>
      </c>
      <c r="D68" s="87">
        <f>VLOOKUP(Etusivu!$B$9,TN_17A_kunnat[],20,FALSE)</f>
        <v>9.0090090090090094</v>
      </c>
      <c r="E68" s="88"/>
      <c r="F68" s="115" t="s">
        <v>213</v>
      </c>
      <c r="G68" s="41"/>
      <c r="H68" s="42"/>
      <c r="I68" s="42"/>
      <c r="J68" s="42"/>
      <c r="K68" s="42"/>
      <c r="L68" s="42"/>
      <c r="M68" s="40"/>
      <c r="N68" s="43"/>
      <c r="O68" s="44"/>
      <c r="P68" s="55"/>
      <c r="Q68" s="40"/>
      <c r="R68" s="19"/>
      <c r="S68" s="19"/>
      <c r="T68" s="19"/>
      <c r="U68" s="40"/>
      <c r="V68" s="18"/>
      <c r="W68" s="18"/>
      <c r="X68" s="18"/>
    </row>
    <row r="69" spans="1:24" x14ac:dyDescent="0.25">
      <c r="A69" s="107" t="s">
        <v>280</v>
      </c>
      <c r="B69" s="87">
        <f>K17A!U$57</f>
        <v>6.2687125748502996</v>
      </c>
      <c r="C69" s="87">
        <f>VLOOKUP(AN_koko,TN_K17A_ryhmat[],21)</f>
        <v>7.4116305587229192</v>
      </c>
      <c r="D69" s="87">
        <f>VLOOKUP(Etusivu!$B$9,TN_17A_kunnat[],21,FALSE)</f>
        <v>7.2072072072072073</v>
      </c>
      <c r="E69" s="92"/>
      <c r="F69" s="42"/>
      <c r="G69" s="42"/>
      <c r="H69" s="42"/>
      <c r="I69" s="42"/>
      <c r="J69" s="42"/>
      <c r="K69" s="42"/>
      <c r="L69" s="42"/>
      <c r="M69" s="40"/>
      <c r="N69" s="56"/>
      <c r="O69" s="44"/>
      <c r="P69" s="55"/>
      <c r="Q69" s="40"/>
      <c r="R69" s="19"/>
      <c r="S69" s="19"/>
      <c r="T69" s="19"/>
      <c r="U69" s="40"/>
      <c r="V69" s="18"/>
      <c r="W69" s="18"/>
      <c r="X69" s="18"/>
    </row>
    <row r="70" spans="1:24" x14ac:dyDescent="0.25">
      <c r="A70" s="107" t="s">
        <v>281</v>
      </c>
      <c r="B70" s="87">
        <f>K17A!V$57</f>
        <v>13.363321150782495</v>
      </c>
      <c r="C70" s="87">
        <f>VLOOKUP(AN_koko,TN_K17A_ryhmat[],22)</f>
        <v>15.954415954415955</v>
      </c>
      <c r="D70" s="87">
        <f>VLOOKUP(Etusivu!$B$9,TN_17A_kunnat[],22,FALSE)</f>
        <v>8.9285714285714288</v>
      </c>
      <c r="E70" s="88"/>
      <c r="F70" s="42"/>
      <c r="G70" s="42"/>
      <c r="H70" s="42"/>
      <c r="I70" s="42"/>
      <c r="J70" s="42"/>
      <c r="K70" s="42"/>
      <c r="L70" s="42"/>
      <c r="M70" s="40"/>
      <c r="N70" s="56"/>
      <c r="O70" s="44"/>
      <c r="P70" s="55"/>
      <c r="Q70" s="40"/>
      <c r="R70" s="19"/>
      <c r="S70" s="19"/>
      <c r="T70" s="19"/>
      <c r="U70" s="40"/>
      <c r="V70" s="18"/>
      <c r="W70" s="18"/>
      <c r="X70" s="18"/>
    </row>
    <row r="71" spans="1:24" ht="13" x14ac:dyDescent="0.3">
      <c r="A71" s="107" t="s">
        <v>282</v>
      </c>
      <c r="B71" s="87">
        <f>K17A!W$57</f>
        <v>9.3996247654784248</v>
      </c>
      <c r="C71" s="87">
        <f>VLOOKUP(AN_koko,TN_K17A_ryhmat[],23)</f>
        <v>11.542857142857143</v>
      </c>
      <c r="D71" s="87">
        <f>VLOOKUP(Etusivu!$B$9,TN_17A_kunnat[],23,FALSE)</f>
        <v>9.8214285714285712</v>
      </c>
      <c r="E71" s="93"/>
      <c r="H71" s="18"/>
      <c r="I71" s="18"/>
      <c r="J71" s="18"/>
      <c r="K71" s="18"/>
      <c r="L71" s="18"/>
      <c r="M71" s="50"/>
      <c r="P71" s="18"/>
      <c r="Q71" s="50"/>
      <c r="R71" s="54"/>
      <c r="S71" s="19"/>
      <c r="T71" s="18"/>
      <c r="U71" s="50"/>
      <c r="V71" s="18"/>
      <c r="X71" s="18"/>
    </row>
    <row r="72" spans="1:24" x14ac:dyDescent="0.25">
      <c r="A72" s="107" t="s">
        <v>283</v>
      </c>
      <c r="B72" s="87">
        <f>K17A!X$57</f>
        <v>6.9931384528621114</v>
      </c>
      <c r="C72" s="87">
        <f>VLOOKUP(AN_koko,TN_K17A_ryhmat[],24)</f>
        <v>6.7621776504297992</v>
      </c>
      <c r="D72" s="87">
        <f>VLOOKUP(Etusivu!$B$9,TN_17A_kunnat[],24,FALSE)</f>
        <v>7.1428571428571432</v>
      </c>
      <c r="E72" s="92"/>
      <c r="F72" s="42"/>
      <c r="G72" s="42"/>
      <c r="H72" s="42"/>
      <c r="I72" s="42"/>
      <c r="J72" s="42"/>
      <c r="K72" s="42"/>
      <c r="L72" s="42"/>
      <c r="M72" s="40"/>
      <c r="N72" s="56"/>
      <c r="O72" s="44"/>
      <c r="P72" s="55"/>
      <c r="Q72" s="40"/>
      <c r="R72" s="19"/>
      <c r="S72" s="19"/>
      <c r="T72" s="19"/>
      <c r="U72" s="40"/>
      <c r="V72" s="18"/>
      <c r="W72" s="18"/>
      <c r="X72" s="18"/>
    </row>
    <row r="73" spans="1:24" x14ac:dyDescent="0.25">
      <c r="A73" s="107" t="s">
        <v>284</v>
      </c>
      <c r="B73" s="87">
        <f>K17A!Y$57</f>
        <v>7.2043413173652695</v>
      </c>
      <c r="C73" s="87">
        <f>VLOOKUP(AN_koko,TN_K17A_ryhmat[],25)</f>
        <v>6.332002281802624</v>
      </c>
      <c r="D73" s="87">
        <f>VLOOKUP(Etusivu!$B$9,TN_17A_kunnat[],25,FALSE)</f>
        <v>3.5714285714285716</v>
      </c>
      <c r="E73" s="92"/>
      <c r="F73" s="42"/>
      <c r="G73" s="42"/>
      <c r="H73" s="42"/>
      <c r="I73" s="42"/>
      <c r="J73" s="42"/>
      <c r="K73" s="42"/>
      <c r="L73" s="42"/>
      <c r="M73" s="40"/>
      <c r="N73" s="56"/>
      <c r="O73" s="44"/>
      <c r="P73" s="55"/>
      <c r="Q73" s="40"/>
      <c r="R73" s="19"/>
      <c r="S73" s="19"/>
      <c r="T73" s="19"/>
      <c r="U73" s="40"/>
      <c r="V73" s="18"/>
      <c r="W73" s="18"/>
      <c r="X73" s="18"/>
    </row>
    <row r="74" spans="1:24" x14ac:dyDescent="0.25">
      <c r="A74" s="107" t="s">
        <v>285</v>
      </c>
      <c r="B74" s="87">
        <f>K17A!Z$57</f>
        <v>3.055372755476168</v>
      </c>
      <c r="C74" s="87">
        <f>VLOOKUP(AN_koko,TN_K17A_ryhmat[],26)</f>
        <v>3.9564220183486238</v>
      </c>
      <c r="D74" s="87">
        <f>VLOOKUP(Etusivu!$B$9,TN_17A_kunnat[],26,FALSE)</f>
        <v>2.6785714285714284</v>
      </c>
      <c r="E74" s="92"/>
      <c r="F74" s="45"/>
      <c r="G74" s="45"/>
      <c r="H74" s="42"/>
      <c r="I74" s="42"/>
      <c r="J74" s="42"/>
      <c r="K74" s="42"/>
      <c r="L74" s="42"/>
      <c r="M74" s="40"/>
      <c r="N74" s="56"/>
      <c r="O74" s="44"/>
      <c r="P74" s="55"/>
      <c r="Q74" s="40"/>
      <c r="R74" s="19"/>
      <c r="S74" s="19"/>
      <c r="T74" s="19"/>
      <c r="U74" s="40"/>
      <c r="V74" s="18"/>
      <c r="W74" s="18"/>
      <c r="X74" s="18"/>
    </row>
    <row r="75" spans="1:24" x14ac:dyDescent="0.25">
      <c r="A75" s="107" t="s">
        <v>286</v>
      </c>
      <c r="B75" s="87">
        <f>K17A!AA$57</f>
        <v>4.4492521870002824</v>
      </c>
      <c r="C75" s="87">
        <f>VLOOKUP(AN_koko,TN_K17A_ryhmat[],27)</f>
        <v>4.1284403669724767</v>
      </c>
      <c r="D75" s="87">
        <f>VLOOKUP(Etusivu!$B$9,TN_17A_kunnat[],27,FALSE)</f>
        <v>2.6785714285714284</v>
      </c>
      <c r="E75" s="92"/>
      <c r="F75" s="45"/>
      <c r="G75" s="45"/>
      <c r="H75" s="42"/>
      <c r="I75" s="42"/>
      <c r="J75" s="42"/>
      <c r="K75" s="42"/>
      <c r="L75" s="42"/>
      <c r="M75" s="40"/>
      <c r="N75" s="56"/>
      <c r="O75" s="44"/>
      <c r="P75" s="55"/>
      <c r="Q75" s="40"/>
      <c r="R75" s="19"/>
      <c r="S75" s="19"/>
      <c r="T75" s="19"/>
      <c r="U75" s="40"/>
      <c r="V75" s="18"/>
      <c r="W75" s="18"/>
      <c r="X75" s="18"/>
    </row>
    <row r="76" spans="1:24" x14ac:dyDescent="0.25">
      <c r="A76" s="107" t="s">
        <v>287</v>
      </c>
      <c r="B76" s="87">
        <f>K17A!AB$57</f>
        <v>4.4005641748942175</v>
      </c>
      <c r="C76" s="87">
        <f>VLOOKUP(AN_koko,TN_K17A_ryhmat[],28)</f>
        <v>4.5819014891179837</v>
      </c>
      <c r="D76" s="87">
        <f>VLOOKUP(Etusivu!$B$9,TN_17A_kunnat[],28,FALSE)</f>
        <v>2.7027027027027026</v>
      </c>
      <c r="E76" s="92"/>
      <c r="F76" s="45"/>
      <c r="G76" s="45"/>
      <c r="H76" s="42"/>
      <c r="I76" s="42"/>
      <c r="J76" s="42"/>
      <c r="K76" s="42"/>
      <c r="L76" s="42"/>
      <c r="M76" s="40"/>
      <c r="N76" s="56"/>
      <c r="O76" s="44"/>
      <c r="P76" s="55"/>
      <c r="Q76" s="40"/>
      <c r="R76" s="19"/>
      <c r="S76" s="19"/>
      <c r="T76" s="19"/>
      <c r="U76" s="40"/>
      <c r="V76" s="18"/>
      <c r="W76" s="18"/>
      <c r="X76" s="18"/>
    </row>
    <row r="77" spans="1:24" x14ac:dyDescent="0.25">
      <c r="A77" s="107" t="s">
        <v>288</v>
      </c>
      <c r="B77" s="87">
        <f>K17A!AC$57</f>
        <v>5.5136663524976441</v>
      </c>
      <c r="C77" s="87">
        <f>VLOOKUP(AN_koko,TN_K17A_ryhmat[],29)</f>
        <v>7.8250863060989646</v>
      </c>
      <c r="D77" s="87">
        <f>VLOOKUP(Etusivu!$B$9,TN_17A_kunnat[],29,FALSE)</f>
        <v>5.3571428571428568</v>
      </c>
      <c r="E77" s="92"/>
      <c r="F77" s="45"/>
      <c r="G77" s="45"/>
      <c r="H77" s="42"/>
      <c r="I77" s="42"/>
      <c r="J77" s="42"/>
      <c r="K77" s="42"/>
      <c r="L77" s="42"/>
      <c r="M77" s="40"/>
      <c r="N77" s="56"/>
      <c r="O77" s="44"/>
      <c r="P77" s="55"/>
      <c r="Q77" s="40"/>
      <c r="R77" s="19"/>
      <c r="S77" s="19"/>
      <c r="T77" s="19"/>
      <c r="U77" s="40"/>
      <c r="V77" s="18"/>
      <c r="W77" s="18"/>
      <c r="X77" s="18"/>
    </row>
    <row r="78" spans="1:24" x14ac:dyDescent="0.25">
      <c r="A78" s="107" t="s">
        <v>289</v>
      </c>
      <c r="B78" s="87">
        <f>K17A!AD$57</f>
        <v>25.708575581395348</v>
      </c>
      <c r="C78" s="87">
        <f>VLOOKUP(AN_koko,TN_K17A_ryhmat[],30)</f>
        <v>27.172108467072494</v>
      </c>
      <c r="D78" s="87">
        <f>VLOOKUP(Etusivu!$B$9,TN_17A_kunnat[],30,FALSE)</f>
        <v>14.912280701754385</v>
      </c>
      <c r="E78" s="92"/>
      <c r="F78" s="45"/>
      <c r="G78" s="45"/>
      <c r="H78" s="42"/>
      <c r="I78" s="42"/>
      <c r="J78" s="42"/>
      <c r="K78" s="42"/>
      <c r="L78" s="42"/>
      <c r="M78" s="40"/>
      <c r="N78" s="56"/>
      <c r="O78" s="44"/>
      <c r="P78" s="55"/>
      <c r="Q78" s="40"/>
      <c r="R78" s="19"/>
      <c r="S78" s="19"/>
      <c r="T78" s="19"/>
      <c r="U78" s="40"/>
      <c r="V78" s="18"/>
      <c r="W78" s="18"/>
      <c r="X78" s="18"/>
    </row>
    <row r="79" spans="1:24" x14ac:dyDescent="0.25">
      <c r="A79" s="107" t="s">
        <v>290</v>
      </c>
      <c r="B79" s="87">
        <f>K17A!AE$57</f>
        <v>66.910192444761222</v>
      </c>
      <c r="C79" s="87">
        <f>VLOOKUP(AN_koko,TN_K17A_ryhmat[],31)</f>
        <v>65.835140997830806</v>
      </c>
      <c r="D79" s="87">
        <f>VLOOKUP(Etusivu!$B$9,TN_17A_kunnat[],31,FALSE)</f>
        <v>55.172413793103445</v>
      </c>
      <c r="E79" s="92"/>
      <c r="F79" s="42"/>
      <c r="G79" s="42"/>
      <c r="H79" s="42"/>
      <c r="I79" s="42"/>
      <c r="J79" s="42"/>
      <c r="K79" s="42"/>
      <c r="L79" s="42"/>
      <c r="M79" s="40"/>
      <c r="N79" s="56"/>
      <c r="O79" s="44"/>
      <c r="P79" s="55"/>
      <c r="Q79" s="40"/>
      <c r="R79" s="19"/>
      <c r="S79" s="19"/>
      <c r="T79" s="19"/>
      <c r="U79" s="40"/>
      <c r="V79" s="18"/>
      <c r="W79" s="18"/>
      <c r="X79" s="18"/>
    </row>
    <row r="80" spans="1:24" x14ac:dyDescent="0.25">
      <c r="A80" s="107" t="s">
        <v>291</v>
      </c>
      <c r="B80" s="87">
        <f>K17A!AF$57</f>
        <v>45.810157745965171</v>
      </c>
      <c r="C80" s="87">
        <f>VLOOKUP(AN_koko,TN_K17A_ryhmat[],32)</f>
        <v>35.997764114030183</v>
      </c>
      <c r="D80" s="87">
        <f>VLOOKUP(Etusivu!$B$9,TN_17A_kunnat[],32,FALSE)</f>
        <v>14.912280701754385</v>
      </c>
      <c r="E80" s="92"/>
      <c r="F80" s="42"/>
      <c r="G80" s="42"/>
      <c r="H80" s="42"/>
      <c r="I80" s="42"/>
      <c r="J80" s="42"/>
      <c r="K80" s="42"/>
      <c r="L80" s="42"/>
      <c r="M80" s="40"/>
      <c r="N80" s="56"/>
      <c r="O80" s="44"/>
      <c r="P80" s="55"/>
      <c r="Q80" s="40"/>
      <c r="R80" s="19"/>
      <c r="S80" s="19"/>
      <c r="T80" s="19"/>
      <c r="U80" s="40"/>
      <c r="V80" s="18"/>
      <c r="W80" s="18"/>
      <c r="X80" s="18"/>
    </row>
    <row r="81" spans="1:24" x14ac:dyDescent="0.25">
      <c r="A81" s="107" t="s">
        <v>292</v>
      </c>
      <c r="B81" s="87">
        <f>K17A!AG$57</f>
        <v>49.859665006790401</v>
      </c>
      <c r="C81" s="87">
        <f>VLOOKUP(AN_koko,TN_K17A_ryhmat[],33)</f>
        <v>48.530227398779815</v>
      </c>
      <c r="D81" s="87">
        <f>VLOOKUP(Etusivu!$B$9,TN_17A_kunnat[],33,FALSE)</f>
        <v>29.464285714285715</v>
      </c>
      <c r="E81" s="92"/>
      <c r="F81" s="42"/>
      <c r="G81" s="42"/>
      <c r="H81" s="42"/>
      <c r="I81" s="42"/>
      <c r="J81" s="42"/>
      <c r="K81" s="42"/>
      <c r="L81" s="42"/>
      <c r="M81" s="40"/>
      <c r="N81" s="56"/>
      <c r="O81" s="44"/>
      <c r="P81" s="55"/>
      <c r="Q81" s="40"/>
      <c r="R81" s="19"/>
      <c r="S81" s="19"/>
      <c r="T81" s="19"/>
      <c r="U81" s="40"/>
      <c r="V81" s="18"/>
      <c r="W81" s="18"/>
      <c r="X81" s="18"/>
    </row>
    <row r="82" spans="1:24" x14ac:dyDescent="0.25">
      <c r="A82" s="107" t="s">
        <v>293</v>
      </c>
      <c r="B82" s="87">
        <f>K17A!AH$57</f>
        <v>5.6156716417910451</v>
      </c>
      <c r="C82" s="87">
        <f>VLOOKUP(AN_koko,TN_K17A_ryhmat[],34)</f>
        <v>6.1212814645308926</v>
      </c>
      <c r="D82" s="87">
        <f>VLOOKUP(Etusivu!$B$9,TN_17A_kunnat[],34,FALSE)</f>
        <v>3.5714285714285716</v>
      </c>
      <c r="E82" s="92"/>
      <c r="F82" s="71"/>
      <c r="G82" s="71"/>
      <c r="H82" s="71"/>
      <c r="I82" s="71"/>
      <c r="J82" s="71"/>
      <c r="K82" s="71"/>
      <c r="L82" s="71"/>
      <c r="M82" s="40"/>
      <c r="N82" s="72"/>
      <c r="O82" s="73"/>
      <c r="P82" s="74"/>
      <c r="Q82" s="40"/>
      <c r="R82" s="19"/>
      <c r="S82" s="19"/>
      <c r="T82" s="19"/>
      <c r="U82" s="40"/>
      <c r="V82" s="18"/>
      <c r="W82" s="18"/>
      <c r="X82" s="18"/>
    </row>
    <row r="83" spans="1:24" ht="13" x14ac:dyDescent="0.3">
      <c r="A83" s="106" t="s">
        <v>294</v>
      </c>
      <c r="B83" s="102" t="str">
        <f>$B$3</f>
        <v>Kaikki ARTTU2-kunnat</v>
      </c>
      <c r="C83" s="87" t="str">
        <f>$C$3</f>
        <v>5000-10000 as. kunnat</v>
      </c>
      <c r="D83" s="87" t="str">
        <f>$D$3</f>
        <v>Askola</v>
      </c>
      <c r="E83" s="93"/>
      <c r="F83" s="23" t="str">
        <f>A83&amp;" "&amp;$A$46</f>
        <v>Tekniset palvelut: Mitä kuntasi järjestämiä palveluja tai toimia olet käyttänyt? Oletko Sinä tai perheenjäsenesi käyttänyt alla mainittuja palveluja viimeisen 12 kuukauden aikana?</v>
      </c>
      <c r="H83" s="18"/>
      <c r="I83" s="18"/>
      <c r="J83" s="18"/>
      <c r="K83" s="18"/>
      <c r="L83" s="18"/>
      <c r="M83" s="50"/>
      <c r="P83" s="18"/>
      <c r="Q83" s="50"/>
      <c r="R83" s="54"/>
      <c r="S83" s="19"/>
      <c r="T83" s="18"/>
      <c r="U83" s="50"/>
      <c r="V83" s="18"/>
      <c r="X83" s="18"/>
    </row>
    <row r="84" spans="1:24" x14ac:dyDescent="0.25">
      <c r="A84" s="107" t="s">
        <v>295</v>
      </c>
      <c r="B84" s="87">
        <f>K17A!AI$57</f>
        <v>6.1791488570897606</v>
      </c>
      <c r="C84" s="87">
        <f>VLOOKUP(AN_koko,TN_K17A_ryhmat[],35)</f>
        <v>4.9516220830961863</v>
      </c>
      <c r="D84" s="87">
        <f>VLOOKUP(Etusivu!$B$9,TN_17A_kunnat[],35,FALSE)</f>
        <v>3.6363636363636362</v>
      </c>
      <c r="E84" s="92"/>
      <c r="F84" s="115" t="s">
        <v>213</v>
      </c>
      <c r="G84" s="42"/>
      <c r="H84" s="42"/>
      <c r="I84" s="42"/>
      <c r="J84" s="42"/>
      <c r="K84" s="42"/>
      <c r="L84" s="42"/>
      <c r="M84" s="40"/>
      <c r="N84" s="56"/>
      <c r="O84" s="44"/>
      <c r="P84" s="55"/>
      <c r="Q84" s="40"/>
      <c r="R84" s="19"/>
      <c r="S84" s="19"/>
      <c r="T84" s="19"/>
      <c r="U84" s="40"/>
      <c r="V84" s="18"/>
      <c r="W84" s="18"/>
      <c r="X84" s="18"/>
    </row>
    <row r="85" spans="1:24" x14ac:dyDescent="0.25">
      <c r="A85" s="107" t="s">
        <v>296</v>
      </c>
      <c r="B85" s="87">
        <f>K17A!AJ$57</f>
        <v>2.9853531112976959</v>
      </c>
      <c r="C85" s="87">
        <f>VLOOKUP(AN_koko,TN_K17A_ryhmat[],36)</f>
        <v>4.0455840455840457</v>
      </c>
      <c r="D85" s="87">
        <f>VLOOKUP(Etusivu!$B$9,TN_17A_kunnat[],36,FALSE)</f>
        <v>1.834862385321101</v>
      </c>
      <c r="E85" s="92"/>
      <c r="F85" s="45"/>
      <c r="G85" s="45"/>
      <c r="H85" s="42"/>
      <c r="I85" s="42"/>
      <c r="J85" s="42"/>
      <c r="K85" s="42"/>
      <c r="L85" s="42"/>
      <c r="M85" s="40"/>
      <c r="N85" s="46"/>
      <c r="O85" s="44"/>
      <c r="P85" s="55"/>
      <c r="Q85" s="40"/>
      <c r="R85" s="19"/>
      <c r="S85" s="19"/>
      <c r="T85" s="19"/>
      <c r="U85" s="40"/>
      <c r="V85" s="18"/>
      <c r="W85" s="18"/>
      <c r="X85" s="18"/>
    </row>
    <row r="86" spans="1:24" x14ac:dyDescent="0.25">
      <c r="A86" s="107" t="s">
        <v>297</v>
      </c>
      <c r="B86" s="87">
        <f>K17A!AK$57</f>
        <v>49.93607305936073</v>
      </c>
      <c r="C86" s="87">
        <f>VLOOKUP(AN_koko,TN_K17A_ryhmat[],37)</f>
        <v>36.164229471316084</v>
      </c>
      <c r="D86" s="87">
        <f>VLOOKUP(Etusivu!$B$9,TN_17A_kunnat[],37,FALSE)</f>
        <v>28.181818181818183</v>
      </c>
      <c r="E86" s="92"/>
      <c r="F86" s="45"/>
      <c r="G86" s="45"/>
      <c r="H86" s="42"/>
      <c r="I86" s="42"/>
      <c r="J86" s="42"/>
      <c r="K86" s="42"/>
      <c r="L86" s="42"/>
      <c r="M86" s="40"/>
      <c r="N86" s="46"/>
      <c r="O86" s="44"/>
      <c r="P86" s="55"/>
      <c r="Q86" s="40"/>
      <c r="R86" s="19"/>
      <c r="S86" s="19"/>
      <c r="T86" s="19"/>
      <c r="U86" s="40"/>
      <c r="V86" s="18"/>
      <c r="W86" s="18"/>
      <c r="X86" s="18"/>
    </row>
    <row r="87" spans="1:24" x14ac:dyDescent="0.25">
      <c r="A87" s="107" t="s">
        <v>298</v>
      </c>
      <c r="B87" s="87">
        <f>K17A!AL$57</f>
        <v>14.252401828187669</v>
      </c>
      <c r="C87" s="87">
        <f>VLOOKUP(AN_koko,TN_K17A_ryhmat[],38)</f>
        <v>15.503432494279176</v>
      </c>
      <c r="D87" s="87">
        <f>VLOOKUP(Etusivu!$B$9,TN_17A_kunnat[],38,FALSE)</f>
        <v>21.621621621621621</v>
      </c>
      <c r="E87" s="92"/>
      <c r="F87" s="45"/>
      <c r="G87" s="45"/>
      <c r="H87" s="42"/>
      <c r="I87" s="42"/>
      <c r="J87" s="42"/>
      <c r="K87" s="42"/>
      <c r="L87" s="42"/>
      <c r="M87" s="40"/>
      <c r="N87" s="46"/>
      <c r="O87" s="44"/>
      <c r="P87" s="55"/>
      <c r="Q87" s="40"/>
      <c r="R87" s="19"/>
      <c r="S87" s="19"/>
      <c r="T87" s="19"/>
      <c r="U87" s="40"/>
      <c r="V87" s="18"/>
      <c r="W87" s="18"/>
      <c r="X87" s="18"/>
    </row>
    <row r="88" spans="1:24" x14ac:dyDescent="0.25">
      <c r="A88" s="107" t="s">
        <v>299</v>
      </c>
      <c r="B88" s="87">
        <f>K17A!AM$57</f>
        <v>83.599857853589199</v>
      </c>
      <c r="C88" s="87">
        <f>VLOOKUP(AN_koko,TN_K17A_ryhmat[],39)</f>
        <v>84.784946236559136</v>
      </c>
      <c r="D88" s="87">
        <f>VLOOKUP(Etusivu!$B$9,TN_17A_kunnat[],39,FALSE)</f>
        <v>93.103448275862064</v>
      </c>
      <c r="E88" s="92"/>
      <c r="F88" s="45"/>
      <c r="G88" s="45"/>
      <c r="H88" s="42"/>
      <c r="I88" s="42"/>
      <c r="J88" s="42"/>
      <c r="K88" s="42"/>
      <c r="L88" s="42"/>
      <c r="M88" s="40"/>
      <c r="N88" s="46"/>
      <c r="O88" s="44"/>
      <c r="P88" s="55"/>
      <c r="Q88" s="40"/>
      <c r="R88" s="19"/>
      <c r="S88" s="19"/>
      <c r="T88" s="19"/>
      <c r="U88" s="40"/>
      <c r="V88" s="18"/>
      <c r="W88" s="18"/>
      <c r="X88" s="18"/>
    </row>
    <row r="89" spans="1:24" ht="13" x14ac:dyDescent="0.3">
      <c r="A89" s="107" t="s">
        <v>300</v>
      </c>
      <c r="B89" s="87">
        <f>K17A!AN$57</f>
        <v>88.61315176491668</v>
      </c>
      <c r="C89" s="87">
        <f>VLOOKUP(AN_koko,TN_K17A_ryhmat[],40)</f>
        <v>89.416257501363887</v>
      </c>
      <c r="D89" s="87">
        <f>VLOOKUP(Etusivu!$B$9,TN_17A_kunnat[],40,FALSE)</f>
        <v>90.517241379310349</v>
      </c>
      <c r="E89" s="93"/>
      <c r="H89" s="18"/>
      <c r="I89" s="18"/>
      <c r="J89" s="18"/>
      <c r="K89" s="18"/>
      <c r="L89" s="18"/>
      <c r="M89" s="50"/>
      <c r="P89" s="18"/>
      <c r="Q89" s="50"/>
      <c r="R89" s="54"/>
      <c r="S89" s="19"/>
      <c r="T89" s="18"/>
      <c r="U89" s="50"/>
      <c r="V89" s="18"/>
      <c r="X89" s="18"/>
    </row>
    <row r="90" spans="1:24" ht="13" x14ac:dyDescent="0.3">
      <c r="A90" s="140" t="s">
        <v>732</v>
      </c>
      <c r="B90" s="35"/>
      <c r="C90" s="54"/>
      <c r="D90" s="54"/>
      <c r="E90" s="33"/>
      <c r="F90" s="31"/>
      <c r="G90" s="31"/>
      <c r="H90" s="32"/>
      <c r="I90" s="32"/>
      <c r="J90" s="32"/>
      <c r="K90" s="32"/>
      <c r="L90" s="32"/>
      <c r="M90" s="33"/>
      <c r="N90" s="33"/>
      <c r="O90" s="33"/>
      <c r="P90" s="30"/>
      <c r="Q90" s="30" t="s">
        <v>731</v>
      </c>
    </row>
    <row r="91" spans="1:24" ht="13" x14ac:dyDescent="0.3">
      <c r="A91" s="106" t="s">
        <v>257</v>
      </c>
      <c r="B91" s="102" t="str">
        <f>$B$3</f>
        <v>Kaikki ARTTU2-kunnat</v>
      </c>
      <c r="C91" s="87" t="str">
        <f>$C$3</f>
        <v>5000-10000 as. kunnat</v>
      </c>
      <c r="D91" s="87" t="str">
        <f>$D$3</f>
        <v>Askola</v>
      </c>
      <c r="E91" s="88" t="str">
        <f>$E$3</f>
        <v>N</v>
      </c>
      <c r="F91" s="23" t="str">
        <f>A91&amp;" "&amp;$A$90</f>
        <v xml:space="preserve">Terveyspalvelut: Miten kuntasi järjestämiä palveluja on mielestäsi hoidettu? Arvioi palvelujen/toimien hoitamista asteikolla 1 (erittäin huonosti) – 5 (erittäin hyvin).
</v>
      </c>
      <c r="G91" s="31"/>
      <c r="H91" s="32"/>
      <c r="I91" s="32"/>
      <c r="J91" s="32"/>
      <c r="K91" s="32"/>
      <c r="L91" s="32"/>
      <c r="M91" s="33"/>
      <c r="N91" s="33"/>
      <c r="O91" s="33"/>
      <c r="P91" s="30"/>
      <c r="Q91" s="30"/>
    </row>
    <row r="92" spans="1:24" x14ac:dyDescent="0.25">
      <c r="A92" s="107" t="s">
        <v>258</v>
      </c>
      <c r="B92" s="87">
        <f>K17B!B$58</f>
        <v>65.3</v>
      </c>
      <c r="C92" s="87">
        <f>VLOOKUP(AN_koko,TN_K17B_ryhmat[],2)</f>
        <v>67.565831727681442</v>
      </c>
      <c r="D92" s="87">
        <f>VLOOKUP(Etusivu!$B$9,TN_K17B_kunnat[],2,FALSE)</f>
        <v>46.739130434782609</v>
      </c>
      <c r="E92" s="149">
        <f>VLOOKUP(Etusivu!$B$9,TN_K17B_kunnat[],45,FALSE)</f>
        <v>119</v>
      </c>
      <c r="F92" s="23" t="str">
        <f>Etusivu!$B$9&amp;": "&amp;E91&amp;" = "&amp;$I$1&amp;" "&amp;E92</f>
        <v>Askola: N = max. 119</v>
      </c>
      <c r="G92" s="31"/>
      <c r="H92" s="32"/>
      <c r="I92" s="32"/>
      <c r="J92" s="32"/>
      <c r="K92" s="32"/>
      <c r="L92" s="32"/>
      <c r="M92" s="33"/>
      <c r="N92" s="33"/>
      <c r="O92" s="33"/>
      <c r="P92" s="30"/>
      <c r="Q92" s="30"/>
    </row>
    <row r="93" spans="1:24" x14ac:dyDescent="0.25">
      <c r="A93" s="107" t="s">
        <v>259</v>
      </c>
      <c r="B93" s="87">
        <f>K17B!C$58</f>
        <v>75</v>
      </c>
      <c r="C93" s="87">
        <f>VLOOKUP(AN_koko,TN_K17B_ryhmat[],3)</f>
        <v>76.678445229681984</v>
      </c>
      <c r="D93" s="87">
        <f>VLOOKUP(Etusivu!$B$9,TN_K17B_kunnat[],3,FALSE)</f>
        <v>71.764705882352942</v>
      </c>
      <c r="E93" s="33"/>
      <c r="F93" s="23" t="s">
        <v>745</v>
      </c>
      <c r="G93" s="31"/>
      <c r="H93" s="32"/>
      <c r="I93" s="32"/>
      <c r="J93" s="32"/>
      <c r="K93" s="32"/>
      <c r="L93" s="32"/>
      <c r="M93" s="33"/>
      <c r="N93" s="33"/>
      <c r="O93" s="33"/>
      <c r="P93" s="30"/>
      <c r="Q93" s="30"/>
    </row>
    <row r="94" spans="1:24" x14ac:dyDescent="0.25">
      <c r="A94" s="107" t="s">
        <v>260</v>
      </c>
      <c r="B94" s="87">
        <f>K17B!D$58</f>
        <v>67.599999999999994</v>
      </c>
      <c r="C94" s="87">
        <f>VLOOKUP(AN_koko,TN_K17B_ryhmat[],4)</f>
        <v>70.545746388443021</v>
      </c>
      <c r="D94" s="87">
        <f>VLOOKUP(Etusivu!$B$9,TN_K17B_kunnat[],4,FALSE)</f>
        <v>83.516483516483518</v>
      </c>
      <c r="E94" s="33"/>
      <c r="F94" s="31"/>
      <c r="G94" s="31"/>
      <c r="H94" s="32"/>
      <c r="I94" s="32"/>
      <c r="J94" s="32"/>
      <c r="K94" s="32"/>
      <c r="L94" s="32"/>
      <c r="M94" s="33"/>
      <c r="N94" s="33"/>
      <c r="O94" s="33"/>
      <c r="P94" s="30"/>
      <c r="Q94" s="30"/>
    </row>
    <row r="95" spans="1:24" x14ac:dyDescent="0.25">
      <c r="A95" s="107" t="s">
        <v>261</v>
      </c>
      <c r="B95" s="87">
        <f>K17B!E$58</f>
        <v>78.900000000000006</v>
      </c>
      <c r="C95" s="87">
        <f>VLOOKUP(AN_koko,TN_K17B_ryhmat[],5)</f>
        <v>84.34237995824634</v>
      </c>
      <c r="D95" s="87">
        <f>VLOOKUP(Etusivu!$B$9,TN_K17B_kunnat[],5,FALSE)</f>
        <v>63.636363636363633</v>
      </c>
      <c r="E95" s="33"/>
      <c r="F95" s="31"/>
      <c r="G95" s="31"/>
      <c r="H95" s="32"/>
      <c r="I95" s="32"/>
      <c r="J95" s="32"/>
      <c r="K95" s="32"/>
      <c r="L95" s="32"/>
      <c r="M95" s="33"/>
      <c r="N95" s="33"/>
      <c r="O95" s="33"/>
      <c r="P95" s="30"/>
      <c r="Q95" s="30"/>
    </row>
    <row r="96" spans="1:24" x14ac:dyDescent="0.25">
      <c r="A96" s="107" t="s">
        <v>262</v>
      </c>
      <c r="B96" s="87">
        <f>K17B!F$58</f>
        <v>67.3</v>
      </c>
      <c r="C96" s="87">
        <f>VLOOKUP(AN_koko,TN_K17B_ryhmat[],6)</f>
        <v>73.184357541899445</v>
      </c>
      <c r="D96" s="87">
        <f>VLOOKUP(Etusivu!$B$9,TN_K17B_kunnat[],6,FALSE)</f>
        <v>58.823529411764703</v>
      </c>
      <c r="E96" s="33"/>
      <c r="F96" s="31"/>
      <c r="G96" s="31"/>
      <c r="H96" s="32"/>
      <c r="I96" s="32"/>
      <c r="J96" s="32"/>
      <c r="K96" s="32"/>
      <c r="L96" s="32"/>
      <c r="M96" s="33"/>
      <c r="N96" s="33"/>
      <c r="O96" s="33"/>
      <c r="P96" s="30"/>
      <c r="Q96" s="30"/>
    </row>
    <row r="97" spans="1:17" x14ac:dyDescent="0.25">
      <c r="A97" s="107" t="s">
        <v>263</v>
      </c>
      <c r="B97" s="87">
        <f>K17B!G$58</f>
        <v>70.8</v>
      </c>
      <c r="C97" s="87">
        <f>VLOOKUP(AN_koko,TN_K17B_ryhmat[],7)</f>
        <v>69.75</v>
      </c>
      <c r="D97" s="87">
        <f>VLOOKUP(Etusivu!$B$9,TN_K17B_kunnat[],7,FALSE)</f>
        <v>64.15094339622641</v>
      </c>
      <c r="E97" s="33"/>
      <c r="F97" s="31"/>
      <c r="G97" s="31"/>
      <c r="H97" s="32"/>
      <c r="I97" s="32"/>
      <c r="J97" s="32"/>
      <c r="K97" s="32"/>
      <c r="L97" s="32"/>
      <c r="M97" s="33"/>
      <c r="N97" s="33"/>
      <c r="O97" s="33"/>
      <c r="P97" s="30"/>
      <c r="Q97" s="30"/>
    </row>
    <row r="98" spans="1:17" x14ac:dyDescent="0.25">
      <c r="A98" s="107" t="s">
        <v>264</v>
      </c>
      <c r="B98" s="87">
        <f>K17B!H$58</f>
        <v>48.7</v>
      </c>
      <c r="C98" s="87">
        <f>VLOOKUP(AN_koko,TN_K17B_ryhmat[],8)</f>
        <v>52.802359882005902</v>
      </c>
      <c r="D98" s="87">
        <f>VLOOKUP(Etusivu!$B$9,TN_K17B_kunnat[],8,FALSE)</f>
        <v>42.307692307692307</v>
      </c>
      <c r="E98" s="33"/>
      <c r="F98" s="31"/>
      <c r="G98" s="31"/>
      <c r="H98" s="32"/>
      <c r="I98" s="32"/>
      <c r="J98" s="32"/>
      <c r="K98" s="32"/>
      <c r="L98" s="32"/>
      <c r="M98" s="33"/>
      <c r="N98" s="33"/>
      <c r="O98" s="33"/>
      <c r="P98" s="30"/>
      <c r="Q98" s="30"/>
    </row>
    <row r="99" spans="1:17" x14ac:dyDescent="0.25">
      <c r="A99" s="107" t="s">
        <v>265</v>
      </c>
      <c r="B99" s="87">
        <f>K17B!I$58</f>
        <v>47</v>
      </c>
      <c r="C99" s="87">
        <f>VLOOKUP(AN_koko,TN_K17B_ryhmat[],9)</f>
        <v>46.961325966850829</v>
      </c>
      <c r="D99" s="87">
        <f>VLOOKUP(Etusivu!$B$9,TN_K17B_kunnat[],9,FALSE)</f>
        <v>27.777777777777779</v>
      </c>
      <c r="E99" s="33"/>
      <c r="F99" s="31"/>
      <c r="G99" s="31"/>
      <c r="H99" s="32"/>
      <c r="I99" s="32"/>
      <c r="J99" s="32"/>
      <c r="K99" s="32"/>
      <c r="L99" s="32"/>
      <c r="M99" s="33"/>
      <c r="N99" s="33"/>
      <c r="O99" s="33"/>
      <c r="P99" s="30"/>
      <c r="Q99" s="30"/>
    </row>
    <row r="100" spans="1:17" x14ac:dyDescent="0.25">
      <c r="A100" s="107" t="s">
        <v>266</v>
      </c>
      <c r="B100" s="87">
        <f>K17B!J$58</f>
        <v>40.200000000000003</v>
      </c>
      <c r="C100" s="87">
        <f>VLOOKUP(AN_koko,TN_K17B_ryhmat[],10)</f>
        <v>52.1875</v>
      </c>
      <c r="D100" s="87">
        <f>VLOOKUP(Etusivu!$B$9,TN_K17B_kunnat[],10,FALSE)</f>
        <v>31.578947368421051</v>
      </c>
      <c r="E100" s="33"/>
      <c r="F100" s="31"/>
      <c r="G100" s="31"/>
      <c r="H100" s="32"/>
      <c r="I100" s="32"/>
      <c r="J100" s="32"/>
      <c r="K100" s="32"/>
      <c r="L100" s="32"/>
      <c r="M100" s="33"/>
      <c r="N100" s="33"/>
      <c r="O100" s="33"/>
      <c r="P100" s="30"/>
      <c r="Q100" s="30"/>
    </row>
    <row r="101" spans="1:17" ht="13" x14ac:dyDescent="0.3">
      <c r="A101" s="106" t="s">
        <v>267</v>
      </c>
      <c r="B101" s="102" t="str">
        <f>$B$3</f>
        <v>Kaikki ARTTU2-kunnat</v>
      </c>
      <c r="C101" s="87" t="str">
        <f>$C$3</f>
        <v>5000-10000 as. kunnat</v>
      </c>
      <c r="D101" s="87" t="str">
        <f>$D$3</f>
        <v>Askola</v>
      </c>
      <c r="E101" s="33"/>
      <c r="F101" s="23" t="str">
        <f>A101&amp;" "&amp;$A$90</f>
        <v xml:space="preserve">Sosiaalipalvelut: Miten kuntasi järjestämiä palveluja on mielestäsi hoidettu? Arvioi palvelujen/toimien hoitamista asteikolla 1 (erittäin huonosti) – 5 (erittäin hyvin).
</v>
      </c>
      <c r="G101" s="31"/>
      <c r="H101" s="32"/>
      <c r="I101" s="32"/>
      <c r="J101" s="32"/>
      <c r="K101" s="32"/>
      <c r="L101" s="32"/>
      <c r="M101" s="33"/>
      <c r="N101" s="33"/>
      <c r="O101" s="33"/>
      <c r="P101" s="30"/>
      <c r="Q101" s="30"/>
    </row>
    <row r="102" spans="1:17" x14ac:dyDescent="0.25">
      <c r="A102" s="107" t="s">
        <v>268</v>
      </c>
      <c r="B102" s="87">
        <f>K17B!K$58</f>
        <v>42.1</v>
      </c>
      <c r="C102" s="87">
        <f>VLOOKUP(AN_koko,TN_K17B_ryhmat[],11)</f>
        <v>44.152046783625728</v>
      </c>
      <c r="D102" s="87">
        <f>VLOOKUP(Etusivu!$B$9,TN_K17B_kunnat[],11,FALSE)</f>
        <v>38.70967741935484</v>
      </c>
      <c r="E102" s="33"/>
      <c r="F102" s="31"/>
      <c r="G102" s="31"/>
      <c r="H102" s="32"/>
      <c r="I102" s="32"/>
      <c r="J102" s="32"/>
      <c r="K102" s="32"/>
      <c r="L102" s="32"/>
      <c r="M102" s="33"/>
      <c r="N102" s="33"/>
      <c r="O102" s="33"/>
      <c r="P102" s="30"/>
      <c r="Q102" s="30"/>
    </row>
    <row r="103" spans="1:17" x14ac:dyDescent="0.25">
      <c r="A103" s="107" t="s">
        <v>269</v>
      </c>
      <c r="B103" s="87">
        <f>K17B!L$58</f>
        <v>33.9</v>
      </c>
      <c r="C103" s="87">
        <f>VLOOKUP(AN_koko,TN_K17B_ryhmat[],12)</f>
        <v>36.549707602339183</v>
      </c>
      <c r="D103" s="87">
        <f>VLOOKUP(Etusivu!$B$9,TN_K17B_kunnat[],12,FALSE)</f>
        <v>41.176470588235297</v>
      </c>
      <c r="E103" s="33"/>
      <c r="F103" s="31"/>
      <c r="G103" s="31"/>
      <c r="H103" s="32"/>
      <c r="I103" s="32"/>
      <c r="J103" s="32"/>
      <c r="K103" s="32"/>
      <c r="L103" s="32"/>
      <c r="M103" s="33"/>
      <c r="N103" s="33"/>
      <c r="O103" s="33"/>
      <c r="P103" s="30"/>
      <c r="Q103" s="30"/>
    </row>
    <row r="104" spans="1:17" x14ac:dyDescent="0.25">
      <c r="A104" s="107" t="s">
        <v>270</v>
      </c>
      <c r="B104" s="87">
        <f>K17B!M$58</f>
        <v>37</v>
      </c>
      <c r="C104" s="87">
        <f>VLOOKUP(AN_koko,TN_K17B_ryhmat[],13)</f>
        <v>39.295392953929536</v>
      </c>
      <c r="D104" s="87">
        <f>VLOOKUP(Etusivu!$B$9,TN_K17B_kunnat[],13,FALSE)</f>
        <v>43.333333333333336</v>
      </c>
      <c r="E104" s="33"/>
      <c r="F104" s="31"/>
      <c r="G104" s="31"/>
      <c r="H104" s="32"/>
      <c r="I104" s="32"/>
      <c r="J104" s="32"/>
      <c r="K104" s="32"/>
      <c r="L104" s="32"/>
      <c r="M104" s="33"/>
      <c r="N104" s="33"/>
      <c r="O104" s="33"/>
      <c r="P104" s="30"/>
      <c r="Q104" s="30"/>
    </row>
    <row r="105" spans="1:17" x14ac:dyDescent="0.25">
      <c r="A105" s="107" t="s">
        <v>271</v>
      </c>
      <c r="B105" s="87">
        <f>K17B!N$58</f>
        <v>30</v>
      </c>
      <c r="C105" s="87">
        <f>VLOOKUP(AN_koko,TN_K17B_ryhmat[],14)</f>
        <v>31.696428571428573</v>
      </c>
      <c r="D105" s="87">
        <f>VLOOKUP(Etusivu!$B$9,TN_K17B_kunnat[],14,FALSE)</f>
        <v>29.411764705882351</v>
      </c>
      <c r="E105" s="33"/>
      <c r="F105" s="34"/>
      <c r="G105" s="34"/>
      <c r="H105" s="33"/>
      <c r="I105" s="33"/>
      <c r="J105" s="33"/>
      <c r="K105" s="33"/>
      <c r="L105" s="33"/>
      <c r="M105" s="35"/>
      <c r="N105" s="33"/>
      <c r="O105" s="33"/>
      <c r="P105" s="30"/>
      <c r="Q105" s="30"/>
    </row>
    <row r="106" spans="1:17" x14ac:dyDescent="0.25">
      <c r="A106" s="107" t="s">
        <v>272</v>
      </c>
      <c r="B106" s="87">
        <f>K17B!O$58</f>
        <v>54.4</v>
      </c>
      <c r="C106" s="87">
        <f>VLOOKUP(AN_koko,TN_K17B_ryhmat[],15)</f>
        <v>59.107806691449817</v>
      </c>
      <c r="D106" s="87">
        <f>VLOOKUP(Etusivu!$B$9,TN_K17B_kunnat[],15,FALSE)</f>
        <v>56.521739130434781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0"/>
      <c r="Q106" s="30"/>
    </row>
    <row r="107" spans="1:17" x14ac:dyDescent="0.25">
      <c r="A107" s="107" t="s">
        <v>273</v>
      </c>
      <c r="B107" s="87">
        <f>K17B!P$58</f>
        <v>35.200000000000003</v>
      </c>
      <c r="C107" s="87">
        <f>VLOOKUP(AN_koko,TN_K17B_ryhmat[],16)</f>
        <v>38.157894736842103</v>
      </c>
      <c r="D107" s="87">
        <f>VLOOKUP(Etusivu!$B$9,TN_K17B_kunnat[],16,FALSE)</f>
        <v>23.529411764705884</v>
      </c>
      <c r="E107" s="33"/>
      <c r="F107" s="37"/>
      <c r="G107" s="37"/>
      <c r="H107" s="37"/>
      <c r="I107" s="37"/>
      <c r="J107" s="37"/>
      <c r="K107" s="37"/>
      <c r="L107" s="37"/>
      <c r="M107" s="33"/>
      <c r="N107" s="33"/>
      <c r="O107" s="33"/>
      <c r="P107" s="30"/>
      <c r="Q107" s="30"/>
    </row>
    <row r="108" spans="1:17" x14ac:dyDescent="0.25">
      <c r="A108" s="107" t="s">
        <v>275</v>
      </c>
      <c r="B108" s="87">
        <f>K17B!Q$58</f>
        <v>45.6</v>
      </c>
      <c r="C108" s="87">
        <f>VLOOKUP(AN_koko,TN_K17B_ryhmat[],17)</f>
        <v>46.520146520146518</v>
      </c>
      <c r="D108" s="87">
        <f>VLOOKUP(Etusivu!$B$9,TN_K17B_kunnat[],17,FALSE)</f>
        <v>45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0"/>
      <c r="Q108" s="30"/>
    </row>
    <row r="109" spans="1:17" x14ac:dyDescent="0.25">
      <c r="A109" s="107" t="s">
        <v>276</v>
      </c>
      <c r="B109" s="87">
        <f>K17B!R$58</f>
        <v>32.5</v>
      </c>
      <c r="C109" s="87">
        <f>VLOOKUP(AN_koko,TN_K17B_ryhmat[],18)</f>
        <v>38.190954773869343</v>
      </c>
      <c r="D109" s="87">
        <f>VLOOKUP(Etusivu!$B$9,TN_K17B_kunnat[],18,FALSE)</f>
        <v>14.285714285714286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0"/>
      <c r="Q109" s="30"/>
    </row>
    <row r="110" spans="1:17" x14ac:dyDescent="0.25">
      <c r="A110" s="107" t="s">
        <v>277</v>
      </c>
      <c r="B110" s="87">
        <f>K17B!S$58</f>
        <v>32</v>
      </c>
      <c r="C110" s="87">
        <f>VLOOKUP(AN_koko,TN_K17B_ryhmat[],19)</f>
        <v>34.765625</v>
      </c>
      <c r="D110" s="87">
        <f>VLOOKUP(Etusivu!$B$9,TN_K17B_kunnat[],19,FALSE)</f>
        <v>17.647058823529413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0"/>
      <c r="Q110" s="30"/>
    </row>
    <row r="111" spans="1:17" ht="13" x14ac:dyDescent="0.3">
      <c r="A111" s="106" t="s">
        <v>278</v>
      </c>
      <c r="B111" s="102" t="str">
        <f>$B$3</f>
        <v>Kaikki ARTTU2-kunnat</v>
      </c>
      <c r="C111" s="87" t="str">
        <f>$C$3</f>
        <v>5000-10000 as. kunnat</v>
      </c>
      <c r="D111" s="87" t="str">
        <f>$D$3</f>
        <v>Askola</v>
      </c>
      <c r="E111" s="38"/>
      <c r="F111" s="23" t="str">
        <f>A111&amp;" "&amp;$A$90</f>
        <v xml:space="preserve">Koulutus- ja sivistyspalvelut: Miten kuntasi järjestämiä palveluja on mielestäsi hoidettu? Arvioi palvelujen/toimien hoitamista asteikolla 1 (erittäin huonosti) – 5 (erittäin hyvin).
</v>
      </c>
      <c r="G111" s="39"/>
      <c r="H111" s="37"/>
      <c r="I111" s="37"/>
      <c r="J111" s="37"/>
      <c r="K111" s="37"/>
      <c r="L111" s="37"/>
      <c r="M111" s="33"/>
      <c r="N111" s="33"/>
      <c r="O111" s="33"/>
      <c r="P111" s="30"/>
      <c r="Q111" s="30"/>
    </row>
    <row r="112" spans="1:17" x14ac:dyDescent="0.25">
      <c r="A112" s="107" t="s">
        <v>279</v>
      </c>
      <c r="B112" s="87">
        <f>K17B!T$58</f>
        <v>74.099999999999994</v>
      </c>
      <c r="C112" s="87">
        <f>VLOOKUP(AN_koko,TN_K17B_ryhmat[],20)</f>
        <v>76.022304832713758</v>
      </c>
      <c r="D112" s="87">
        <f>VLOOKUP(Etusivu!$B$9,TN_K17B_kunnat[],20,FALSE)</f>
        <v>89.473684210526315</v>
      </c>
      <c r="E112" s="38"/>
      <c r="F112" s="39"/>
      <c r="G112" s="39"/>
      <c r="H112" s="37"/>
      <c r="I112" s="37"/>
      <c r="J112" s="37"/>
      <c r="K112" s="37"/>
      <c r="L112" s="37"/>
      <c r="M112" s="33"/>
      <c r="N112" s="33"/>
      <c r="O112" s="33"/>
      <c r="P112" s="30"/>
      <c r="Q112" s="30"/>
    </row>
    <row r="113" spans="1:17" x14ac:dyDescent="0.25">
      <c r="A113" s="107" t="s">
        <v>280</v>
      </c>
      <c r="B113" s="87">
        <f>K17B!U$58</f>
        <v>78</v>
      </c>
      <c r="C113" s="87">
        <f>VLOOKUP(AN_koko,TN_K17B_ryhmat[],21)</f>
        <v>81.818181818181813</v>
      </c>
      <c r="D113" s="87">
        <f>VLOOKUP(Etusivu!$B$9,TN_K17B_kunnat[],21,FALSE)</f>
        <v>79.411764705882348</v>
      </c>
      <c r="E113" s="38"/>
      <c r="F113" s="39"/>
      <c r="G113" s="39"/>
      <c r="H113" s="37"/>
      <c r="I113" s="37"/>
      <c r="J113" s="37"/>
      <c r="K113" s="37"/>
      <c r="L113" s="37"/>
      <c r="M113" s="33"/>
      <c r="N113" s="33"/>
      <c r="O113" s="33"/>
      <c r="P113" s="30"/>
      <c r="Q113" s="30"/>
    </row>
    <row r="114" spans="1:17" x14ac:dyDescent="0.25">
      <c r="A114" s="107" t="s">
        <v>281</v>
      </c>
      <c r="B114" s="87">
        <f>K17B!V$58</f>
        <v>77.7</v>
      </c>
      <c r="C114" s="87">
        <f>VLOOKUP(AN_koko,TN_K17B_ryhmat[],22)</f>
        <v>79.690189328743543</v>
      </c>
      <c r="D114" s="87">
        <f>VLOOKUP(Etusivu!$B$9,TN_K17B_kunnat[],22,FALSE)</f>
        <v>81.578947368421055</v>
      </c>
      <c r="E114" s="38"/>
      <c r="F114" s="39"/>
      <c r="G114" s="39"/>
      <c r="H114" s="37"/>
      <c r="I114" s="37"/>
      <c r="J114" s="37"/>
      <c r="K114" s="37"/>
      <c r="L114" s="37"/>
      <c r="M114" s="33"/>
      <c r="N114" s="33"/>
      <c r="O114" s="33"/>
      <c r="P114" s="30"/>
      <c r="Q114" s="30"/>
    </row>
    <row r="115" spans="1:17" x14ac:dyDescent="0.25">
      <c r="A115" s="107" t="s">
        <v>282</v>
      </c>
      <c r="B115" s="87">
        <f>K17B!W$58</f>
        <v>72.8</v>
      </c>
      <c r="C115" s="87">
        <f>VLOOKUP(AN_koko,TN_K17B_ryhmat[],23)</f>
        <v>76.264591439688715</v>
      </c>
      <c r="D115" s="87">
        <f>VLOOKUP(Etusivu!$B$9,TN_K17B_kunnat[],23,FALSE)</f>
        <v>68.421052631578945</v>
      </c>
      <c r="E115" s="38"/>
      <c r="F115" s="39"/>
      <c r="G115" s="39"/>
      <c r="H115" s="37"/>
      <c r="I115" s="37"/>
      <c r="J115" s="37"/>
      <c r="K115" s="37"/>
      <c r="L115" s="37"/>
      <c r="M115" s="33"/>
      <c r="N115" s="33"/>
      <c r="O115" s="33"/>
      <c r="P115" s="30"/>
      <c r="Q115" s="30"/>
    </row>
    <row r="116" spans="1:17" x14ac:dyDescent="0.25">
      <c r="A116" s="107" t="s">
        <v>283</v>
      </c>
      <c r="B116" s="87">
        <f>K17B!X$58</f>
        <v>71.900000000000006</v>
      </c>
      <c r="C116" s="87">
        <f>VLOOKUP(AN_koko,TN_K17B_ryhmat[],24)</f>
        <v>72.261072261072258</v>
      </c>
      <c r="D116" s="87">
        <f>VLOOKUP(Etusivu!$B$9,TN_K17B_kunnat[],24,FALSE)</f>
        <v>83.333333333333329</v>
      </c>
      <c r="E116" s="38"/>
      <c r="F116" s="39"/>
      <c r="G116" s="39"/>
      <c r="H116" s="37"/>
      <c r="I116" s="37"/>
      <c r="J116" s="37"/>
      <c r="K116" s="37"/>
      <c r="L116" s="37"/>
      <c r="M116" s="33"/>
      <c r="N116" s="33"/>
      <c r="O116" s="33"/>
      <c r="P116" s="30"/>
      <c r="Q116" s="30"/>
    </row>
    <row r="117" spans="1:17" x14ac:dyDescent="0.25">
      <c r="A117" s="107" t="s">
        <v>284</v>
      </c>
      <c r="B117" s="87">
        <f>K17B!Y$58</f>
        <v>58.2</v>
      </c>
      <c r="C117" s="87">
        <f>VLOOKUP(AN_koko,TN_K17B_ryhmat[],25)</f>
        <v>63.131313131313128</v>
      </c>
      <c r="D117" s="87">
        <f>VLOOKUP(Etusivu!$B$9,TN_K17B_kunnat[],25,FALSE)</f>
        <v>64.516129032258064</v>
      </c>
      <c r="E117" s="38"/>
      <c r="F117" s="39"/>
      <c r="G117" s="39"/>
      <c r="H117" s="37"/>
      <c r="I117" s="37"/>
      <c r="J117" s="37"/>
      <c r="K117" s="37"/>
      <c r="L117" s="37"/>
      <c r="M117" s="33"/>
      <c r="N117" s="33"/>
      <c r="O117" s="33"/>
      <c r="P117" s="30"/>
      <c r="Q117" s="30"/>
    </row>
    <row r="118" spans="1:17" x14ac:dyDescent="0.25">
      <c r="A118" s="107" t="s">
        <v>285</v>
      </c>
      <c r="B118" s="87">
        <f>K17B!Z$58</f>
        <v>52.9</v>
      </c>
      <c r="C118" s="87">
        <f>VLOOKUP(AN_koko,TN_K17B_ryhmat[],26)</f>
        <v>56.230031948881788</v>
      </c>
      <c r="D118" s="87">
        <f>VLOOKUP(Etusivu!$B$9,TN_K17B_kunnat[],26,FALSE)</f>
        <v>47.826086956521742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0"/>
      <c r="Q118" s="30"/>
    </row>
    <row r="119" spans="1:17" x14ac:dyDescent="0.25">
      <c r="A119" s="107" t="s">
        <v>286</v>
      </c>
      <c r="B119" s="87">
        <f>K17B!AA$58</f>
        <v>50.9</v>
      </c>
      <c r="C119" s="87">
        <f>VLOOKUP(AN_koko,TN_K17B_ryhmat[],27)</f>
        <v>55.390334572490708</v>
      </c>
      <c r="D119" s="87">
        <f>VLOOKUP(Etusivu!$B$9,TN_K17B_kunnat[],27,FALSE)</f>
        <v>55.555555555555557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0"/>
      <c r="Q119" s="30"/>
    </row>
    <row r="120" spans="1:17" x14ac:dyDescent="0.25">
      <c r="A120" s="107" t="s">
        <v>287</v>
      </c>
      <c r="B120" s="87">
        <f>K17B!AB$58</f>
        <v>58.7</v>
      </c>
      <c r="C120" s="87">
        <f>VLOOKUP(AN_koko,TN_K17B_ryhmat[],28)</f>
        <v>61.671469740634002</v>
      </c>
      <c r="D120" s="87">
        <f>VLOOKUP(Etusivu!$B$9,TN_K17B_kunnat[],28,FALSE)</f>
        <v>39.130434782608695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0"/>
      <c r="Q120" s="30"/>
    </row>
    <row r="121" spans="1:17" x14ac:dyDescent="0.25">
      <c r="A121" s="107" t="s">
        <v>288</v>
      </c>
      <c r="B121" s="87">
        <f>K17B!AC$58</f>
        <v>59.9</v>
      </c>
      <c r="C121" s="87">
        <f>VLOOKUP(AN_koko,TN_K17B_ryhmat[],29)</f>
        <v>59.697732997481111</v>
      </c>
      <c r="D121" s="87">
        <f>VLOOKUP(Etusivu!$B$9,TN_K17B_kunnat[],29,FALSE)</f>
        <v>46.875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0"/>
      <c r="Q121" s="30"/>
    </row>
    <row r="122" spans="1:17" x14ac:dyDescent="0.25">
      <c r="A122" s="107" t="s">
        <v>289</v>
      </c>
      <c r="B122" s="87">
        <f>K17B!AD$58</f>
        <v>78.5</v>
      </c>
      <c r="C122" s="87">
        <f>VLOOKUP(AN_koko,TN_K17B_ryhmat[],30)</f>
        <v>75.100942126514127</v>
      </c>
      <c r="D122" s="87">
        <f>VLOOKUP(Etusivu!$B$9,TN_K17B_kunnat[],30,FALSE)</f>
        <v>63.157894736842103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0"/>
      <c r="Q122" s="30"/>
    </row>
    <row r="123" spans="1:17" x14ac:dyDescent="0.25">
      <c r="A123" s="107" t="s">
        <v>290</v>
      </c>
      <c r="B123" s="87">
        <f>K17B!AE$58</f>
        <v>91.1</v>
      </c>
      <c r="C123" s="87">
        <f>VLOOKUP(AN_koko,TN_K17B_ryhmat[],31)</f>
        <v>89.602446483180429</v>
      </c>
      <c r="D123" s="87">
        <f>VLOOKUP(Etusivu!$B$9,TN_K17B_kunnat[],31,FALSE)</f>
        <v>86.84210526315789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1:17" x14ac:dyDescent="0.25">
      <c r="A124" s="107" t="s">
        <v>291</v>
      </c>
      <c r="B124" s="87">
        <f>K17B!AF$58</f>
        <v>76.7</v>
      </c>
      <c r="C124" s="87">
        <f>VLOOKUP(AN_koko,TN_K17B_ryhmat[],32)</f>
        <v>70.210135970333752</v>
      </c>
      <c r="D124" s="87">
        <f>VLOOKUP(Etusivu!$B$9,TN_K17B_kunnat[],32,FALSE)</f>
        <v>40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1:17" x14ac:dyDescent="0.25">
      <c r="A125" s="107" t="s">
        <v>292</v>
      </c>
      <c r="B125" s="87">
        <f>K17B!AG$58</f>
        <v>79</v>
      </c>
      <c r="C125" s="87">
        <f>VLOOKUP(AN_koko,TN_K17B_ryhmat[],33)</f>
        <v>77.702702702702709</v>
      </c>
      <c r="D125" s="87">
        <f>VLOOKUP(Etusivu!$B$9,TN_K17B_kunnat[],33,FALSE)</f>
        <v>49.090909090909093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1:17" x14ac:dyDescent="0.25">
      <c r="A126" s="107" t="s">
        <v>293</v>
      </c>
      <c r="B126" s="87">
        <f>K17B!AH$58</f>
        <v>53.4</v>
      </c>
      <c r="C126" s="87">
        <f>VLOOKUP(AN_koko,TN_K17B_ryhmat[],34)</f>
        <v>53.698630136986303</v>
      </c>
      <c r="D126" s="87">
        <f>VLOOKUP(Etusivu!$B$9,TN_K17B_kunnat[],34,FALSE)</f>
        <v>40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1:17" ht="13" x14ac:dyDescent="0.3">
      <c r="A127" s="106" t="s">
        <v>294</v>
      </c>
      <c r="B127" s="102" t="str">
        <f>$B$3</f>
        <v>Kaikki ARTTU2-kunnat</v>
      </c>
      <c r="C127" s="87" t="str">
        <f>$C$3</f>
        <v>5000-10000 as. kunnat</v>
      </c>
      <c r="D127" s="87" t="str">
        <f>$D$3</f>
        <v>Askola</v>
      </c>
      <c r="E127" s="30"/>
      <c r="F127" s="23" t="str">
        <f>A127&amp;" "&amp;$A$90</f>
        <v xml:space="preserve">Tekniset palvelut: Miten kuntasi järjestämiä palveluja on mielestäsi hoidettu? Arvioi palvelujen/toimien hoitamista asteikolla 1 (erittäin huonosti) – 5 (erittäin hyvin).
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1:17" x14ac:dyDescent="0.25">
      <c r="A128" s="107" t="s">
        <v>295</v>
      </c>
      <c r="B128" s="87">
        <f>K17B!AI$58</f>
        <v>38.5</v>
      </c>
      <c r="C128" s="87">
        <f>VLOOKUP(AN_koko,TN_K17B_ryhmat[],35)</f>
        <v>35.945945945945944</v>
      </c>
      <c r="D128" s="87">
        <f>VLOOKUP(Etusivu!$B$9,TN_K17B_kunnat[],35,FALSE)</f>
        <v>31.03448275862069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1:17" x14ac:dyDescent="0.25">
      <c r="A129" s="107" t="s">
        <v>296</v>
      </c>
      <c r="B129" s="87">
        <f>K17B!AJ$58</f>
        <v>46.2</v>
      </c>
      <c r="C129" s="87">
        <f>VLOOKUP(AN_koko,TN_K17B_ryhmat[],36)</f>
        <v>52.44215938303342</v>
      </c>
      <c r="D129" s="87">
        <f>VLOOKUP(Etusivu!$B$9,TN_K17B_kunnat[],36,FALSE)</f>
        <v>45.161290322580648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1:17" x14ac:dyDescent="0.25">
      <c r="A130" s="107" t="s">
        <v>297</v>
      </c>
      <c r="B130" s="87">
        <f>K17B!AK$58</f>
        <v>50.9</v>
      </c>
      <c r="C130" s="87">
        <f>VLOOKUP(AN_koko,TN_K17B_ryhmat[],37)</f>
        <v>45.561497326203209</v>
      </c>
      <c r="D130" s="87">
        <f>VLOOKUP(Etusivu!$B$9,TN_K17B_kunnat[],37,FALSE)</f>
        <v>29.310344827586206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1:17" x14ac:dyDescent="0.25">
      <c r="A131" s="107" t="s">
        <v>298</v>
      </c>
      <c r="B131" s="87">
        <f>K17B!AL$58</f>
        <v>51</v>
      </c>
      <c r="C131" s="87">
        <f>VLOOKUP(AN_koko,TN_K17B_ryhmat[],38)</f>
        <v>49.402390438247011</v>
      </c>
      <c r="D131" s="87">
        <f>VLOOKUP(Etusivu!$B$9,TN_K17B_kunnat[],38,FALSE)</f>
        <v>67.5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1:17" x14ac:dyDescent="0.25">
      <c r="A132" s="107" t="s">
        <v>299</v>
      </c>
      <c r="B132" s="87">
        <f>K17B!AM$58</f>
        <v>82.2</v>
      </c>
      <c r="C132" s="87">
        <f>VLOOKUP(AN_koko,TN_K17B_ryhmat[],39)</f>
        <v>83.575489576753</v>
      </c>
      <c r="D132" s="87">
        <f>VLOOKUP(Etusivu!$B$9,TN_K17B_kunnat[],39,FALSE)</f>
        <v>91.34615384615384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1:17" x14ac:dyDescent="0.25">
      <c r="A133" s="107" t="s">
        <v>300</v>
      </c>
      <c r="B133" s="87">
        <f>K17B!AN$58</f>
        <v>78</v>
      </c>
      <c r="C133" s="87">
        <f>VLOOKUP(AN_koko,TN_K17B_ryhmat[],40)</f>
        <v>80.012077294685994</v>
      </c>
      <c r="D133" s="87">
        <f>VLOOKUP(Etusivu!$B$9,TN_K17B_kunnat[],40,FALSE)</f>
        <v>92.307692307692307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1:17" x14ac:dyDescent="0.25">
      <c r="A134" s="115" t="s">
        <v>353</v>
      </c>
      <c r="B134" s="87">
        <f>K17B!AO$58</f>
        <v>35.200000000000003</v>
      </c>
      <c r="C134" s="87">
        <f>VLOOKUP(AN_koko,TN_K17B_ryhmat[],41)</f>
        <v>32.661290322580648</v>
      </c>
      <c r="D134" s="87">
        <f>VLOOKUP(Etusivu!$B$9,TN_K17B_kunnat[],41,FALSE)</f>
        <v>36.697247706422019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1:17" x14ac:dyDescent="0.25">
      <c r="A135" s="115" t="s">
        <v>354</v>
      </c>
      <c r="B135" s="87">
        <f>K17B!AP$58</f>
        <v>71.400000000000006</v>
      </c>
      <c r="C135" s="87">
        <f>VLOOKUP(AN_koko,TN_K17B_ryhmat[],42)</f>
        <v>68.23379923761118</v>
      </c>
      <c r="D135" s="87">
        <f>VLOOKUP(Etusivu!$B$9,TN_K17B_kunnat[],42,FALSE)</f>
        <v>58.888888888888886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1:17" x14ac:dyDescent="0.25">
      <c r="A136" s="115" t="s">
        <v>355</v>
      </c>
      <c r="B136" s="87">
        <f>K17B!AQ$58</f>
        <v>40.799999999999997</v>
      </c>
      <c r="C136" s="87">
        <f>VLOOKUP(AN_koko,TN_K17B_ryhmat[],43)</f>
        <v>40.692640692640694</v>
      </c>
      <c r="D136" s="87">
        <f>VLOOKUP(Etusivu!$B$9,TN_K17B_kunnat[],43,FALSE)</f>
        <v>36.53846153846154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1:17" x14ac:dyDescent="0.25">
      <c r="A137" s="115" t="s">
        <v>356</v>
      </c>
      <c r="B137" s="87">
        <f>K17B!AR$58</f>
        <v>52.8</v>
      </c>
      <c r="C137" s="87">
        <f>VLOOKUP(AN_koko,TN_K17B_ryhmat[],44)</f>
        <v>53.361599030890368</v>
      </c>
      <c r="D137" s="87">
        <f>VLOOKUP(Etusivu!$B$9,TN_K17B_kunnat[],44,FALSE)</f>
        <v>51.485148514851488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1:17" ht="13" x14ac:dyDescent="0.3">
      <c r="A138" s="140" t="s">
        <v>734</v>
      </c>
      <c r="D138" s="18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 t="s">
        <v>733</v>
      </c>
      <c r="P138" s="30"/>
      <c r="Q138" s="30"/>
    </row>
    <row r="139" spans="1:17" ht="13" x14ac:dyDescent="0.3">
      <c r="A139" s="140" t="s">
        <v>257</v>
      </c>
      <c r="B139" s="102" t="str">
        <f>$B$3</f>
        <v>Kaikki ARTTU2-kunnat</v>
      </c>
      <c r="C139" s="87" t="str">
        <f>$C$3</f>
        <v>5000-10000 as. kunnat</v>
      </c>
      <c r="D139" s="87" t="str">
        <f>$D$3</f>
        <v>Askola</v>
      </c>
      <c r="E139" s="88" t="str">
        <f>$E$3</f>
        <v>N</v>
      </c>
      <c r="F139" s="23" t="str">
        <f>A139&amp;" "&amp;$A$138</f>
        <v xml:space="preserve">Terveyspalvelut: Miten arvioit kuntasi järjestämien palvelujen saatavuutta ja saavutettavuutta? Arvioi palvelujen saatavuutta ja saavutettavuutta asteikolla 1 (erittäin huono) – 5 (erittäin hyvä).
</v>
      </c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1:17" x14ac:dyDescent="0.25">
      <c r="A140" s="107" t="s">
        <v>258</v>
      </c>
      <c r="B140" s="87">
        <f>'K18'!B$61</f>
        <v>43.591945796354615</v>
      </c>
      <c r="C140" s="87">
        <f>VLOOKUP(AN_koko,TN_K18_ryhmat[],2)</f>
        <v>47.160068846815832</v>
      </c>
      <c r="D140" s="87">
        <f>VLOOKUP(Etusivu!$B$9,TN_K18_kunnat[],2,FALSE)</f>
        <v>33.644859813084111</v>
      </c>
      <c r="E140" s="149">
        <f>VLOOKUP(Etusivu!$B$9,TN_K18_kunnat[],41,FALSE)</f>
        <v>119</v>
      </c>
      <c r="F140" s="23" t="str">
        <f>Etusivu!$B$9&amp;": "&amp;E139&amp;" = "&amp;$I$1&amp;" "&amp;E140</f>
        <v>Askola: N = max. 119</v>
      </c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1:17" x14ac:dyDescent="0.25">
      <c r="A141" s="107" t="s">
        <v>259</v>
      </c>
      <c r="B141" s="87">
        <f>'K18'!C$61</f>
        <v>59.667612484799349</v>
      </c>
      <c r="C141" s="87">
        <f>VLOOKUP(AN_koko,TN_K18_ryhmat[],3)</f>
        <v>63.791008505467801</v>
      </c>
      <c r="D141" s="87">
        <f>VLOOKUP(Etusivu!$B$9,TN_K18_kunnat[],3,FALSE)</f>
        <v>63.265306122448976</v>
      </c>
      <c r="E141" s="30"/>
      <c r="F141" s="30" t="s">
        <v>723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1:17" x14ac:dyDescent="0.25">
      <c r="A142" s="107" t="s">
        <v>260</v>
      </c>
      <c r="B142" s="87">
        <f>'K18'!D$61</f>
        <v>43.477277865702014</v>
      </c>
      <c r="C142" s="87">
        <f>VLOOKUP(AN_koko,TN_K18_ryhmat[],4)</f>
        <v>48.56361149110807</v>
      </c>
      <c r="D142" s="87">
        <f>VLOOKUP(Etusivu!$B$9,TN_K18_kunnat[],4,FALSE)</f>
        <v>67.010309278350519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1:17" x14ac:dyDescent="0.25">
      <c r="A143" s="107" t="s">
        <v>261</v>
      </c>
      <c r="B143" s="87">
        <f>'K18'!E$61</f>
        <v>76.914016489988228</v>
      </c>
      <c r="C143" s="87">
        <f>VLOOKUP(AN_koko,TN_K18_ryhmat[],5)</f>
        <v>79.545454545454547</v>
      </c>
      <c r="D143" s="87">
        <f>VLOOKUP(Etusivu!$B$9,TN_K18_kunnat[],5,FALSE)</f>
        <v>77.142857142857139</v>
      </c>
    </row>
    <row r="144" spans="1:17" x14ac:dyDescent="0.25">
      <c r="A144" s="107" t="s">
        <v>262</v>
      </c>
      <c r="B144" s="87">
        <f>'K18'!F$61</f>
        <v>66.605886949726496</v>
      </c>
      <c r="C144" s="87">
        <f>VLOOKUP(AN_koko,TN_K18_ryhmat[],6)</f>
        <v>69.065849923430321</v>
      </c>
      <c r="D144" s="87">
        <f>VLOOKUP(Etusivu!$B$9,TN_K18_kunnat[],6,FALSE)</f>
        <v>70</v>
      </c>
    </row>
    <row r="145" spans="1:6" x14ac:dyDescent="0.25">
      <c r="A145" s="107" t="s">
        <v>263</v>
      </c>
      <c r="B145" s="87">
        <f>'K18'!G$61</f>
        <v>62.684458398744113</v>
      </c>
      <c r="C145" s="87">
        <f>VLOOKUP(AN_koko,TN_K18_ryhmat[],7)</f>
        <v>62.614913176710928</v>
      </c>
      <c r="D145" s="87">
        <f>VLOOKUP(Etusivu!$B$9,TN_K18_kunnat[],7,FALSE)</f>
        <v>52.727272727272727</v>
      </c>
    </row>
    <row r="146" spans="1:6" x14ac:dyDescent="0.25">
      <c r="A146" s="107" t="s">
        <v>264</v>
      </c>
      <c r="B146" s="87">
        <f>'K18'!H$61</f>
        <v>47.455386649041642</v>
      </c>
      <c r="C146" s="87">
        <f>VLOOKUP(AN_koko,TN_K18_ryhmat[],8)</f>
        <v>46.341463414634148</v>
      </c>
      <c r="D146" s="87">
        <f>VLOOKUP(Etusivu!$B$9,TN_K18_kunnat[],8,FALSE)</f>
        <v>65.517241379310349</v>
      </c>
    </row>
    <row r="147" spans="1:6" x14ac:dyDescent="0.25">
      <c r="A147" s="107" t="s">
        <v>265</v>
      </c>
      <c r="B147" s="87">
        <f>'K18'!I$61</f>
        <v>44.015957446808514</v>
      </c>
      <c r="C147" s="87">
        <f>VLOOKUP(AN_koko,TN_K18_ryhmat[],9)</f>
        <v>45.833333333333336</v>
      </c>
      <c r="D147" s="87">
        <f>VLOOKUP(Etusivu!$B$9,TN_K18_kunnat[],9,FALSE)</f>
        <v>35.294117647058826</v>
      </c>
    </row>
    <row r="148" spans="1:6" x14ac:dyDescent="0.25">
      <c r="A148" s="107" t="s">
        <v>266</v>
      </c>
      <c r="B148" s="87">
        <f>'K18'!J$61</f>
        <v>34.51097062104872</v>
      </c>
      <c r="C148" s="87">
        <f>VLOOKUP(AN_koko,TN_K18_ryhmat[],10)</f>
        <v>44.470588235294116</v>
      </c>
      <c r="D148" s="87">
        <f>VLOOKUP(Etusivu!$B$9,TN_K18_kunnat[],10,FALSE)</f>
        <v>28.571428571428573</v>
      </c>
    </row>
    <row r="149" spans="1:6" ht="13" x14ac:dyDescent="0.3">
      <c r="A149" s="106" t="s">
        <v>267</v>
      </c>
      <c r="B149" s="102" t="str">
        <f>$B$3</f>
        <v>Kaikki ARTTU2-kunnat</v>
      </c>
      <c r="C149" s="87" t="str">
        <f>$C$3</f>
        <v>5000-10000 as. kunnat</v>
      </c>
      <c r="D149" s="87" t="str">
        <f>$D$3</f>
        <v>Askola</v>
      </c>
      <c r="F149" s="23" t="str">
        <f>A149&amp;" "&amp;$A$138</f>
        <v xml:space="preserve">Sosiaalipalvelut: Miten arvioit kuntasi järjestämien palvelujen saatavuutta ja saavutettavuutta? Arvioi palvelujen saatavuutta ja saavutettavuutta asteikolla 1 (erittäin huono) – 5 (erittäin hyvä).
</v>
      </c>
    </row>
    <row r="150" spans="1:6" x14ac:dyDescent="0.25">
      <c r="A150" s="107" t="s">
        <v>268</v>
      </c>
      <c r="B150" s="87">
        <f>'K18'!K$61</f>
        <v>33.913721413721412</v>
      </c>
      <c r="C150" s="87">
        <f>VLOOKUP(AN_koko,TN_K18_ryhmat[],11)</f>
        <v>34.639498432601883</v>
      </c>
      <c r="D150" s="87">
        <f>VLOOKUP(Etusivu!$B$9,TN_K18_kunnat[],11,FALSE)</f>
        <v>28.571428571428573</v>
      </c>
    </row>
    <row r="151" spans="1:6" x14ac:dyDescent="0.25">
      <c r="A151" s="107" t="s">
        <v>269</v>
      </c>
      <c r="B151" s="87">
        <f>'K18'!L$61</f>
        <v>28.722002635046113</v>
      </c>
      <c r="C151" s="87">
        <f>VLOOKUP(AN_koko,TN_K18_ryhmat[],12)</f>
        <v>29.513343799058084</v>
      </c>
      <c r="D151" s="87">
        <f>VLOOKUP(Etusivu!$B$9,TN_K18_kunnat[],12,FALSE)</f>
        <v>32.5</v>
      </c>
    </row>
    <row r="152" spans="1:6" x14ac:dyDescent="0.25">
      <c r="A152" s="107" t="s">
        <v>270</v>
      </c>
      <c r="B152" s="87">
        <f>'K18'!M$61</f>
        <v>36.052287581699346</v>
      </c>
      <c r="C152" s="87">
        <f>VLOOKUP(AN_koko,TN_K18_ryhmat[],13)</f>
        <v>37.6</v>
      </c>
      <c r="D152" s="87">
        <f>VLOOKUP(Etusivu!$B$9,TN_K18_kunnat[],13,FALSE)</f>
        <v>47.058823529411768</v>
      </c>
    </row>
    <row r="153" spans="1:6" x14ac:dyDescent="0.25">
      <c r="A153" s="107" t="s">
        <v>271</v>
      </c>
      <c r="B153" s="87">
        <f>'K18'!N$61</f>
        <v>26.426133593369087</v>
      </c>
      <c r="C153" s="87">
        <f>VLOOKUP(AN_koko,TN_K18_ryhmat[],14)</f>
        <v>24.046920821114369</v>
      </c>
      <c r="D153" s="87">
        <f>VLOOKUP(Etusivu!$B$9,TN_K18_kunnat[],14,FALSE)</f>
        <v>33.333333333333336</v>
      </c>
    </row>
    <row r="154" spans="1:6" x14ac:dyDescent="0.25">
      <c r="A154" s="107" t="s">
        <v>272</v>
      </c>
      <c r="B154" s="87">
        <f>'K18'!O$61</f>
        <v>51.296829971181559</v>
      </c>
      <c r="C154" s="87">
        <f>VLOOKUP(AN_koko,TN_K18_ryhmat[],15)</f>
        <v>52.970297029702969</v>
      </c>
      <c r="D154" s="87">
        <f>VLOOKUP(Etusivu!$B$9,TN_K18_kunnat[],15,FALSE)</f>
        <v>55</v>
      </c>
    </row>
    <row r="155" spans="1:6" x14ac:dyDescent="0.25">
      <c r="A155" s="107" t="s">
        <v>273</v>
      </c>
      <c r="B155" s="87">
        <f>'K18'!P$61</f>
        <v>33.964945523448606</v>
      </c>
      <c r="C155" s="87">
        <f>VLOOKUP(AN_koko,TN_K18_ryhmat[],16)</f>
        <v>33.738601823708208</v>
      </c>
      <c r="D155" s="87">
        <f>VLOOKUP(Etusivu!$B$9,TN_K18_kunnat[],16,FALSE)</f>
        <v>29.411764705882351</v>
      </c>
    </row>
    <row r="156" spans="1:6" x14ac:dyDescent="0.25">
      <c r="A156" s="107" t="s">
        <v>275</v>
      </c>
      <c r="B156" s="87">
        <f>'K18'!Q$61</f>
        <v>40.74074074074074</v>
      </c>
      <c r="C156" s="87">
        <f>VLOOKUP(AN_koko,TN_K18_ryhmat[],17)</f>
        <v>38.481675392670155</v>
      </c>
      <c r="D156" s="87">
        <f>VLOOKUP(Etusivu!$B$9,TN_K18_kunnat[],17,FALSE)</f>
        <v>31.578947368421051</v>
      </c>
    </row>
    <row r="157" spans="1:6" x14ac:dyDescent="0.25">
      <c r="A157" s="107" t="s">
        <v>276</v>
      </c>
      <c r="B157" s="87">
        <f>'K18'!R$61</f>
        <v>29.909365558912388</v>
      </c>
      <c r="C157" s="87">
        <f>VLOOKUP(AN_koko,TN_K18_ryhmat[],18)</f>
        <v>34.563758389261743</v>
      </c>
      <c r="D157" s="87">
        <f>VLOOKUP(Etusivu!$B$9,TN_K18_kunnat[],18,FALSE)</f>
        <v>18.181818181818183</v>
      </c>
    </row>
    <row r="158" spans="1:6" x14ac:dyDescent="0.25">
      <c r="A158" s="107" t="s">
        <v>277</v>
      </c>
      <c r="B158" s="87">
        <f>'K18'!S$61</f>
        <v>27.752762996316005</v>
      </c>
      <c r="C158" s="87">
        <f>VLOOKUP(AN_koko,TN_K18_ryhmat[],19)</f>
        <v>29.154518950437318</v>
      </c>
      <c r="D158" s="87">
        <f>VLOOKUP(Etusivu!$B$9,TN_K18_kunnat[],19,FALSE)</f>
        <v>14.285714285714286</v>
      </c>
    </row>
    <row r="159" spans="1:6" ht="13" x14ac:dyDescent="0.3">
      <c r="A159" s="106" t="s">
        <v>278</v>
      </c>
      <c r="B159" s="102" t="str">
        <f>$B$3</f>
        <v>Kaikki ARTTU2-kunnat</v>
      </c>
      <c r="C159" s="87" t="str">
        <f>$C$3</f>
        <v>5000-10000 as. kunnat</v>
      </c>
      <c r="D159" s="87" t="str">
        <f>$D$3</f>
        <v>Askola</v>
      </c>
      <c r="F159" s="23" t="str">
        <f>A159&amp;" "&amp;$A$138</f>
        <v xml:space="preserve">Koulutus- ja sivistyspalvelut: Miten arvioit kuntasi järjestämien palvelujen saatavuutta ja saavutettavuutta? Arvioi palvelujen saatavuutta ja saavutettavuutta asteikolla 1 (erittäin huono) – 5 (erittäin hyvä).
</v>
      </c>
    </row>
    <row r="160" spans="1:6" x14ac:dyDescent="0.25">
      <c r="A160" s="107" t="s">
        <v>279</v>
      </c>
      <c r="B160" s="87">
        <f>'K18'!T$61</f>
        <v>72.144039735099341</v>
      </c>
      <c r="C160" s="87">
        <f>VLOOKUP(AN_koko,TN_K18_ryhmat[],20)</f>
        <v>74.303030303030297</v>
      </c>
      <c r="D160" s="87">
        <f>VLOOKUP(Etusivu!$B$9,TN_K18_kunnat[],20,FALSE)</f>
        <v>72.549019607843135</v>
      </c>
    </row>
    <row r="161" spans="1:6" x14ac:dyDescent="0.25">
      <c r="A161" s="107" t="s">
        <v>280</v>
      </c>
      <c r="B161" s="87">
        <f>'K18'!U$61</f>
        <v>82.081174438687398</v>
      </c>
      <c r="C161" s="87">
        <f>VLOOKUP(AN_koko,TN_K18_ryhmat[],21)</f>
        <v>83.395291201982658</v>
      </c>
      <c r="D161" s="87">
        <f>VLOOKUP(Etusivu!$B$9,TN_K18_kunnat[],21,FALSE)</f>
        <v>85.714285714285708</v>
      </c>
    </row>
    <row r="162" spans="1:6" x14ac:dyDescent="0.25">
      <c r="A162" s="107" t="s">
        <v>281</v>
      </c>
      <c r="B162" s="87">
        <f>'K18'!V$61</f>
        <v>85.016540182914966</v>
      </c>
      <c r="C162" s="87">
        <f>VLOOKUP(AN_koko,TN_K18_ryhmat[],22)</f>
        <v>85.857461024498889</v>
      </c>
      <c r="D162" s="87">
        <f>VLOOKUP(Etusivu!$B$9,TN_K18_kunnat[],22,FALSE)</f>
        <v>86.79245283018868</v>
      </c>
    </row>
    <row r="163" spans="1:6" x14ac:dyDescent="0.25">
      <c r="A163" s="107" t="s">
        <v>282</v>
      </c>
      <c r="B163" s="87">
        <f>'K18'!W$61</f>
        <v>82.837055417700583</v>
      </c>
      <c r="C163" s="87">
        <f>VLOOKUP(AN_koko,TN_K18_ryhmat[],23)</f>
        <v>83.27402135231317</v>
      </c>
      <c r="D163" s="87">
        <f>VLOOKUP(Etusivu!$B$9,TN_K18_kunnat[],23,FALSE)</f>
        <v>82.692307692307693</v>
      </c>
    </row>
    <row r="164" spans="1:6" x14ac:dyDescent="0.25">
      <c r="A164" s="107" t="s">
        <v>283</v>
      </c>
      <c r="B164" s="87">
        <f>'K18'!X$61</f>
        <v>76.70891335965095</v>
      </c>
      <c r="C164" s="87">
        <f>VLOOKUP(AN_koko,TN_K18_ryhmat[],24)</f>
        <v>74.033816425120776</v>
      </c>
      <c r="D164" s="87">
        <f>VLOOKUP(Etusivu!$B$9,TN_K18_kunnat[],24,FALSE)</f>
        <v>90</v>
      </c>
    </row>
    <row r="165" spans="1:6" x14ac:dyDescent="0.25">
      <c r="A165" s="107" t="s">
        <v>284</v>
      </c>
      <c r="B165" s="87">
        <f>'K18'!Y$61</f>
        <v>63.35078534031414</v>
      </c>
      <c r="C165" s="87">
        <f>VLOOKUP(AN_koko,TN_K18_ryhmat[],25)</f>
        <v>62.547288776796975</v>
      </c>
      <c r="D165" s="87">
        <f>VLOOKUP(Etusivu!$B$9,TN_K18_kunnat[],25,FALSE)</f>
        <v>82</v>
      </c>
    </row>
    <row r="166" spans="1:6" x14ac:dyDescent="0.25">
      <c r="A166" s="107" t="s">
        <v>285</v>
      </c>
      <c r="B166" s="87">
        <f>'K18'!Z$61</f>
        <v>54.938271604938272</v>
      </c>
      <c r="C166" s="87">
        <f>VLOOKUP(AN_koko,TN_K18_ryhmat[],26)</f>
        <v>53.980582524271846</v>
      </c>
      <c r="D166" s="87">
        <f>VLOOKUP(Etusivu!$B$9,TN_K18_kunnat[],26,FALSE)</f>
        <v>53.846153846153847</v>
      </c>
    </row>
    <row r="167" spans="1:6" x14ac:dyDescent="0.25">
      <c r="A167" s="107" t="s">
        <v>286</v>
      </c>
      <c r="B167" s="87">
        <f>'K18'!AA$61</f>
        <v>55.371900826446279</v>
      </c>
      <c r="C167" s="87">
        <f>VLOOKUP(AN_koko,TN_K18_ryhmat[],27)</f>
        <v>54.888888888888886</v>
      </c>
      <c r="D167" s="87">
        <f>VLOOKUP(Etusivu!$B$9,TN_K18_kunnat[],27,FALSE)</f>
        <v>60.869565217391305</v>
      </c>
    </row>
    <row r="168" spans="1:6" x14ac:dyDescent="0.25">
      <c r="A168" s="107" t="s">
        <v>287</v>
      </c>
      <c r="B168" s="87">
        <f>'K18'!AB$61</f>
        <v>59.565891472868216</v>
      </c>
      <c r="C168" s="87">
        <f>VLOOKUP(AN_koko,TN_K18_ryhmat[],28)</f>
        <v>61.347517730496456</v>
      </c>
      <c r="D168" s="87">
        <f>VLOOKUP(Etusivu!$B$9,TN_K18_kunnat[],28,FALSE)</f>
        <v>44.444444444444443</v>
      </c>
    </row>
    <row r="169" spans="1:6" x14ac:dyDescent="0.25">
      <c r="A169" s="107" t="s">
        <v>288</v>
      </c>
      <c r="B169" s="87">
        <f>'K18'!AC$61</f>
        <v>61.903367496339676</v>
      </c>
      <c r="C169" s="87">
        <f>VLOOKUP(AN_koko,TN_K18_ryhmat[],29)</f>
        <v>57.836990595611283</v>
      </c>
      <c r="D169" s="87">
        <f>VLOOKUP(Etusivu!$B$9,TN_K18_kunnat[],29,FALSE)</f>
        <v>51.282051282051285</v>
      </c>
    </row>
    <row r="170" spans="1:6" x14ac:dyDescent="0.25">
      <c r="A170" s="107" t="s">
        <v>289</v>
      </c>
      <c r="B170" s="87">
        <f>'K18'!AD$61</f>
        <v>75.329438934927325</v>
      </c>
      <c r="C170" s="87">
        <f>VLOOKUP(AN_koko,TN_K18_ryhmat[],30)</f>
        <v>73.688524590163937</v>
      </c>
      <c r="D170" s="87">
        <f>VLOOKUP(Etusivu!$B$9,TN_K18_kunnat[],30,FALSE)</f>
        <v>62.5</v>
      </c>
    </row>
    <row r="171" spans="1:6" x14ac:dyDescent="0.25">
      <c r="A171" s="107" t="s">
        <v>290</v>
      </c>
      <c r="B171" s="87">
        <f>'K18'!AE$61</f>
        <v>90.159494432741496</v>
      </c>
      <c r="C171" s="87">
        <f>VLOOKUP(AN_koko,TN_K18_ryhmat[],31)</f>
        <v>89.095415117719952</v>
      </c>
      <c r="D171" s="87">
        <f>VLOOKUP(Etusivu!$B$9,TN_K18_kunnat[],31,FALSE)</f>
        <v>83.15789473684211</v>
      </c>
    </row>
    <row r="172" spans="1:6" x14ac:dyDescent="0.25">
      <c r="A172" s="107" t="s">
        <v>291</v>
      </c>
      <c r="B172" s="87">
        <f>'K18'!AF$61</f>
        <v>72.68195413758724</v>
      </c>
      <c r="C172" s="87">
        <f>VLOOKUP(AN_koko,TN_K18_ryhmat[],32)</f>
        <v>65.876375952582563</v>
      </c>
      <c r="D172" s="87">
        <f>VLOOKUP(Etusivu!$B$9,TN_K18_kunnat[],32,FALSE)</f>
        <v>39.285714285714285</v>
      </c>
    </row>
    <row r="173" spans="1:6" x14ac:dyDescent="0.25">
      <c r="A173" s="107" t="s">
        <v>292</v>
      </c>
      <c r="B173" s="87">
        <f>'K18'!AG$61</f>
        <v>76.313953488372093</v>
      </c>
      <c r="C173" s="87">
        <f>VLOOKUP(AN_koko,TN_K18_ryhmat[],33)</f>
        <v>76.273653566229981</v>
      </c>
      <c r="D173" s="87">
        <f>VLOOKUP(Etusivu!$B$9,TN_K18_kunnat[],33,FALSE)</f>
        <v>55.421686746987952</v>
      </c>
    </row>
    <row r="174" spans="1:6" x14ac:dyDescent="0.25">
      <c r="A174" s="107" t="s">
        <v>293</v>
      </c>
      <c r="B174" s="87">
        <f>'K18'!AH$61</f>
        <v>53.391167192429023</v>
      </c>
      <c r="C174" s="87">
        <f>VLOOKUP(AN_koko,TN_K18_ryhmat[],34)</f>
        <v>53.881278538812786</v>
      </c>
      <c r="D174" s="87">
        <f>VLOOKUP(Etusivu!$B$9,TN_K18_kunnat[],34,FALSE)</f>
        <v>37.837837837837839</v>
      </c>
    </row>
    <row r="175" spans="1:6" ht="13" x14ac:dyDescent="0.3">
      <c r="A175" s="106" t="s">
        <v>294</v>
      </c>
      <c r="B175" s="102" t="str">
        <f>$B$3</f>
        <v>Kaikki ARTTU2-kunnat</v>
      </c>
      <c r="C175" s="87" t="str">
        <f>$C$3</f>
        <v>5000-10000 as. kunnat</v>
      </c>
      <c r="D175" s="87" t="str">
        <f>$D$3</f>
        <v>Askola</v>
      </c>
      <c r="F175" s="23" t="str">
        <f>A175&amp;" "&amp;$A$138</f>
        <v xml:space="preserve">Tekniset palvelut: Miten arvioit kuntasi järjestämien palvelujen saatavuutta ja saavutettavuutta? Arvioi palvelujen saatavuutta ja saavutettavuutta asteikolla 1 (erittäin huono) – 5 (erittäin hyvä).
</v>
      </c>
    </row>
    <row r="176" spans="1:6" x14ac:dyDescent="0.25">
      <c r="A176" s="107" t="s">
        <v>295</v>
      </c>
      <c r="B176" s="87">
        <f>'K18'!AI$61</f>
        <v>35.742505228910062</v>
      </c>
      <c r="C176" s="87">
        <f>VLOOKUP(AN_koko,TN_K18_ryhmat[],35)</f>
        <v>35.976505139500738</v>
      </c>
      <c r="D176" s="87">
        <f>VLOOKUP(Etusivu!$B$9,TN_K18_kunnat[],35,FALSE)</f>
        <v>19.512195121951219</v>
      </c>
    </row>
    <row r="177" spans="1:6" x14ac:dyDescent="0.25">
      <c r="A177" s="107" t="s">
        <v>296</v>
      </c>
      <c r="B177" s="87">
        <f>'K18'!AJ$61</f>
        <v>44.045761830473218</v>
      </c>
      <c r="C177" s="87">
        <f>VLOOKUP(AN_koko,TN_K18_ryhmat[],36)</f>
        <v>46.601941747572816</v>
      </c>
      <c r="D177" s="87">
        <f>VLOOKUP(Etusivu!$B$9,TN_K18_kunnat[],36,FALSE)</f>
        <v>40</v>
      </c>
    </row>
    <row r="178" spans="1:6" x14ac:dyDescent="0.25">
      <c r="A178" s="107" t="s">
        <v>297</v>
      </c>
      <c r="B178" s="87">
        <f>'K18'!AK$61</f>
        <v>44.79991204925242</v>
      </c>
      <c r="C178" s="87">
        <f>VLOOKUP(AN_koko,TN_K18_ryhmat[],37)</f>
        <v>38.888888888888886</v>
      </c>
      <c r="D178" s="87">
        <f>VLOOKUP(Etusivu!$B$9,TN_K18_kunnat[],37,FALSE)</f>
        <v>17.241379310344829</v>
      </c>
    </row>
    <row r="179" spans="1:6" x14ac:dyDescent="0.25">
      <c r="A179" s="107" t="s">
        <v>298</v>
      </c>
      <c r="B179" s="87">
        <f>'K18'!AM$61</f>
        <v>79.367290091524069</v>
      </c>
      <c r="C179" s="87">
        <f>VLOOKUP(AN_koko,TN_K18_ryhmat[],38)</f>
        <v>50.550964187327821</v>
      </c>
      <c r="D179" s="87">
        <f>VLOOKUP(Etusivu!$B$9,TN_K18_kunnat[],38,FALSE)</f>
        <v>57.142857142857146</v>
      </c>
    </row>
    <row r="180" spans="1:6" x14ac:dyDescent="0.25">
      <c r="A180" s="107" t="s">
        <v>299</v>
      </c>
      <c r="B180" s="87">
        <f>'K18'!AN$61</f>
        <v>75.648511534411796</v>
      </c>
      <c r="C180" s="87">
        <f>VLOOKUP(AN_koko,TN_K18_ryhmat[],39)</f>
        <v>81.399521531100476</v>
      </c>
      <c r="D180" s="87">
        <f>VLOOKUP(Etusivu!$B$9,TN_K18_kunnat[],39,FALSE)</f>
        <v>84.545454545454547</v>
      </c>
    </row>
    <row r="181" spans="1:6" x14ac:dyDescent="0.25">
      <c r="A181" s="107" t="s">
        <v>300</v>
      </c>
      <c r="B181" s="87">
        <f>'K18'!AJ$61</f>
        <v>44.045761830473218</v>
      </c>
      <c r="C181" s="87">
        <f>VLOOKUP(AN_koko,TN_K18_ryhmat[],40)</f>
        <v>78.612716763005778</v>
      </c>
      <c r="D181" s="87">
        <f>VLOOKUP(Etusivu!$B$9,TN_K18_kunnat[],40,FALSE)</f>
        <v>85.217391304347828</v>
      </c>
    </row>
    <row r="182" spans="1:6" ht="13" x14ac:dyDescent="0.25">
      <c r="A182" s="75" t="s">
        <v>743</v>
      </c>
      <c r="B182" s="54"/>
      <c r="C182" s="54"/>
      <c r="D182" s="54"/>
    </row>
    <row r="183" spans="1:6" x14ac:dyDescent="0.25">
      <c r="B183" s="102" t="str">
        <f>$B$3</f>
        <v>Kaikki ARTTU2-kunnat</v>
      </c>
      <c r="C183" s="87" t="str">
        <f>$C$3</f>
        <v>5000-10000 as. kunnat</v>
      </c>
      <c r="D183" s="87" t="str">
        <f>$D$3</f>
        <v>Askola</v>
      </c>
      <c r="E183" s="88" t="str">
        <f>$E$3</f>
        <v>N</v>
      </c>
      <c r="F183" s="23" t="str">
        <f>A182</f>
        <v>K20A: Oletko itse tai perheenjäsenesi käyttänyt yksityisiä, ts. itse ostamiasi ja maksamiasi palveluita viimeisen 12 kuukauden aikana?</v>
      </c>
    </row>
    <row r="184" spans="1:6" x14ac:dyDescent="0.25">
      <c r="A184" s="115" t="s">
        <v>409</v>
      </c>
      <c r="B184" s="87">
        <f>K20A!B$58</f>
        <v>59.478901658040179</v>
      </c>
      <c r="C184" s="87">
        <f>VLOOKUP(AN_koko,TN_K20A_ryhmat[],2)</f>
        <v>59.763948497854081</v>
      </c>
      <c r="D184" s="87">
        <f>VLOOKUP(Etusivu!$B$9,TN_K20A_kunnat[],2,FALSE)</f>
        <v>71.186440677966104</v>
      </c>
      <c r="E184" s="149">
        <f>VLOOKUP(Etusivu!$B$9,TN_K20A_kunnat[],8,FALSE)</f>
        <v>119</v>
      </c>
      <c r="F184" s="23" t="str">
        <f>Etusivu!$B$9&amp;": "&amp;E183&amp;" = "&amp;$I$1&amp;" "&amp;E184</f>
        <v>Askola: N = max. 119</v>
      </c>
    </row>
    <row r="185" spans="1:6" x14ac:dyDescent="0.25">
      <c r="A185" s="115" t="s">
        <v>260</v>
      </c>
      <c r="B185" s="87">
        <f>K20A!C$58</f>
        <v>48.022749489025152</v>
      </c>
      <c r="C185" s="87">
        <f>VLOOKUP(AN_koko,TN_K20A_ryhmat[],3)</f>
        <v>46.587215601300109</v>
      </c>
      <c r="D185" s="87">
        <f>VLOOKUP(Etusivu!$B$9,TN_K20A_kunnat[],3,FALSE)</f>
        <v>31.304347826086957</v>
      </c>
      <c r="F185" s="23" t="s">
        <v>401</v>
      </c>
    </row>
    <row r="186" spans="1:6" x14ac:dyDescent="0.25">
      <c r="A186" s="115" t="s">
        <v>279</v>
      </c>
      <c r="B186" s="87">
        <f>K20A!D$58</f>
        <v>2.7394654237610578</v>
      </c>
      <c r="C186" s="87">
        <f>VLOOKUP(AN_koko,TN_K20A_ryhmat[],4)</f>
        <v>2.3781902552204177</v>
      </c>
      <c r="D186" s="87">
        <f>VLOOKUP(Etusivu!$B$9,TN_K20A_kunnat[],4,FALSE)</f>
        <v>0.93457943925233644</v>
      </c>
    </row>
    <row r="187" spans="1:6" x14ac:dyDescent="0.25">
      <c r="A187" s="115" t="s">
        <v>410</v>
      </c>
      <c r="B187" s="87">
        <f>K20A!E$58</f>
        <v>2.8155706727135299</v>
      </c>
      <c r="C187" s="87">
        <f>VLOOKUP(AN_koko,TN_K20A_ryhmat[],5)</f>
        <v>3.2332563510392611</v>
      </c>
      <c r="D187" s="87">
        <f>VLOOKUP(Etusivu!$B$9,TN_K20A_kunnat[],5,FALSE)</f>
        <v>3.669724770642202</v>
      </c>
    </row>
    <row r="188" spans="1:6" x14ac:dyDescent="0.25">
      <c r="A188" s="115" t="s">
        <v>268</v>
      </c>
      <c r="B188" s="87">
        <f>K20A!F$58</f>
        <v>1.5894039735099337</v>
      </c>
      <c r="C188" s="87">
        <f>VLOOKUP(AN_koko,TN_K20A_ryhmat[],6)</f>
        <v>1.7908723281340266</v>
      </c>
      <c r="D188" s="87">
        <f>VLOOKUP(Etusivu!$B$9,TN_K20A_kunnat[],6,FALSE)</f>
        <v>0.93457943925233644</v>
      </c>
    </row>
    <row r="189" spans="1:6" x14ac:dyDescent="0.25">
      <c r="A189" s="115" t="s">
        <v>269</v>
      </c>
      <c r="B189" s="87">
        <f>K20A!G$58</f>
        <v>1.3394129381590196</v>
      </c>
      <c r="C189" s="87">
        <f>VLOOKUP(AN_koko,TN_K20A_ryhmat[],7)</f>
        <v>1.3864818024263432</v>
      </c>
      <c r="D189" s="87">
        <f>VLOOKUP(Etusivu!$B$9,TN_K20A_kunnat[],7,FALSE)</f>
        <v>1.8518518518518519</v>
      </c>
    </row>
    <row r="190" spans="1:6" ht="208" x14ac:dyDescent="0.3">
      <c r="A190" s="120" t="s">
        <v>751</v>
      </c>
      <c r="B190" s="54"/>
      <c r="C190" s="54"/>
      <c r="D190" s="54"/>
    </row>
    <row r="191" spans="1:6" x14ac:dyDescent="0.25">
      <c r="A191" s="70"/>
      <c r="B191" s="102" t="str">
        <f>$B$3</f>
        <v>Kaikki ARTTU2-kunnat</v>
      </c>
      <c r="C191" s="87" t="str">
        <f>$C$3</f>
        <v>5000-10000 as. kunnat</v>
      </c>
      <c r="D191" s="87" t="str">
        <f>$D$3</f>
        <v>Askola</v>
      </c>
      <c r="E191" s="88" t="str">
        <f>$E$3</f>
        <v>N</v>
      </c>
      <c r="F191" s="23" t="str">
        <f>A190</f>
        <v xml:space="preserve">K20B: Arvio yksityisen palvelun laadusta suhteessa vastaavaan kunnalliseen palveluun. Arvioi palvelun laatua asteikolla 1 (huonompi) - 3 (parempi).
</v>
      </c>
    </row>
    <row r="192" spans="1:6" x14ac:dyDescent="0.25">
      <c r="A192" s="115" t="s">
        <v>409</v>
      </c>
      <c r="B192" s="87">
        <f>K20A!B$58</f>
        <v>59.478901658040179</v>
      </c>
      <c r="C192" s="87">
        <f>VLOOKUP(AN_koko,TN_K20B_ryhmat[],2)</f>
        <v>67.822222222222223</v>
      </c>
      <c r="D192" s="87">
        <f>VLOOKUP(Etusivu!$B$9,TN_K20B_kunnat[],2,FALSE)</f>
        <v>61.904761904761905</v>
      </c>
      <c r="E192" s="149">
        <f>VLOOKUP(Etusivu!$B$9,TN_K20B_kunnat[],4,FALSE)</f>
        <v>119</v>
      </c>
      <c r="F192" s="23" t="str">
        <f>Etusivu!$B$9&amp;": "&amp;E191&amp;" = "&amp;$I$1&amp;" "&amp;E192</f>
        <v>Askola: N = max. 119</v>
      </c>
    </row>
    <row r="193" spans="1:6" x14ac:dyDescent="0.25">
      <c r="A193" s="115" t="s">
        <v>260</v>
      </c>
      <c r="B193" s="87">
        <f>K20A!C$58</f>
        <v>48.022749489025152</v>
      </c>
      <c r="C193" s="87">
        <f>VLOOKUP(AN_koko,TN_K20B_ryhmat[],3)</f>
        <v>64.087759815242492</v>
      </c>
      <c r="D193" s="87">
        <f>VLOOKUP(Etusivu!$B$9,TN_K20B_kunnat[],3,FALSE)</f>
        <v>30.864197530864196</v>
      </c>
      <c r="F193" s="23" t="s">
        <v>750</v>
      </c>
    </row>
    <row r="194" spans="1:6" ht="13" x14ac:dyDescent="0.25">
      <c r="A194" s="75" t="s">
        <v>752</v>
      </c>
      <c r="B194" s="54"/>
      <c r="C194" s="54"/>
      <c r="D194" s="54"/>
    </row>
    <row r="195" spans="1:6" x14ac:dyDescent="0.25">
      <c r="A195" s="70"/>
      <c r="B195" s="102" t="str">
        <f>$B$3</f>
        <v>Kaikki ARTTU2-kunnat</v>
      </c>
      <c r="C195" s="87" t="str">
        <f>$C$3</f>
        <v>5000-10000 as. kunnat</v>
      </c>
      <c r="D195" s="87" t="str">
        <f>$D$3</f>
        <v>Askola</v>
      </c>
      <c r="E195" s="88" t="str">
        <f>$E$3</f>
        <v>N</v>
      </c>
      <c r="F195" s="23" t="str">
        <f>A194</f>
        <v>K25: Kuinka kiinnostunut olet oman kuntasi kunnallispolitiikasta? Arvioi asteikolla 1 (en lainkaan kiinnostunut) - 5 (erittäin kiinnostunut).</v>
      </c>
    </row>
    <row r="196" spans="1:6" ht="11.5" customHeight="1" x14ac:dyDescent="0.25">
      <c r="A196" s="141" t="s">
        <v>418</v>
      </c>
      <c r="B196" s="87">
        <f>'K25'!B$59</f>
        <v>31.379783765230822</v>
      </c>
      <c r="C196" s="87">
        <f>VLOOKUP(AN_koko,TN_K25_ryhmat[],2)</f>
        <v>31.94588969823101</v>
      </c>
      <c r="D196" s="87">
        <f>VLOOKUP(Etusivu!$B$9,TN_K25_kunnat[],2,FALSE)</f>
        <v>48.305084745762713</v>
      </c>
      <c r="E196" s="149">
        <f>VLOOKUP(Etusivu!$B$9,TN_K25_kunnat[],5,FALSE)</f>
        <v>119</v>
      </c>
      <c r="F196" s="23" t="str">
        <f>Etusivu!$B$9&amp;": "&amp;E195&amp;" = "&amp;$I$1&amp;" "&amp;E196</f>
        <v>Askola: N = max. 119</v>
      </c>
    </row>
    <row r="197" spans="1:6" x14ac:dyDescent="0.25">
      <c r="A197" s="141" t="s">
        <v>419</v>
      </c>
      <c r="B197" s="87">
        <f>'K25'!C$59</f>
        <v>35.798867341685259</v>
      </c>
      <c r="C197" s="87">
        <f>VLOOKUP(AN_koko,TN_K25_ryhmat[],3)</f>
        <v>34.495317377731531</v>
      </c>
      <c r="D197" s="87">
        <f>VLOOKUP(Etusivu!$B$9,TN_K25_kunnat[],3,FALSE)</f>
        <v>23.728813559322035</v>
      </c>
    </row>
    <row r="198" spans="1:6" x14ac:dyDescent="0.25">
      <c r="A198" s="141" t="s">
        <v>420</v>
      </c>
      <c r="B198" s="87">
        <f>'K25'!D$59</f>
        <v>32.821348893083922</v>
      </c>
      <c r="C198" s="87">
        <f>VLOOKUP(AN_koko,TN_K25_ryhmat[],4)</f>
        <v>33.558792924037462</v>
      </c>
      <c r="D198" s="87">
        <f>VLOOKUP(Etusivu!$B$9,TN_K25_kunnat[],4,FALSE)</f>
        <v>27.966101694915253</v>
      </c>
    </row>
    <row r="199" spans="1:6" ht="13" x14ac:dyDescent="0.25">
      <c r="A199" s="75" t="s">
        <v>653</v>
      </c>
      <c r="B199" s="54"/>
      <c r="C199" s="54"/>
      <c r="D199" s="54"/>
    </row>
    <row r="200" spans="1:6" x14ac:dyDescent="0.25">
      <c r="B200" s="102" t="str">
        <f>$B$3</f>
        <v>Kaikki ARTTU2-kunnat</v>
      </c>
      <c r="C200" s="87" t="str">
        <f>$C$3</f>
        <v>5000-10000 as. kunnat</v>
      </c>
      <c r="D200" s="87" t="str">
        <f>$D$3</f>
        <v>Askola</v>
      </c>
      <c r="E200" s="88" t="str">
        <f>$E$3</f>
        <v>N</v>
      </c>
      <c r="F200" s="23" t="str">
        <f>A199</f>
        <v>K26: Seuraatko kuntasi toimintaa ja päätöksentekoa seuraavien kanavien välityksellä? Vastaa asteikolla 1 (en lainkaan), 2 (harvoin), 3 (silloin tällöin), 4 (usein).</v>
      </c>
    </row>
    <row r="201" spans="1:6" x14ac:dyDescent="0.25">
      <c r="A201" s="23" t="s">
        <v>662</v>
      </c>
      <c r="B201" s="87">
        <f>'K26'!B$59</f>
        <v>67.844835203675885</v>
      </c>
      <c r="C201" s="87">
        <f>VLOOKUP(AN_koko,TN_K26_ryhmat[],2)</f>
        <v>74.0053050397878</v>
      </c>
      <c r="D201" s="87">
        <f>VLOOKUP(Etusivu!$B$9,TN_K26_kunnat[],2,FALSE)</f>
        <v>56.25</v>
      </c>
      <c r="E201" s="149">
        <f>VLOOKUP(Etusivu!$B$9,TN_K26_kunnat[],10,FALSE)</f>
        <v>119</v>
      </c>
      <c r="F201" s="23" t="str">
        <f>Etusivu!$B$9&amp;": "&amp;E200&amp;" = "&amp;$I$1&amp;" "&amp;E201</f>
        <v>Askola: N = max. 119</v>
      </c>
    </row>
    <row r="202" spans="1:6" x14ac:dyDescent="0.25">
      <c r="A202" s="23" t="s">
        <v>663</v>
      </c>
      <c r="B202" s="87">
        <f>'K26'!C$59</f>
        <v>81.736189402480264</v>
      </c>
      <c r="C202" s="87">
        <f>VLOOKUP(AN_koko,TN_K26_ryhmat[],3)</f>
        <v>84.453781512605048</v>
      </c>
      <c r="D202" s="87">
        <f>VLOOKUP(Etusivu!$B$9,TN_K26_kunnat[],3,FALSE)</f>
        <v>79.464285714285708</v>
      </c>
      <c r="F202" s="23" t="str">
        <f>'K26'!A3</f>
        <v>% vastanneista seuraa silloin tällöin tai usein (3+4)</v>
      </c>
    </row>
    <row r="203" spans="1:6" x14ac:dyDescent="0.25">
      <c r="A203" s="23" t="s">
        <v>664</v>
      </c>
      <c r="B203" s="87">
        <f>'K26'!D$59</f>
        <v>59.173568599207776</v>
      </c>
      <c r="C203" s="87">
        <f>VLOOKUP(AN_koko,TN_K26_ryhmat[],4)</f>
        <v>59.923034634414513</v>
      </c>
      <c r="D203" s="87">
        <f>VLOOKUP(Etusivu!$B$9,TN_K26_kunnat[],4,FALSE)</f>
        <v>67.272727272727266</v>
      </c>
    </row>
    <row r="204" spans="1:6" x14ac:dyDescent="0.25">
      <c r="A204" s="23" t="s">
        <v>665</v>
      </c>
      <c r="B204" s="87">
        <f>'K26'!E$59</f>
        <v>33.633633633633636</v>
      </c>
      <c r="C204" s="87">
        <f>VLOOKUP(AN_koko,TN_K26_ryhmat[],5)</f>
        <v>33.886124930901047</v>
      </c>
      <c r="D204" s="87">
        <f>VLOOKUP(Etusivu!$B$9,TN_K26_kunnat[],5,FALSE)</f>
        <v>34.545454545454547</v>
      </c>
    </row>
    <row r="205" spans="1:6" x14ac:dyDescent="0.25">
      <c r="A205" s="23" t="s">
        <v>666</v>
      </c>
      <c r="B205" s="87">
        <f>'K26'!F$59</f>
        <v>69.98595012293643</v>
      </c>
      <c r="C205" s="87">
        <f>VLOOKUP(AN_koko,TN_K26_ryhmat[],6)</f>
        <v>70.304975922953446</v>
      </c>
      <c r="D205" s="87">
        <f>VLOOKUP(Etusivu!$B$9,TN_K26_kunnat[],6,FALSE)</f>
        <v>51.327433628318587</v>
      </c>
    </row>
    <row r="206" spans="1:6" x14ac:dyDescent="0.25">
      <c r="A206" s="23" t="s">
        <v>667</v>
      </c>
      <c r="B206" s="87">
        <f>'K26'!G$59</f>
        <v>27.242162653339392</v>
      </c>
      <c r="C206" s="87">
        <f>VLOOKUP(AN_koko,TN_K26_ryhmat[],7)</f>
        <v>28.911000552791599</v>
      </c>
      <c r="D206" s="87">
        <f>VLOOKUP(Etusivu!$B$9,TN_K26_kunnat[],7,FALSE)</f>
        <v>46.363636363636367</v>
      </c>
    </row>
    <row r="207" spans="1:6" x14ac:dyDescent="0.25">
      <c r="A207" s="23" t="s">
        <v>668</v>
      </c>
      <c r="B207" s="87">
        <f>'K26'!H$59</f>
        <v>14.503955624261161</v>
      </c>
      <c r="C207" s="87">
        <f>VLOOKUP(AN_koko,TN_K26_ryhmat[],8)</f>
        <v>15.562913907284768</v>
      </c>
      <c r="D207" s="87">
        <f>VLOOKUP(Etusivu!$B$9,TN_K26_kunnat[],8,FALSE)</f>
        <v>25.225225225225227</v>
      </c>
    </row>
    <row r="208" spans="1:6" x14ac:dyDescent="0.25">
      <c r="A208" s="23" t="s">
        <v>669</v>
      </c>
      <c r="B208" s="87">
        <f>'K26'!I$59</f>
        <v>26.866342867422198</v>
      </c>
      <c r="C208" s="87">
        <f>VLOOKUP(AN_koko,TN_K26_ryhmat[],9)</f>
        <v>27.233115468409586</v>
      </c>
      <c r="D208" s="87">
        <f>VLOOKUP(Etusivu!$B$9,TN_K26_kunnat[],9,FALSE)</f>
        <v>36.936936936936938</v>
      </c>
    </row>
    <row r="209" spans="1:6" ht="13" x14ac:dyDescent="0.3">
      <c r="A209" s="49" t="s">
        <v>434</v>
      </c>
    </row>
    <row r="210" spans="1:6" x14ac:dyDescent="0.25">
      <c r="B210" s="102" t="str">
        <f>$B$3</f>
        <v>Kaikki ARTTU2-kunnat</v>
      </c>
      <c r="C210" s="87" t="str">
        <f>$C$3</f>
        <v>5000-10000 as. kunnat</v>
      </c>
      <c r="D210" s="87" t="str">
        <f>$D$3</f>
        <v>Askola</v>
      </c>
      <c r="E210" s="88" t="str">
        <f>$E$3</f>
        <v>N</v>
      </c>
      <c r="F210" s="23" t="str">
        <f>A209</f>
        <v>K27: Oletko toiminut tai toimitko jossain kunnallisessa luottamustehtävässä?</v>
      </c>
    </row>
    <row r="211" spans="1:6" x14ac:dyDescent="0.25">
      <c r="A211" s="23" t="s">
        <v>670</v>
      </c>
      <c r="B211" s="87">
        <f>'K27'!B$57</f>
        <v>88.464509484164452</v>
      </c>
      <c r="C211" s="87">
        <f>VLOOKUP(AN_koko,TN_K27_ryhmat[],2)</f>
        <v>86.325678496868477</v>
      </c>
      <c r="D211" s="87">
        <f>VLOOKUP(Etusivu!$B$9,TN_K27_kunnat[],2,FALSE)</f>
        <v>82.051282051282058</v>
      </c>
      <c r="E211" s="149">
        <f>VLOOKUP(Etusivu!$B$9,TN_K27_kunnat[],5,FALSE)</f>
        <v>119</v>
      </c>
      <c r="F211" s="23" t="str">
        <f>Etusivu!$B$9&amp;": "&amp;E210&amp;" = "&amp;$I$1&amp;" "&amp;E211</f>
        <v>Askola: N = max. 119</v>
      </c>
    </row>
    <row r="212" spans="1:6" x14ac:dyDescent="0.25">
      <c r="A212" s="23" t="s">
        <v>671</v>
      </c>
      <c r="B212" s="87">
        <f>'K27'!C$57</f>
        <v>10.03347352158613</v>
      </c>
      <c r="C212" s="87">
        <f>VLOOKUP(AN_koko,TN_K27_ryhmat[],3)</f>
        <v>12.004175365344468</v>
      </c>
      <c r="D212" s="87">
        <f>VLOOKUP(Etusivu!$B$9,TN_K27_kunnat[],3,FALSE)</f>
        <v>15.384615384615385</v>
      </c>
      <c r="F212" s="23" t="s">
        <v>744</v>
      </c>
    </row>
    <row r="213" spans="1:6" x14ac:dyDescent="0.25">
      <c r="A213" s="23" t="s">
        <v>672</v>
      </c>
      <c r="B213" s="87">
        <f>'K27'!D$57</f>
        <v>1.5020169942494206</v>
      </c>
      <c r="C213" s="87">
        <f>VLOOKUP(AN_koko,TN_K27_ryhmat[],4)</f>
        <v>1.6701461377870563</v>
      </c>
      <c r="D213" s="87">
        <f>VLOOKUP(Etusivu!$B$9,TN_K27_kunnat[],4,FALSE)</f>
        <v>2.5641025641025643</v>
      </c>
    </row>
    <row r="214" spans="1:6" ht="13" x14ac:dyDescent="0.3">
      <c r="A214" s="49" t="s">
        <v>739</v>
      </c>
    </row>
    <row r="215" spans="1:6" x14ac:dyDescent="0.25">
      <c r="B215" s="102" t="str">
        <f>$B$3</f>
        <v>Kaikki ARTTU2-kunnat</v>
      </c>
      <c r="C215" s="87" t="str">
        <f>$C$3</f>
        <v>5000-10000 as. kunnat</v>
      </c>
      <c r="D215" s="87" t="str">
        <f>$D$3</f>
        <v>Askola</v>
      </c>
      <c r="E215" s="88" t="str">
        <f>$E$3</f>
        <v>N</v>
      </c>
      <c r="F215" s="23" t="str">
        <f>A214</f>
        <v>K28: Olisitko halukas ottamaan vastaan sinulle tarjottavan kunnallisen luottamustehtävän? (%)</v>
      </c>
    </row>
    <row r="216" spans="1:6" x14ac:dyDescent="0.25">
      <c r="A216" s="23" t="s">
        <v>673</v>
      </c>
      <c r="B216" s="87">
        <f>'K28'!B$56</f>
        <v>73.791152263374485</v>
      </c>
      <c r="C216" s="87">
        <f>VLOOKUP(AN_koko,TN_K28_ryhmat[],2)</f>
        <v>76.15584415584415</v>
      </c>
      <c r="D216" s="87">
        <f>VLOOKUP(Etusivu!$B$9,TN_K28_kunnat[],2,FALSE)</f>
        <v>79.310344827586206</v>
      </c>
      <c r="E216" s="149">
        <f>VLOOKUP(Etusivu!$B$9,TN_K28_kunnat[],5,FALSE)</f>
        <v>119</v>
      </c>
      <c r="F216" s="23" t="str">
        <f>Etusivu!$B$9&amp;": "&amp;E215&amp;" = "&amp;$I$1&amp;" "&amp;E216</f>
        <v>Askola: N = max. 119</v>
      </c>
    </row>
    <row r="217" spans="1:6" x14ac:dyDescent="0.25">
      <c r="A217" s="23" t="s">
        <v>674</v>
      </c>
      <c r="B217" s="87">
        <f>'K28'!C$56</f>
        <v>21.227709190672154</v>
      </c>
      <c r="C217" s="87">
        <f>VLOOKUP(AN_koko,TN_K28_ryhmat[],3)</f>
        <v>19.584415584415584</v>
      </c>
      <c r="D217" s="87">
        <f>VLOOKUP(Etusivu!$B$9,TN_K28_kunnat[],3,FALSE)</f>
        <v>17.241379310344829</v>
      </c>
    </row>
    <row r="218" spans="1:6" x14ac:dyDescent="0.25">
      <c r="A218" s="23" t="s">
        <v>675</v>
      </c>
      <c r="B218" s="87">
        <f>'K28'!D$56</f>
        <v>4.9811385459533604</v>
      </c>
      <c r="C218" s="87">
        <f>VLOOKUP(AN_koko,TN_K28_ryhmat[],4)</f>
        <v>4.2597402597402594</v>
      </c>
      <c r="D218" s="87">
        <f>VLOOKUP(Etusivu!$B$9,TN_K28_kunnat[],4,FALSE)</f>
        <v>3.4482758620689653</v>
      </c>
    </row>
    <row r="219" spans="1:6" x14ac:dyDescent="0.25">
      <c r="A219" s="142" t="s">
        <v>740</v>
      </c>
    </row>
    <row r="220" spans="1:6" x14ac:dyDescent="0.25">
      <c r="B220" s="102" t="str">
        <f>$B$3</f>
        <v>Kaikki ARTTU2-kunnat</v>
      </c>
      <c r="C220" s="87" t="str">
        <f>$C$3</f>
        <v>5000-10000 as. kunnat</v>
      </c>
      <c r="D220" s="87" t="str">
        <f>$D$3</f>
        <v>Askola</v>
      </c>
      <c r="E220" s="88" t="str">
        <f>$E$3</f>
        <v>N</v>
      </c>
      <c r="F220" s="23" t="str">
        <f>A219</f>
        <v>K30: Äänestätkö vaaleissa samaa puoluetta tai ryhmittymää, vai vaihteleeko valintasi puolueiden välillä? (%)</v>
      </c>
    </row>
    <row r="221" spans="1:6" x14ac:dyDescent="0.25">
      <c r="A221" s="23" t="s">
        <v>676</v>
      </c>
      <c r="B221" s="87">
        <f>'K30'!B$57</f>
        <v>20.442607422715923</v>
      </c>
      <c r="C221" s="87">
        <f>VLOOKUP(AN_koko,TN_K30_ryhmat[],2)</f>
        <v>20.868200836820083</v>
      </c>
      <c r="D221" s="87">
        <f>VLOOKUP(Etusivu!$B$9,TN_K30_kunnat[],2,FALSE)</f>
        <v>25.641025641025642</v>
      </c>
      <c r="E221" s="149">
        <f>VLOOKUP(Etusivu!$B$9,TN_K30_kunnat[],7,FALSE)</f>
        <v>119</v>
      </c>
      <c r="F221" s="23" t="str">
        <f>Etusivu!$B$9&amp;": "&amp;E220&amp;" = "&amp;$I$1&amp;" "&amp;E221</f>
        <v>Askola: N = max. 119</v>
      </c>
    </row>
    <row r="222" spans="1:6" x14ac:dyDescent="0.25">
      <c r="A222" s="23" t="s">
        <v>677</v>
      </c>
      <c r="B222" s="87">
        <f>'K30'!C$57</f>
        <v>43.21880650994575</v>
      </c>
      <c r="C222" s="87">
        <f>VLOOKUP(AN_koko,TN_K30_ryhmat[],3)</f>
        <v>43.77615062761506</v>
      </c>
      <c r="D222" s="87">
        <f>VLOOKUP(Etusivu!$B$9,TN_K30_kunnat[],3,FALSE)</f>
        <v>35.042735042735046</v>
      </c>
    </row>
    <row r="223" spans="1:6" x14ac:dyDescent="0.25">
      <c r="A223" s="23" t="s">
        <v>678</v>
      </c>
      <c r="B223" s="87">
        <f>'K30'!D$57</f>
        <v>31.025574786876778</v>
      </c>
      <c r="C223" s="87">
        <f>VLOOKUP(AN_koko,TN_K30_ryhmat[],4)</f>
        <v>30.439330543933053</v>
      </c>
      <c r="D223" s="87">
        <f>VLOOKUP(Etusivu!$B$9,TN_K30_kunnat[],4,FALSE)</f>
        <v>33.333333333333336</v>
      </c>
    </row>
    <row r="224" spans="1:6" x14ac:dyDescent="0.25">
      <c r="A224" s="23" t="s">
        <v>679</v>
      </c>
      <c r="B224" s="87">
        <f>'K30'!E$57</f>
        <v>3.5046930164470851</v>
      </c>
      <c r="C224" s="87">
        <f>VLOOKUP(AN_koko,TN_K30_ryhmat[],5)</f>
        <v>3.0857740585774058</v>
      </c>
      <c r="D224" s="87">
        <f>VLOOKUP(Etusivu!$B$9,TN_K30_kunnat[],5,FALSE)</f>
        <v>5.1282051282051286</v>
      </c>
    </row>
    <row r="225" spans="1:6" x14ac:dyDescent="0.25">
      <c r="A225" s="23" t="s">
        <v>680</v>
      </c>
      <c r="B225" s="87">
        <f>'K30'!F$57</f>
        <v>1.8083182640144666</v>
      </c>
      <c r="C225" s="87">
        <f>VLOOKUP(AN_koko,TN_K30_ryhmat[],6)</f>
        <v>1.8305439330543933</v>
      </c>
      <c r="D225" s="87">
        <f>VLOOKUP(Etusivu!$B$9,TN_K30_kunnat[],6,FALSE)</f>
        <v>0.85470085470085466</v>
      </c>
    </row>
    <row r="226" spans="1:6" ht="13" x14ac:dyDescent="0.3">
      <c r="A226" s="49" t="s">
        <v>450</v>
      </c>
    </row>
    <row r="227" spans="1:6" x14ac:dyDescent="0.25">
      <c r="B227" s="102" t="str">
        <f>$B$3</f>
        <v>Kaikki ARTTU2-kunnat</v>
      </c>
      <c r="C227" s="87" t="str">
        <f>$C$3</f>
        <v>5000-10000 as. kunnat</v>
      </c>
      <c r="D227" s="87" t="str">
        <f>$D$3</f>
        <v>Askola</v>
      </c>
      <c r="E227" s="88" t="str">
        <f>$E$3</f>
        <v>N</v>
      </c>
      <c r="F227" s="23" t="str">
        <f>A226</f>
        <v>K31: Kuinka tärkeinä pidät seuraavia tekijöitä, kun äänestät kuntavaaleissa?</v>
      </c>
    </row>
    <row r="228" spans="1:6" x14ac:dyDescent="0.25">
      <c r="A228" s="23" t="s">
        <v>458</v>
      </c>
      <c r="B228" s="87">
        <f>'K31'!B$61</f>
        <v>84.911971830985919</v>
      </c>
      <c r="C228" s="87">
        <f>VLOOKUP(AN_koko,TN_K31_ryhmat[],2)</f>
        <v>84.74666666666667</v>
      </c>
      <c r="D228" s="87">
        <f>VLOOKUP(Etusivu!$B$9,TN_K31_kunnat[],2,FALSE)</f>
        <v>84.955752212389385</v>
      </c>
      <c r="E228" s="149">
        <f>VLOOKUP(Etusivu!$B$9,TN_K31_kunnat[],8,FALSE)</f>
        <v>119</v>
      </c>
      <c r="F228" s="23" t="str">
        <f>Etusivu!$B$9&amp;": "&amp;E227&amp;" = "&amp;$I$1&amp;" "&amp;E228</f>
        <v>Askola: N = max. 119</v>
      </c>
    </row>
    <row r="229" spans="1:6" x14ac:dyDescent="0.25">
      <c r="A229" s="23" t="s">
        <v>459</v>
      </c>
      <c r="B229" s="87">
        <f>'K31'!C$61</f>
        <v>18.023465703971119</v>
      </c>
      <c r="C229" s="87">
        <f>VLOOKUP(AN_koko,TN_K31_ryhmat[],3)</f>
        <v>18.603382433169667</v>
      </c>
      <c r="D229" s="87">
        <f>VLOOKUP(Etusivu!$B$9,TN_K31_kunnat[],3,FALSE)</f>
        <v>12.037037037037036</v>
      </c>
      <c r="F229" s="23" t="str">
        <f>'K31'!A4</f>
        <v>% vastanneista pitää tärkeänä tai erittäin tärkeänä (4+5)</v>
      </c>
    </row>
    <row r="230" spans="1:6" x14ac:dyDescent="0.25">
      <c r="A230" s="23" t="s">
        <v>460</v>
      </c>
      <c r="B230" s="87">
        <f>'K31'!D$61</f>
        <v>26.557674841053586</v>
      </c>
      <c r="C230" s="87">
        <f>VLOOKUP(AN_koko,TN_K31_ryhmat[],4)</f>
        <v>25.687568756875688</v>
      </c>
      <c r="D230" s="87">
        <f>VLOOKUP(Etusivu!$B$9,TN_K31_kunnat[],4,FALSE)</f>
        <v>18.518518518518519</v>
      </c>
    </row>
    <row r="231" spans="1:6" x14ac:dyDescent="0.25">
      <c r="A231" s="23" t="s">
        <v>461</v>
      </c>
      <c r="B231" s="87">
        <f>'K31'!E$61</f>
        <v>63.348089258288915</v>
      </c>
      <c r="C231" s="87">
        <f>VLOOKUP(AN_koko,TN_K31_ryhmat[],5)</f>
        <v>61.724327292696323</v>
      </c>
      <c r="D231" s="87">
        <f>VLOOKUP(Etusivu!$B$9,TN_K31_kunnat[],5,FALSE)</f>
        <v>59.813084112149532</v>
      </c>
    </row>
    <row r="232" spans="1:6" x14ac:dyDescent="0.25">
      <c r="A232" s="23" t="s">
        <v>462</v>
      </c>
      <c r="B232" s="87">
        <f>'K31'!F$61</f>
        <v>43.171254915981407</v>
      </c>
      <c r="C232" s="87">
        <f>VLOOKUP(AN_koko,TN_K31_ryhmat[],6)</f>
        <v>48.373101952277658</v>
      </c>
      <c r="D232" s="87">
        <f>VLOOKUP(Etusivu!$B$9,TN_K31_kunnat[],6,FALSE)</f>
        <v>50.458715596330272</v>
      </c>
    </row>
    <row r="233" spans="1:6" x14ac:dyDescent="0.25">
      <c r="A233" s="23" t="s">
        <v>463</v>
      </c>
      <c r="B233" s="87">
        <f>'K31'!G$61</f>
        <v>42.130482860302251</v>
      </c>
      <c r="C233" s="87">
        <f>VLOOKUP(AN_koko,TN_K31_ryhmat[],7)</f>
        <v>37.226277372262771</v>
      </c>
      <c r="D233" s="87">
        <f>VLOOKUP(Etusivu!$B$9,TN_K31_kunnat[],7,FALSE)</f>
        <v>54.545454545454547</v>
      </c>
    </row>
    <row r="234" spans="1:6" ht="13" x14ac:dyDescent="0.3">
      <c r="A234" s="49" t="s">
        <v>465</v>
      </c>
    </row>
    <row r="235" spans="1:6" x14ac:dyDescent="0.25">
      <c r="B235" s="102" t="str">
        <f>$B$3</f>
        <v>Kaikki ARTTU2-kunnat</v>
      </c>
      <c r="C235" s="87" t="str">
        <f>$C$3</f>
        <v>5000-10000 as. kunnat</v>
      </c>
      <c r="D235" s="87" t="str">
        <f>$D$3</f>
        <v>Askola</v>
      </c>
      <c r="E235" s="88" t="str">
        <f>$E$3</f>
        <v>N</v>
      </c>
      <c r="F235" s="23" t="str">
        <f>A234</f>
        <v>K32: Mitä mieltä olet seuraavista kunnalliseen päätöksentekoon liittyvistä asioista?</v>
      </c>
    </row>
    <row r="236" spans="1:6" x14ac:dyDescent="0.25">
      <c r="A236" s="23" t="s">
        <v>473</v>
      </c>
      <c r="B236" s="87">
        <f>'K32'!B$58</f>
        <v>70.233362143474508</v>
      </c>
      <c r="C236" s="87">
        <f>VLOOKUP(AN_koko,TN_K32_ryhmat[],2)</f>
        <v>70.473684210526315</v>
      </c>
      <c r="D236" s="87">
        <f>VLOOKUP(Etusivu!$B$9,TN_K32_kunnat[],2,FALSE)</f>
        <v>66.666666666666671</v>
      </c>
      <c r="E236" s="149">
        <f>VLOOKUP(Etusivu!$B$9,TN_K32_kunnat[],7,FALSE)</f>
        <v>119</v>
      </c>
      <c r="F236" s="23" t="str">
        <f>Etusivu!$B$9&amp;": "&amp;E235&amp;" = "&amp;$I$1&amp;" "&amp;E236</f>
        <v>Askola: N = max. 119</v>
      </c>
    </row>
    <row r="237" spans="1:6" x14ac:dyDescent="0.25">
      <c r="A237" s="23" t="s">
        <v>474</v>
      </c>
      <c r="B237" s="87">
        <f>'K32'!C$58</f>
        <v>46.475654772367726</v>
      </c>
      <c r="C237" s="87">
        <f>VLOOKUP(AN_koko,TN_K32_ryhmat[],3)</f>
        <v>45.478865703584802</v>
      </c>
      <c r="D237" s="87">
        <f>VLOOKUP(Etusivu!$B$9,TN_K32_kunnat[],3,FALSE)</f>
        <v>48.672566371681413</v>
      </c>
      <c r="F237" s="23" t="s">
        <v>737</v>
      </c>
    </row>
    <row r="238" spans="1:6" x14ac:dyDescent="0.25">
      <c r="A238" s="23" t="s">
        <v>475</v>
      </c>
      <c r="B238" s="87">
        <f>'K32'!D$58</f>
        <v>38.774422735346356</v>
      </c>
      <c r="C238" s="87">
        <f>VLOOKUP(AN_koko,TN_K32_ryhmat[],4)</f>
        <v>37.263385613845323</v>
      </c>
      <c r="D238" s="87">
        <f>VLOOKUP(Etusivu!$B$9,TN_K32_kunnat[],4,FALSE)</f>
        <v>41.592920353982301</v>
      </c>
    </row>
    <row r="239" spans="1:6" x14ac:dyDescent="0.25">
      <c r="A239" s="23" t="s">
        <v>476</v>
      </c>
      <c r="B239" s="87">
        <f>'K32'!E$58</f>
        <v>15.851409502063756</v>
      </c>
      <c r="C239" s="87">
        <f>VLOOKUP(AN_koko,TN_K32_ryhmat[],5)</f>
        <v>16.077170418006432</v>
      </c>
      <c r="D239" s="87">
        <f>VLOOKUP(Etusivu!$B$9,TN_K32_kunnat[],5,FALSE)</f>
        <v>19.298245614035089</v>
      </c>
    </row>
    <row r="240" spans="1:6" x14ac:dyDescent="0.25">
      <c r="A240" s="23" t="s">
        <v>477</v>
      </c>
      <c r="B240" s="87">
        <f>'K32'!F$58</f>
        <v>34.474865745224051</v>
      </c>
      <c r="C240" s="87">
        <f>VLOOKUP(AN_koko,TN_K32_ryhmat[],6)</f>
        <v>34.698275862068968</v>
      </c>
      <c r="D240" s="87">
        <f>VLOOKUP(Etusivu!$B$9,TN_K32_kunnat[],6,FALSE)</f>
        <v>33.628318584070797</v>
      </c>
    </row>
    <row r="241" spans="1:6" ht="13" x14ac:dyDescent="0.3">
      <c r="A241" s="49" t="s">
        <v>478</v>
      </c>
    </row>
    <row r="242" spans="1:6" x14ac:dyDescent="0.25">
      <c r="B242" s="102" t="str">
        <f>$B$3</f>
        <v>Kaikki ARTTU2-kunnat</v>
      </c>
      <c r="C242" s="87" t="str">
        <f>$C$3</f>
        <v>5000-10000 as. kunnat</v>
      </c>
      <c r="D242" s="87" t="str">
        <f>$D$3</f>
        <v>Askola</v>
      </c>
      <c r="E242" s="88" t="str">
        <f>$E$3</f>
        <v>N</v>
      </c>
      <c r="F242" s="23" t="str">
        <f>A241</f>
        <v>K33: Mitä mieltä olet seuraavista oman kuntasi päätöksentekoon ja päättäjiin liittyvistä väittämistä?</v>
      </c>
    </row>
    <row r="243" spans="1:6" x14ac:dyDescent="0.25">
      <c r="A243" s="23" t="s">
        <v>492</v>
      </c>
      <c r="B243" s="87">
        <f>'K33'!B$59</f>
        <v>35.64019872744705</v>
      </c>
      <c r="C243" s="87">
        <f>VLOOKUP(AN_koko,TN_K33_ryhmat[],2)</f>
        <v>35.116525423728817</v>
      </c>
      <c r="D243" s="87">
        <f>VLOOKUP(Etusivu!$B$9,TN_K33_kunnat[],2,FALSE)</f>
        <v>27.027027027027028</v>
      </c>
      <c r="E243" s="149">
        <f>VLOOKUP(Etusivu!$B$9,TN_K33_kunnat[],15,FALSE)</f>
        <v>119</v>
      </c>
      <c r="F243" s="23" t="str">
        <f>Etusivu!$B$9&amp;": "&amp;E242&amp;" = "&amp;$I$1&amp;" "&amp;E243</f>
        <v>Askola: N = max. 119</v>
      </c>
    </row>
    <row r="244" spans="1:6" x14ac:dyDescent="0.25">
      <c r="A244" s="23" t="s">
        <v>493</v>
      </c>
      <c r="B244" s="87">
        <f>'K33'!C$59</f>
        <v>29.18387068435386</v>
      </c>
      <c r="C244" s="87">
        <f>VLOOKUP(AN_koko,TN_K33_ryhmat[],3)</f>
        <v>30.256136606189969</v>
      </c>
      <c r="D244" s="87">
        <f>VLOOKUP(Etusivu!$B$9,TN_K33_kunnat[],3,FALSE)</f>
        <v>24.107142857142858</v>
      </c>
      <c r="F244" s="23" t="str">
        <f>'K33'!A4</f>
        <v>% vastanneista samaa mieltä väittämän kanssa (4+5)</v>
      </c>
    </row>
    <row r="245" spans="1:6" x14ac:dyDescent="0.25">
      <c r="A245" s="23" t="s">
        <v>494</v>
      </c>
      <c r="B245" s="87">
        <f>'K33'!D$59</f>
        <v>18.972366910920808</v>
      </c>
      <c r="C245" s="87">
        <f>VLOOKUP(AN_koko,TN_K33_ryhmat[],4)</f>
        <v>18.739903069466884</v>
      </c>
      <c r="D245" s="87">
        <f>VLOOKUP(Etusivu!$B$9,TN_K33_kunnat[],4,FALSE)</f>
        <v>18.75</v>
      </c>
    </row>
    <row r="246" spans="1:6" x14ac:dyDescent="0.25">
      <c r="A246" s="23" t="s">
        <v>495</v>
      </c>
      <c r="B246" s="87">
        <f>'K33'!E$59</f>
        <v>25.737991266375545</v>
      </c>
      <c r="C246" s="87">
        <f>VLOOKUP(AN_koko,TN_K33_ryhmat[],5)</f>
        <v>25.809877854487521</v>
      </c>
      <c r="D246" s="87">
        <f>VLOOKUP(Etusivu!$B$9,TN_K33_kunnat[],5,FALSE)</f>
        <v>21.428571428571427</v>
      </c>
    </row>
    <row r="247" spans="1:6" x14ac:dyDescent="0.25">
      <c r="A247" s="23" t="s">
        <v>496</v>
      </c>
      <c r="B247" s="87">
        <f>'K33'!F$59</f>
        <v>15.329815303430079</v>
      </c>
      <c r="C247" s="87">
        <f>VLOOKUP(AN_koko,TN_K33_ryhmat[],6)</f>
        <v>15.227882037533512</v>
      </c>
      <c r="D247" s="87">
        <f>VLOOKUP(Etusivu!$B$9,TN_K33_kunnat[],6,FALSE)</f>
        <v>11.504424778761061</v>
      </c>
    </row>
    <row r="248" spans="1:6" x14ac:dyDescent="0.25">
      <c r="A248" s="23" t="s">
        <v>497</v>
      </c>
      <c r="B248" s="87">
        <f>'K33'!G$59</f>
        <v>27.525186158563294</v>
      </c>
      <c r="C248" s="87">
        <f>VLOOKUP(AN_koko,TN_K33_ryhmat[],7)</f>
        <v>28.396377197655834</v>
      </c>
      <c r="D248" s="87">
        <f>VLOOKUP(Etusivu!$B$9,TN_K33_kunnat[],7,FALSE)</f>
        <v>23.893805309734514</v>
      </c>
    </row>
    <row r="249" spans="1:6" x14ac:dyDescent="0.25">
      <c r="A249" s="23" t="s">
        <v>498</v>
      </c>
      <c r="B249" s="87">
        <f>'K33'!H$59</f>
        <v>32.901393449897931</v>
      </c>
      <c r="C249" s="87">
        <f>VLOOKUP(AN_koko,TN_K33_ryhmat[],8)</f>
        <v>33.351351351351354</v>
      </c>
      <c r="D249" s="87">
        <f>VLOOKUP(Etusivu!$B$9,TN_K33_kunnat[],8,FALSE)</f>
        <v>33.035714285714285</v>
      </c>
    </row>
    <row r="250" spans="1:6" x14ac:dyDescent="0.25">
      <c r="A250" s="23" t="s">
        <v>499</v>
      </c>
      <c r="B250" s="87">
        <f>'K33'!I$59</f>
        <v>51.38620810668538</v>
      </c>
      <c r="C250" s="87">
        <f>VLOOKUP(AN_koko,TN_K33_ryhmat[],9)</f>
        <v>51.869658119658119</v>
      </c>
      <c r="D250" s="87">
        <f>VLOOKUP(Etusivu!$B$9,TN_K33_kunnat[],9,FALSE)</f>
        <v>66.666666666666671</v>
      </c>
    </row>
    <row r="251" spans="1:6" x14ac:dyDescent="0.25">
      <c r="A251" s="23" t="s">
        <v>500</v>
      </c>
      <c r="B251" s="87">
        <f>'K33'!J$59</f>
        <v>42.772939209993844</v>
      </c>
      <c r="C251" s="87">
        <f>VLOOKUP(AN_koko,TN_K33_ryhmat[],10)</f>
        <v>43.272335844994615</v>
      </c>
      <c r="D251" s="87">
        <f>VLOOKUP(Etusivu!$B$9,TN_K33_kunnat[],10,FALSE)</f>
        <v>39.823008849557525</v>
      </c>
    </row>
    <row r="252" spans="1:6" x14ac:dyDescent="0.25">
      <c r="A252" s="23" t="s">
        <v>501</v>
      </c>
      <c r="B252" s="87">
        <f>'K33'!K$59</f>
        <v>23.805732484076433</v>
      </c>
      <c r="C252" s="87">
        <f>VLOOKUP(AN_koko,TN_K33_ryhmat[],11)</f>
        <v>20.801733477789817</v>
      </c>
      <c r="D252" s="87">
        <f>VLOOKUP(Etusivu!$B$9,TN_K33_kunnat[],11,FALSE)</f>
        <v>23.008849557522122</v>
      </c>
    </row>
    <row r="253" spans="1:6" x14ac:dyDescent="0.25">
      <c r="A253" s="23" t="s">
        <v>502</v>
      </c>
      <c r="B253" s="87">
        <f>'K33'!L$59</f>
        <v>22.954144620811288</v>
      </c>
      <c r="C253" s="87">
        <f>VLOOKUP(AN_koko,TN_K33_ryhmat[],12)</f>
        <v>23.196986006458559</v>
      </c>
      <c r="D253" s="87">
        <f>VLOOKUP(Etusivu!$B$9,TN_K33_kunnat[],12,FALSE)</f>
        <v>19.642857142857142</v>
      </c>
    </row>
    <row r="254" spans="1:6" x14ac:dyDescent="0.25">
      <c r="A254" s="23" t="s">
        <v>503</v>
      </c>
      <c r="B254" s="87">
        <f>'K33'!M$59</f>
        <v>11.748103721996825</v>
      </c>
      <c r="C254" s="87">
        <f>VLOOKUP(AN_koko,TN_K33_ryhmat[],13)</f>
        <v>11.482479784366577</v>
      </c>
      <c r="D254" s="87">
        <f>VLOOKUP(Etusivu!$B$9,TN_K33_kunnat[],13,FALSE)</f>
        <v>8.8495575221238933</v>
      </c>
    </row>
    <row r="255" spans="1:6" x14ac:dyDescent="0.25">
      <c r="A255" s="23" t="s">
        <v>504</v>
      </c>
      <c r="B255" s="87">
        <f>'K33'!N$59</f>
        <v>17.908875427969448</v>
      </c>
      <c r="C255" s="87">
        <f>VLOOKUP(AN_koko,TN_K33_ryhmat[],14)</f>
        <v>19.265566790846194</v>
      </c>
      <c r="D255" s="87">
        <f>VLOOKUP(Etusivu!$B$9,TN_K33_kunnat[],14,FALSE)</f>
        <v>21.428571428571427</v>
      </c>
    </row>
    <row r="256" spans="1:6" ht="13" x14ac:dyDescent="0.3">
      <c r="A256" s="49" t="s">
        <v>754</v>
      </c>
    </row>
    <row r="257" spans="1:6" x14ac:dyDescent="0.25">
      <c r="B257" s="102" t="str">
        <f>$B$3</f>
        <v>Kaikki ARTTU2-kunnat</v>
      </c>
      <c r="C257" s="87" t="str">
        <f>$C$3</f>
        <v>5000-10000 as. kunnat</v>
      </c>
      <c r="D257" s="87" t="str">
        <f>$D$3</f>
        <v>Askola</v>
      </c>
      <c r="E257" s="88" t="str">
        <f>$E$3</f>
        <v>N</v>
      </c>
      <c r="F257" s="23" t="str">
        <f>A256</f>
        <v>K34: Seuraavassa esitetään joukko kuntasi talouteen ja hallintoon liittyviä väittämiä. Mitä mieltä olet niistä? Arvioi väittämiä asteikolla 1 (täysin eri mieltä) - 5 (täysin samaa mieltä).</v>
      </c>
    </row>
    <row r="258" spans="1:6" x14ac:dyDescent="0.25">
      <c r="A258" s="23" t="s">
        <v>511</v>
      </c>
      <c r="B258" s="87">
        <f>'K34'!B$59</f>
        <v>24.231543918031353</v>
      </c>
      <c r="C258" s="87">
        <f>VLOOKUP(AN_koko,TN_K34_ryhmat[],2)</f>
        <v>24.294086307938198</v>
      </c>
      <c r="D258" s="87">
        <f>VLOOKUP(Etusivu!$B$9,TN_K34_kunnat[],2,FALSE)</f>
        <v>4.4247787610619467</v>
      </c>
      <c r="E258" s="149">
        <f>VLOOKUP(Etusivu!$B$9,TN_K34_kunnat[],7,FALSE)</f>
        <v>119</v>
      </c>
      <c r="F258" s="23" t="str">
        <f>Etusivu!$B$9&amp;": "&amp;E257&amp;" = "&amp;$I$1&amp;" "&amp;E258</f>
        <v>Askola: N = max. 119</v>
      </c>
    </row>
    <row r="259" spans="1:6" x14ac:dyDescent="0.25">
      <c r="A259" s="23" t="s">
        <v>512</v>
      </c>
      <c r="B259" s="87">
        <f>'K34'!C$59</f>
        <v>43.741765480895914</v>
      </c>
      <c r="C259" s="87">
        <f>VLOOKUP(AN_koko,TN_K34_ryhmat[],3)</f>
        <v>41.3148049171566</v>
      </c>
      <c r="D259" s="87">
        <f>VLOOKUP(Etusivu!$B$9,TN_K34_kunnat[],3,FALSE)</f>
        <v>52.212389380530972</v>
      </c>
      <c r="F259" s="23" t="str">
        <f>'K34'!A4</f>
        <v>% vastanneista on samaa mieltä väittämän kanssa (4+5)</v>
      </c>
    </row>
    <row r="260" spans="1:6" x14ac:dyDescent="0.25">
      <c r="A260" s="23" t="s">
        <v>513</v>
      </c>
      <c r="B260" s="87">
        <f>'K34'!D$59</f>
        <v>25.348263092928935</v>
      </c>
      <c r="C260" s="87">
        <f>VLOOKUP(AN_koko,TN_K34_ryhmat[],4)</f>
        <v>30.075187969924812</v>
      </c>
      <c r="D260" s="87">
        <f>VLOOKUP(Etusivu!$B$9,TN_K34_kunnat[],4,FALSE)</f>
        <v>36.283185840707965</v>
      </c>
    </row>
    <row r="261" spans="1:6" x14ac:dyDescent="0.25">
      <c r="A261" s="23" t="s">
        <v>514</v>
      </c>
      <c r="B261" s="87">
        <f>'K34'!E$59</f>
        <v>24.20107403820759</v>
      </c>
      <c r="C261" s="87">
        <f>VLOOKUP(AN_koko,TN_K34_ryhmat[],5)</f>
        <v>16.443492233529728</v>
      </c>
      <c r="D261" s="87">
        <f>VLOOKUP(Etusivu!$B$9,TN_K34_kunnat[],5,FALSE)</f>
        <v>13.274336283185841</v>
      </c>
    </row>
    <row r="262" spans="1:6" x14ac:dyDescent="0.25">
      <c r="A262" s="23" t="s">
        <v>515</v>
      </c>
      <c r="B262" s="87">
        <f>'K34'!F$59</f>
        <v>16.174005117797581</v>
      </c>
      <c r="C262" s="87">
        <f>VLOOKUP(AN_koko,TN_K34_ryhmat[],6)</f>
        <v>12.176724137931034</v>
      </c>
      <c r="D262" s="87">
        <f>VLOOKUP(Etusivu!$B$9,TN_K34_kunnat[],6,FALSE)</f>
        <v>11.504424778761061</v>
      </c>
    </row>
    <row r="263" spans="1:6" ht="13" x14ac:dyDescent="0.3">
      <c r="A263" s="49" t="s">
        <v>516</v>
      </c>
    </row>
    <row r="264" spans="1:6" x14ac:dyDescent="0.25">
      <c r="B264" s="102" t="str">
        <f>$B$3</f>
        <v>Kaikki ARTTU2-kunnat</v>
      </c>
      <c r="C264" s="87" t="str">
        <f>$C$3</f>
        <v>5000-10000 as. kunnat</v>
      </c>
      <c r="D264" s="87" t="str">
        <f>$D$3</f>
        <v>Askola</v>
      </c>
      <c r="E264" s="88" t="str">
        <f>$E$3</f>
        <v>N</v>
      </c>
      <c r="F264" s="23" t="str">
        <f>A263</f>
        <v>K35A: Kunnan päätöksentekoon voidaan vaikuttaa monella tavalla. Oletko käyttänyt seuraavia vaikuttamistapoja/-kanavia?</v>
      </c>
    </row>
    <row r="265" spans="1:6" x14ac:dyDescent="0.25">
      <c r="A265" s="23" t="s">
        <v>535</v>
      </c>
      <c r="B265" s="87">
        <f>K35A!B$60</f>
        <v>18.844107835181678</v>
      </c>
      <c r="C265" s="87">
        <f>VLOOKUP(AN_koko,TN_K35A_ryhmat[],2)</f>
        <v>21.984649122807017</v>
      </c>
      <c r="D265" s="87">
        <f>VLOOKUP(Etusivu!$B$9,TN_K35A_kunnat[],2,FALSE)</f>
        <v>22.807017543859651</v>
      </c>
      <c r="E265" s="149">
        <f>VLOOKUP(Etusivu!$B$9,TN_K35A_kunnat[],19,FALSE)</f>
        <v>119</v>
      </c>
      <c r="F265" s="23" t="str">
        <f>Etusivu!$B$9&amp;": "&amp;E264&amp;" = "&amp;$I$1&amp;" "&amp;E265</f>
        <v>Askola: N = max. 119</v>
      </c>
    </row>
    <row r="266" spans="1:6" x14ac:dyDescent="0.25">
      <c r="A266" s="23" t="s">
        <v>536</v>
      </c>
      <c r="B266" s="87">
        <f>K35A!C$60</f>
        <v>29.188600471954985</v>
      </c>
      <c r="C266" s="87">
        <f>VLOOKUP(AN_koko,TN_K35A_ryhmat[],3)</f>
        <v>31.920748486516235</v>
      </c>
      <c r="D266" s="87">
        <f>VLOOKUP(Etusivu!$B$9,TN_K35A_kunnat[],3,FALSE)</f>
        <v>35.714285714285715</v>
      </c>
      <c r="F266" s="23" t="str">
        <f>K35A!A3</f>
        <v>% vastanneista on käyttänyt ko. vaikuttamistapaa</v>
      </c>
    </row>
    <row r="267" spans="1:6" x14ac:dyDescent="0.25">
      <c r="A267" s="23" t="s">
        <v>537</v>
      </c>
      <c r="B267" s="87">
        <f>K35A!D$60</f>
        <v>2.513300311869382</v>
      </c>
      <c r="C267" s="87">
        <f>VLOOKUP(AN_koko,TN_K35A_ryhmat[],4)</f>
        <v>3.0150753768844223</v>
      </c>
      <c r="D267" s="87">
        <f>VLOOKUP(Etusivu!$B$9,TN_K35A_kunnat[],4,FALSE)</f>
        <v>4.5045045045045047</v>
      </c>
    </row>
    <row r="268" spans="1:6" x14ac:dyDescent="0.25">
      <c r="A268" s="23" t="s">
        <v>538</v>
      </c>
      <c r="B268" s="87">
        <f>K35A!E$60</f>
        <v>7.1846970529013365</v>
      </c>
      <c r="C268" s="87">
        <f>VLOOKUP(AN_koko,TN_K35A_ryhmat[],5)</f>
        <v>7.8037904124860651</v>
      </c>
      <c r="D268" s="87">
        <f>VLOOKUP(Etusivu!$B$9,TN_K35A_kunnat[],5,FALSE)</f>
        <v>6.25</v>
      </c>
    </row>
    <row r="269" spans="1:6" x14ac:dyDescent="0.25">
      <c r="A269" s="23" t="s">
        <v>539</v>
      </c>
      <c r="B269" s="87">
        <f>K35A!F$60</f>
        <v>31.715298609217342</v>
      </c>
      <c r="C269" s="87">
        <f>VLOOKUP(AN_koko,TN_K35A_ryhmat[],6)</f>
        <v>29.297954671088998</v>
      </c>
      <c r="D269" s="87">
        <f>VLOOKUP(Etusivu!$B$9,TN_K35A_kunnat[],6,FALSE)</f>
        <v>23.893805309734514</v>
      </c>
    </row>
    <row r="270" spans="1:6" x14ac:dyDescent="0.25">
      <c r="A270" s="23" t="s">
        <v>540</v>
      </c>
      <c r="B270" s="87">
        <f>K35A!G$60</f>
        <v>9.2053644740443392</v>
      </c>
      <c r="C270" s="87">
        <f>VLOOKUP(AN_koko,TN_K35A_ryhmat[],7)</f>
        <v>8.3240843507214208</v>
      </c>
      <c r="D270" s="87">
        <f>VLOOKUP(Etusivu!$B$9,TN_K35A_kunnat[],7,FALSE)</f>
        <v>7.9646017699115044</v>
      </c>
    </row>
    <row r="271" spans="1:6" x14ac:dyDescent="0.25">
      <c r="A271" s="23" t="s">
        <v>541</v>
      </c>
      <c r="B271" s="87">
        <f>K35A!H$60</f>
        <v>19.580483356133151</v>
      </c>
      <c r="C271" s="87">
        <f>VLOOKUP(AN_koko,TN_K35A_ryhmat[],8)</f>
        <v>19.554317548746518</v>
      </c>
      <c r="D271" s="87">
        <f>VLOOKUP(Etusivu!$B$9,TN_K35A_kunnat[],8,FALSE)</f>
        <v>23.423423423423422</v>
      </c>
    </row>
    <row r="272" spans="1:6" x14ac:dyDescent="0.25">
      <c r="A272" s="23" t="s">
        <v>542</v>
      </c>
      <c r="B272" s="87">
        <f>K35A!I$60</f>
        <v>23.834244080145719</v>
      </c>
      <c r="C272" s="87">
        <f>VLOOKUP(AN_koko,TN_K35A_ryhmat[],9)</f>
        <v>25.693673695893452</v>
      </c>
      <c r="D272" s="87">
        <f>VLOOKUP(Etusivu!$B$9,TN_K35A_kunnat[],9,FALSE)</f>
        <v>26.785714285714285</v>
      </c>
    </row>
    <row r="273" spans="1:6" x14ac:dyDescent="0.25">
      <c r="A273" s="23" t="s">
        <v>543</v>
      </c>
      <c r="B273" s="87">
        <f>K35A!J$60</f>
        <v>34.314711529669928</v>
      </c>
      <c r="C273" s="87">
        <f>VLOOKUP(AN_koko,TN_K35A_ryhmat[],10)</f>
        <v>36.666666666666664</v>
      </c>
      <c r="D273" s="87">
        <f>VLOOKUP(Etusivu!$B$9,TN_K35A_kunnat[],10,FALSE)</f>
        <v>31.25</v>
      </c>
    </row>
    <row r="274" spans="1:6" x14ac:dyDescent="0.25">
      <c r="A274" s="23" t="s">
        <v>544</v>
      </c>
      <c r="B274" s="87">
        <f>K35A!K$60</f>
        <v>44.275086191253855</v>
      </c>
      <c r="C274" s="87">
        <f>VLOOKUP(AN_koko,TN_K35A_ryhmat[],11)</f>
        <v>40.803964757709252</v>
      </c>
      <c r="D274" s="87">
        <f>VLOOKUP(Etusivu!$B$9,TN_K35A_kunnat[],11,FALSE)</f>
        <v>42.857142857142854</v>
      </c>
    </row>
    <row r="275" spans="1:6" x14ac:dyDescent="0.25">
      <c r="A275" s="23" t="s">
        <v>545</v>
      </c>
      <c r="B275" s="87">
        <f>K35A!L$60</f>
        <v>28.45283707352673</v>
      </c>
      <c r="C275" s="87">
        <f>VLOOKUP(AN_koko,TN_K35A_ryhmat[],12)</f>
        <v>26.353992183137912</v>
      </c>
      <c r="D275" s="87">
        <f>VLOOKUP(Etusivu!$B$9,TN_K35A_kunnat[],12,FALSE)</f>
        <v>29.20353982300885</v>
      </c>
    </row>
    <row r="276" spans="1:6" x14ac:dyDescent="0.25">
      <c r="A276" s="23" t="s">
        <v>546</v>
      </c>
      <c r="B276" s="87">
        <f>K35A!M$60</f>
        <v>35.293050263110146</v>
      </c>
      <c r="C276" s="87">
        <f>VLOOKUP(AN_koko,TN_K35A_ryhmat[],13)</f>
        <v>33.277870216306155</v>
      </c>
      <c r="D276" s="87">
        <f>VLOOKUP(Etusivu!$B$9,TN_K35A_kunnat[],13,FALSE)</f>
        <v>37.5</v>
      </c>
    </row>
    <row r="277" spans="1:6" x14ac:dyDescent="0.25">
      <c r="A277" s="23" t="s">
        <v>547</v>
      </c>
      <c r="B277" s="87">
        <f>K35A!N$60</f>
        <v>16.90127970749543</v>
      </c>
      <c r="C277" s="87">
        <f>VLOOKUP(AN_koko,TN_K35A_ryhmat[],14)</f>
        <v>19.988864142538976</v>
      </c>
      <c r="D277" s="87">
        <f>VLOOKUP(Etusivu!$B$9,TN_K35A_kunnat[],14,FALSE)</f>
        <v>29.20353982300885</v>
      </c>
    </row>
    <row r="278" spans="1:6" x14ac:dyDescent="0.25">
      <c r="A278" s="23" t="s">
        <v>548</v>
      </c>
      <c r="B278" s="87">
        <f>K35A!O$60</f>
        <v>13.8231517152816</v>
      </c>
      <c r="C278" s="87">
        <f>VLOOKUP(AN_koko,TN_K35A_ryhmat[],15)</f>
        <v>13.5678391959799</v>
      </c>
      <c r="D278" s="87">
        <f>VLOOKUP(Etusivu!$B$9,TN_K35A_kunnat[],15,FALSE)</f>
        <v>15.178571428571429</v>
      </c>
    </row>
    <row r="279" spans="1:6" x14ac:dyDescent="0.25">
      <c r="A279" s="23" t="s">
        <v>549</v>
      </c>
      <c r="B279" s="87">
        <f>K35A!P$60</f>
        <v>5.370114942528736</v>
      </c>
      <c r="C279" s="87">
        <f>VLOOKUP(AN_koko,TN_K35A_ryhmat[],16)</f>
        <v>6.0504201680672267</v>
      </c>
      <c r="D279" s="87">
        <f>VLOOKUP(Etusivu!$B$9,TN_K35A_kunnat[],16,FALSE)</f>
        <v>9.0090090090090094</v>
      </c>
    </row>
    <row r="280" spans="1:6" x14ac:dyDescent="0.25">
      <c r="A280" s="23" t="s">
        <v>550</v>
      </c>
      <c r="B280" s="87">
        <f>K35A!Q$60</f>
        <v>40.216501409988176</v>
      </c>
      <c r="C280" s="87">
        <f>VLOOKUP(AN_koko,TN_K35A_ryhmat[],17)</f>
        <v>42.676211453744493</v>
      </c>
      <c r="D280" s="87">
        <f>VLOOKUP(Etusivu!$B$9,TN_K35A_kunnat[],17,FALSE)</f>
        <v>41.071428571428569</v>
      </c>
    </row>
    <row r="281" spans="1:6" x14ac:dyDescent="0.25">
      <c r="A281" s="23" t="s">
        <v>551</v>
      </c>
      <c r="B281" s="87">
        <f>K35A!R$60</f>
        <v>4.9099836333878883</v>
      </c>
      <c r="C281" s="87">
        <f>VLOOKUP(AN_koko,TN_K35A_ryhmat[],18)</f>
        <v>4.5454545454545459</v>
      </c>
      <c r="D281" s="87">
        <f>VLOOKUP(Etusivu!$B$9,TN_K35A_kunnat[],18,FALSE)</f>
        <v>2.6315789473684212</v>
      </c>
    </row>
    <row r="282" spans="1:6" ht="54" customHeight="1" x14ac:dyDescent="0.3">
      <c r="A282" s="151" t="s">
        <v>746</v>
      </c>
    </row>
    <row r="283" spans="1:6" x14ac:dyDescent="0.25">
      <c r="B283" s="102" t="str">
        <f>$B$3</f>
        <v>Kaikki ARTTU2-kunnat</v>
      </c>
      <c r="C283" s="87" t="str">
        <f>$C$3</f>
        <v>5000-10000 as. kunnat</v>
      </c>
      <c r="D283" s="87" t="str">
        <f>$D$3</f>
        <v>Askola</v>
      </c>
      <c r="E283" s="88" t="str">
        <f>$E$3</f>
        <v>N</v>
      </c>
      <c r="F283" s="23" t="str">
        <f>A282</f>
        <v xml:space="preserve">K35B: Miten arvioit seuraavien vaikuttamistapojen/-kanavien vaikuttaneen tai vaikuttavan kunnan päätöksentekoon? Esitä  arviosi  kaikkien vaikuttamistapojen osalta, vaikka et itse olisikaan käyttänyt kyseistä tapaa.
</v>
      </c>
    </row>
    <row r="284" spans="1:6" x14ac:dyDescent="0.25">
      <c r="A284" s="23" t="s">
        <v>535</v>
      </c>
      <c r="B284" s="87">
        <f>K35B!B$59</f>
        <v>37.941259531205873</v>
      </c>
      <c r="C284" s="87">
        <f>VLOOKUP(AN_koko,TN_K35B_ryhmat[],2)</f>
        <v>37.170474516695961</v>
      </c>
      <c r="D284" s="87">
        <f>VLOOKUP(Etusivu!$B$9,TN_K35B_kunnat[],2,FALSE)</f>
        <v>42.857142857142854</v>
      </c>
      <c r="E284" s="149">
        <f>VLOOKUP(Etusivu!$B$9,TN_17A_kunnat[],41,FALSE)</f>
        <v>119</v>
      </c>
      <c r="F284" s="23" t="str">
        <f>Etusivu!$B$9&amp;": "&amp;E283&amp;" = "&amp;$I$1&amp;" "&amp;E284</f>
        <v>Askola: N = max. 119</v>
      </c>
    </row>
    <row r="285" spans="1:6" x14ac:dyDescent="0.25">
      <c r="A285" s="23" t="s">
        <v>728</v>
      </c>
      <c r="B285" s="87">
        <f>K35B!C$59</f>
        <v>40.551930396954866</v>
      </c>
      <c r="C285" s="87">
        <f>VLOOKUP(AN_koko,TN_K35B_ryhmat[],3)</f>
        <v>39.816360601001669</v>
      </c>
      <c r="D285" s="87">
        <f>VLOOKUP(Etusivu!$B$9,TN_K35B_kunnat[],3,FALSE)</f>
        <v>44.871794871794869</v>
      </c>
      <c r="E285" s="149"/>
      <c r="F285" s="23" t="str">
        <f>K35B!A4</f>
        <v>% vastanneista pitää hyvänä vaikuttamistapana (4+5)</v>
      </c>
    </row>
    <row r="286" spans="1:6" x14ac:dyDescent="0.25">
      <c r="A286" s="23" t="s">
        <v>537</v>
      </c>
      <c r="B286" s="87">
        <f>K35B!D$59</f>
        <v>26.458832933653078</v>
      </c>
      <c r="C286" s="87">
        <f>VLOOKUP(AN_koko,TN_K35B_ryhmat[],4)</f>
        <v>25.690890481064482</v>
      </c>
      <c r="D286" s="87">
        <f>VLOOKUP(Etusivu!$B$9,TN_K35B_kunnat[],4,FALSE)</f>
        <v>21.666666666666668</v>
      </c>
    </row>
    <row r="287" spans="1:6" x14ac:dyDescent="0.25">
      <c r="A287" s="23" t="s">
        <v>538</v>
      </c>
      <c r="B287" s="87">
        <f>K35B!E$59</f>
        <v>28.972399812880088</v>
      </c>
      <c r="C287" s="87">
        <f>VLOOKUP(AN_koko,TN_K35B_ryhmat[],5)</f>
        <v>27.482447342026077</v>
      </c>
      <c r="D287" s="87">
        <f>VLOOKUP(Etusivu!$B$9,TN_K35B_kunnat[],5,FALSE)</f>
        <v>28.787878787878789</v>
      </c>
    </row>
    <row r="288" spans="1:6" x14ac:dyDescent="0.25">
      <c r="A288" s="23" t="s">
        <v>539</v>
      </c>
      <c r="B288" s="87">
        <f>K35B!H$59</f>
        <v>37.576731949722301</v>
      </c>
      <c r="C288" s="87">
        <f>VLOOKUP(AN_koko,TN_K35B_ryhmat[],6)</f>
        <v>27.120141342756185</v>
      </c>
      <c r="D288" s="87">
        <f>VLOOKUP(Etusivu!$B$9,TN_K35B_kunnat[],6,FALSE)</f>
        <v>26.027397260273972</v>
      </c>
    </row>
    <row r="289" spans="1:6" x14ac:dyDescent="0.25">
      <c r="A289" s="23" t="s">
        <v>540</v>
      </c>
      <c r="B289" s="87">
        <f>K35B!F59</f>
        <v>27.707223815376214</v>
      </c>
      <c r="C289" s="87">
        <f>VLOOKUP(AN_koko,TN_K35B_ryhmat[],7)</f>
        <v>18.88111888111888</v>
      </c>
      <c r="D289" s="87">
        <f>VLOOKUP(Etusivu!$B$9,TN_K35B_kunnat[],7,FALSE)</f>
        <v>13.636363636363637</v>
      </c>
    </row>
    <row r="290" spans="1:6" x14ac:dyDescent="0.25">
      <c r="A290" s="23" t="s">
        <v>541</v>
      </c>
      <c r="B290" s="87">
        <f>K35B!G$59</f>
        <v>18.993556305615218</v>
      </c>
      <c r="C290" s="87">
        <f>VLOOKUP(AN_koko,TN_K35B_ryhmat[],8)</f>
        <v>37.278657968313141</v>
      </c>
      <c r="D290" s="87">
        <f>VLOOKUP(Etusivu!$B$9,TN_K35B_kunnat[],8,FALSE)</f>
        <v>48.648648648648646</v>
      </c>
    </row>
    <row r="291" spans="1:6" x14ac:dyDescent="0.25">
      <c r="A291" s="23" t="s">
        <v>542</v>
      </c>
      <c r="B291" s="87">
        <f>K35B!H$59</f>
        <v>37.576731949722301</v>
      </c>
      <c r="C291" s="87">
        <f>VLOOKUP(AN_koko,TN_K35B_ryhmat[],9)</f>
        <v>27.837837837837839</v>
      </c>
      <c r="D291" s="87">
        <f>VLOOKUP(Etusivu!$B$9,TN_K35B_kunnat[],9,FALSE)</f>
        <v>31.884057971014492</v>
      </c>
    </row>
    <row r="292" spans="1:6" x14ac:dyDescent="0.25">
      <c r="A292" s="23" t="s">
        <v>543</v>
      </c>
      <c r="B292" s="87">
        <f>K35B!I$59</f>
        <v>27.523986825146785</v>
      </c>
      <c r="C292" s="87">
        <f>VLOOKUP(AN_koko,TN_K35B_ryhmat[],10)</f>
        <v>41.530524505588993</v>
      </c>
      <c r="D292" s="87">
        <f>VLOOKUP(Etusivu!$B$9,TN_K35B_kunnat[],10,FALSE)</f>
        <v>37.662337662337663</v>
      </c>
    </row>
    <row r="293" spans="1:6" x14ac:dyDescent="0.25">
      <c r="A293" s="23" t="s">
        <v>544</v>
      </c>
      <c r="B293" s="87">
        <f>K35B!J$59</f>
        <v>40.873015873015873</v>
      </c>
      <c r="C293" s="87">
        <f>VLOOKUP(AN_koko,TN_K35B_ryhmat[],11)</f>
        <v>26.123128119800334</v>
      </c>
      <c r="D293" s="87">
        <f>VLOOKUP(Etusivu!$B$9,TN_K35B_kunnat[],11,FALSE)</f>
        <v>26.582278481012658</v>
      </c>
    </row>
    <row r="294" spans="1:6" x14ac:dyDescent="0.25">
      <c r="A294" s="23" t="s">
        <v>729</v>
      </c>
      <c r="B294" s="87">
        <f>K35B!K$59</f>
        <v>26.50712697789983</v>
      </c>
      <c r="C294" s="87">
        <f>VLOOKUP(AN_koko,TN_K35B_ryhmat[],12)</f>
        <v>33.333333333333336</v>
      </c>
      <c r="D294" s="87">
        <f>VLOOKUP(Etusivu!$B$9,TN_K35B_kunnat[],12,FALSE)</f>
        <v>31.506849315068493</v>
      </c>
    </row>
    <row r="295" spans="1:6" x14ac:dyDescent="0.25">
      <c r="A295" s="23" t="s">
        <v>546</v>
      </c>
      <c r="B295" s="87">
        <f>K35B!L$59</f>
        <v>31.797752808988765</v>
      </c>
      <c r="C295" s="87">
        <f>VLOOKUP(AN_koko,TN_K35B_ryhmat[],13)</f>
        <v>48.627787307032591</v>
      </c>
      <c r="D295" s="87">
        <f>VLOOKUP(Etusivu!$B$9,TN_K35B_kunnat[],13,FALSE)</f>
        <v>57.89473684210526</v>
      </c>
    </row>
    <row r="296" spans="1:6" x14ac:dyDescent="0.25">
      <c r="A296" s="23" t="s">
        <v>547</v>
      </c>
      <c r="B296" s="87">
        <f>K35B!M$59</f>
        <v>48.966914247130319</v>
      </c>
      <c r="C296" s="87">
        <f>VLOOKUP(AN_koko,TN_K35B_ryhmat[],14)</f>
        <v>20.664206642066421</v>
      </c>
      <c r="D296" s="87">
        <f>VLOOKUP(Etusivu!$B$9,TN_K35B_kunnat[],14,FALSE)</f>
        <v>30.555555555555557</v>
      </c>
    </row>
    <row r="297" spans="1:6" x14ac:dyDescent="0.25">
      <c r="A297" s="23" t="s">
        <v>548</v>
      </c>
      <c r="B297" s="87">
        <f>K35B!N$59</f>
        <v>21.085317166937749</v>
      </c>
      <c r="C297" s="87">
        <f>VLOOKUP(AN_koko,TN_K35B_ryhmat[],15)</f>
        <v>18.067632850241544</v>
      </c>
      <c r="D297" s="87">
        <f>VLOOKUP(Etusivu!$B$9,TN_K35B_kunnat[],15,FALSE)</f>
        <v>14.285714285714286</v>
      </c>
    </row>
    <row r="298" spans="1:6" x14ac:dyDescent="0.25">
      <c r="A298" s="23" t="s">
        <v>549</v>
      </c>
      <c r="B298" s="87">
        <f>K35B!O$59</f>
        <v>18.775448650278992</v>
      </c>
      <c r="C298" s="87">
        <f>VLOOKUP(AN_koko,TN_K35B_ryhmat[],16)</f>
        <v>28.426395939086294</v>
      </c>
      <c r="D298" s="87">
        <f>VLOOKUP(Etusivu!$B$9,TN_K35B_kunnat[],16,FALSE)</f>
        <v>45.3125</v>
      </c>
    </row>
    <row r="299" spans="1:6" x14ac:dyDescent="0.25">
      <c r="A299" s="23" t="s">
        <v>550</v>
      </c>
      <c r="B299" s="87">
        <f>K35B!P$59</f>
        <v>28.519224658404831</v>
      </c>
      <c r="C299" s="87">
        <f>VLOOKUP(AN_koko,TN_K35B_ryhmat[],17)</f>
        <v>42.26973684210526</v>
      </c>
      <c r="D299" s="87">
        <f>VLOOKUP(Etusivu!$B$9,TN_K35B_kunnat[],17,FALSE)</f>
        <v>42.68292682926829</v>
      </c>
    </row>
    <row r="300" spans="1:6" x14ac:dyDescent="0.25">
      <c r="A300" s="23" t="s">
        <v>551</v>
      </c>
      <c r="B300" s="87">
        <f>K35B!Q$59</f>
        <v>42.673555908850027</v>
      </c>
      <c r="C300" s="87">
        <f>VLOOKUP(AN_koko,TN_K35B_ryhmat[],18)</f>
        <v>12.738853503184714</v>
      </c>
      <c r="D300" s="87">
        <f>VLOOKUP(Etusivu!$B$9,TN_K35B_kunnat[],18,FALSE)</f>
        <v>7.6923076923076925</v>
      </c>
    </row>
    <row r="301" spans="1:6" ht="13" x14ac:dyDescent="0.3">
      <c r="A301" s="49" t="s">
        <v>747</v>
      </c>
    </row>
    <row r="302" spans="1:6" x14ac:dyDescent="0.25">
      <c r="B302" s="102" t="str">
        <f>$B$3</f>
        <v>Kaikki ARTTU2-kunnat</v>
      </c>
      <c r="C302" s="87" t="str">
        <f>$C$3</f>
        <v>5000-10000 as. kunnat</v>
      </c>
      <c r="D302" s="87" t="str">
        <f>$D$3</f>
        <v>Askola</v>
      </c>
      <c r="E302" s="88" t="str">
        <f>$E$3</f>
        <v>N</v>
      </c>
      <c r="F302" s="23" t="str">
        <f>A301</f>
        <v xml:space="preserve">K36A: Kunnan päätöksentekoon voidaan vaikuttaa myös erilaisten yhdistysten ja järjestöjen kautta. Osallistutko tai oletko osallistunut yhdistysten tai järjestöjen toimintaan viimeisen vuoden aikana? </v>
      </c>
    </row>
    <row r="303" spans="1:6" x14ac:dyDescent="0.25">
      <c r="A303" s="23" t="s">
        <v>586</v>
      </c>
      <c r="B303" s="87">
        <f>K36A!B$59</f>
        <v>10.721036997029435</v>
      </c>
      <c r="C303" s="87">
        <f>VLOOKUP(AN_koko,TN_K36A_ryhmat[],2)</f>
        <v>11.178414096916299</v>
      </c>
      <c r="D303" s="87">
        <f>VLOOKUP(Etusivu!$B$9,TN_K36A_kunnat[],2,FALSE)</f>
        <v>6.25</v>
      </c>
      <c r="E303" s="149">
        <f>VLOOKUP(Etusivu!$B$9,TN_K36A_kunnat[],14,FALSE)</f>
        <v>119</v>
      </c>
      <c r="F303" s="23" t="str">
        <f>Etusivu!$B$9&amp;": "&amp;E302&amp;" = "&amp;$I$1&amp;" "&amp;E303</f>
        <v>Askola: N = max. 119</v>
      </c>
    </row>
    <row r="304" spans="1:6" x14ac:dyDescent="0.25">
      <c r="A304" s="23" t="s">
        <v>587</v>
      </c>
      <c r="B304" s="87">
        <f>K36A!C$59</f>
        <v>8.6562839550887354</v>
      </c>
      <c r="C304" s="87">
        <f>VLOOKUP(AN_koko,TN_K36A_ryhmat[],3)</f>
        <v>7.5138121546961329</v>
      </c>
      <c r="D304" s="87">
        <f>VLOOKUP(Etusivu!$B$9,TN_K36A_kunnat[],3,FALSE)</f>
        <v>3.5714285714285716</v>
      </c>
      <c r="F304" s="23" t="s">
        <v>748</v>
      </c>
    </row>
    <row r="305" spans="1:6" x14ac:dyDescent="0.25">
      <c r="A305" s="23" t="s">
        <v>588</v>
      </c>
      <c r="B305" s="87">
        <f>K36A!D$59</f>
        <v>8.1584230699032663</v>
      </c>
      <c r="C305" s="87">
        <f>VLOOKUP(AN_koko,TN_K36A_ryhmat[],4)</f>
        <v>7.9488604780433576</v>
      </c>
      <c r="D305" s="87">
        <f>VLOOKUP(Etusivu!$B$9,TN_K36A_kunnat[],4,FALSE)</f>
        <v>9.0090090090090094</v>
      </c>
    </row>
    <row r="306" spans="1:6" x14ac:dyDescent="0.25">
      <c r="A306" s="23" t="s">
        <v>589</v>
      </c>
      <c r="B306" s="87">
        <f>K36A!E$59</f>
        <v>22.410205374106578</v>
      </c>
      <c r="C306" s="87">
        <f>VLOOKUP(AN_koko,TN_K36A_ryhmat[],5)</f>
        <v>23.106688778330568</v>
      </c>
      <c r="D306" s="87">
        <f>VLOOKUP(Etusivu!$B$9,TN_K36A_kunnat[],5,FALSE)</f>
        <v>16.216216216216218</v>
      </c>
    </row>
    <row r="307" spans="1:6" x14ac:dyDescent="0.25">
      <c r="A307" s="23" t="s">
        <v>590</v>
      </c>
      <c r="B307" s="87">
        <f>K36A!F$59</f>
        <v>7.7918527294267745</v>
      </c>
      <c r="C307" s="87">
        <f>VLOOKUP(AN_koko,TN_K36A_ryhmat[],6)</f>
        <v>8.263539921831379</v>
      </c>
      <c r="D307" s="87">
        <f>VLOOKUP(Etusivu!$B$9,TN_K36A_kunnat[],6,FALSE)</f>
        <v>3.6036036036036037</v>
      </c>
    </row>
    <row r="308" spans="1:6" x14ac:dyDescent="0.25">
      <c r="A308" s="23" t="s">
        <v>591</v>
      </c>
      <c r="B308" s="87">
        <f>K36A!G$59</f>
        <v>3.3896756509821837</v>
      </c>
      <c r="C308" s="87">
        <f>VLOOKUP(AN_koko,TN_K36A_ryhmat[],7)</f>
        <v>2.0100502512562812</v>
      </c>
      <c r="D308" s="87">
        <f>VLOOKUP(Etusivu!$B$9,TN_K36A_kunnat[],7,FALSE)</f>
        <v>1.8018018018018018</v>
      </c>
    </row>
    <row r="309" spans="1:6" x14ac:dyDescent="0.25">
      <c r="A309" s="23" t="s">
        <v>592</v>
      </c>
      <c r="B309" s="87">
        <f>K36A!H$59</f>
        <v>5.766092475067996</v>
      </c>
      <c r="C309" s="87">
        <f>VLOOKUP(AN_koko,TN_K36A_ryhmat[],8)</f>
        <v>6.541019955654102</v>
      </c>
      <c r="D309" s="87">
        <f>VLOOKUP(Etusivu!$B$9,TN_K36A_kunnat[],8,FALSE)</f>
        <v>4.4642857142857144</v>
      </c>
    </row>
    <row r="310" spans="1:6" x14ac:dyDescent="0.25">
      <c r="A310" s="23" t="s">
        <v>593</v>
      </c>
      <c r="B310" s="87">
        <f>K36A!I$59</f>
        <v>5.1587662633063411</v>
      </c>
      <c r="C310" s="87">
        <f>VLOOKUP(AN_koko,TN_K36A_ryhmat[],9)</f>
        <v>5.7190449750138814</v>
      </c>
      <c r="D310" s="87">
        <f>VLOOKUP(Etusivu!$B$9,TN_K36A_kunnat[],9,FALSE)</f>
        <v>9.9099099099099099</v>
      </c>
    </row>
    <row r="311" spans="1:6" x14ac:dyDescent="0.25">
      <c r="A311" s="23" t="s">
        <v>594</v>
      </c>
      <c r="B311" s="87">
        <f>K36A!J$59</f>
        <v>15.418984225403483</v>
      </c>
      <c r="C311" s="87">
        <f>VLOOKUP(AN_koko,TN_K36A_ryhmat[],10)</f>
        <v>13.344500279173646</v>
      </c>
      <c r="D311" s="87">
        <f>VLOOKUP(Etusivu!$B$9,TN_K36A_kunnat[],10,FALSE)</f>
        <v>9.9099099099099099</v>
      </c>
    </row>
    <row r="312" spans="1:6" x14ac:dyDescent="0.25">
      <c r="A312" s="23" t="s">
        <v>595</v>
      </c>
      <c r="B312" s="87">
        <f>K36A!K$59</f>
        <v>10.780167371546836</v>
      </c>
      <c r="C312" s="87">
        <f>VLOOKUP(AN_koko,TN_K36A_ryhmat[],11)</f>
        <v>11.050328227571116</v>
      </c>
      <c r="D312" s="87">
        <f>VLOOKUP(Etusivu!$B$9,TN_K36A_kunnat[],11,FALSE)</f>
        <v>15.178571428571429</v>
      </c>
    </row>
    <row r="313" spans="1:6" x14ac:dyDescent="0.25">
      <c r="A313" s="23" t="s">
        <v>596</v>
      </c>
      <c r="B313" s="87">
        <f>K36A!L$59</f>
        <v>2.8001464128843336</v>
      </c>
      <c r="C313" s="87">
        <f>VLOOKUP(AN_koko,TN_K36A_ryhmat[],12)</f>
        <v>2.0134228187919465</v>
      </c>
      <c r="D313" s="87">
        <f>VLOOKUP(Etusivu!$B$9,TN_K36A_kunnat[],12,FALSE)</f>
        <v>0</v>
      </c>
    </row>
    <row r="314" spans="1:6" x14ac:dyDescent="0.25">
      <c r="A314" s="23" t="s">
        <v>597</v>
      </c>
      <c r="B314" s="87">
        <f>K36A!M$59</f>
        <v>11.955531255695281</v>
      </c>
      <c r="C314" s="87">
        <f>VLOOKUP(AN_koko,TN_K36A_ryhmat[],13)</f>
        <v>12.353269983230856</v>
      </c>
      <c r="D314" s="87">
        <f>VLOOKUP(Etusivu!$B$9,TN_K36A_kunnat[],13,FALSE)</f>
        <v>10.909090909090908</v>
      </c>
    </row>
    <row r="315" spans="1:6" ht="13" x14ac:dyDescent="0.3">
      <c r="A315" s="49" t="s">
        <v>756</v>
      </c>
    </row>
    <row r="316" spans="1:6" x14ac:dyDescent="0.25">
      <c r="B316" s="102" t="str">
        <f>$B$3</f>
        <v>Kaikki ARTTU2-kunnat</v>
      </c>
      <c r="C316" s="87" t="str">
        <f>$C$3</f>
        <v>5000-10000 as. kunnat</v>
      </c>
      <c r="D316" s="87" t="str">
        <f>$D$3</f>
        <v>Askola</v>
      </c>
      <c r="E316" s="88" t="str">
        <f>$E$3</f>
        <v>N</v>
      </c>
      <c r="F316" s="23" t="str">
        <f>A315</f>
        <v>K36B: Miten vaikuttavina pidät ko. toimintaan osallistumista pyrittäessä vaikuttamaan kunnan päätöksentekoon? Arvioi vaikuttamistapojen vaikuttavuutta asteikolla 1 (erittäin huono vaikuttamistapa) - 5 (erittäin hyvä) vaikuttamistapa.</v>
      </c>
    </row>
    <row r="317" spans="1:6" x14ac:dyDescent="0.25">
      <c r="A317" s="23" t="s">
        <v>586</v>
      </c>
      <c r="B317" s="87">
        <f>K36B!B$63</f>
        <v>36.065825899723166</v>
      </c>
      <c r="C317" s="87">
        <f>VLOOKUP(AN_koko,TN_K36B_ryhmat[],2)</f>
        <v>35.433070866141733</v>
      </c>
      <c r="D317" s="87">
        <f>VLOOKUP(Etusivu!$B$9,TN_K36B_kunnat[],2,FALSE)</f>
        <v>35.384615384615387</v>
      </c>
      <c r="E317" s="149">
        <f>VLOOKUP(Etusivu!$B$9,TN_K36B_kunnat[],14,FALSE)</f>
        <v>119</v>
      </c>
      <c r="F317" s="23" t="str">
        <f>Etusivu!$B$9&amp;": "&amp;E316&amp;" = "&amp;$I$1&amp;" "&amp;E317</f>
        <v>Askola: N = max. 119</v>
      </c>
    </row>
    <row r="318" spans="1:6" x14ac:dyDescent="0.25">
      <c r="A318" s="23" t="s">
        <v>587</v>
      </c>
      <c r="B318" s="87">
        <f>K36B!C$63</f>
        <v>30.968148848943549</v>
      </c>
      <c r="C318" s="87">
        <f>VLOOKUP(AN_koko,TN_K36B_ryhmat[],3)</f>
        <v>29.006085192697768</v>
      </c>
      <c r="D318" s="87">
        <f>VLOOKUP(Etusivu!$B$9,TN_K36B_kunnat[],3,FALSE)</f>
        <v>26.229508196721312</v>
      </c>
      <c r="F318" s="23" t="str">
        <f>K36B!A6</f>
        <v>% vastanneista pitää hyvänä vaikuttamistapana (4+5)</v>
      </c>
    </row>
    <row r="319" spans="1:6" x14ac:dyDescent="0.25">
      <c r="A319" s="23" t="s">
        <v>588</v>
      </c>
      <c r="B319" s="87">
        <f>K36B!D$63</f>
        <v>34.465709728867623</v>
      </c>
      <c r="C319" s="87">
        <f>VLOOKUP(AN_koko,TN_K36B_ryhmat[],4)</f>
        <v>34.611398963730572</v>
      </c>
      <c r="D319" s="87">
        <f>VLOOKUP(Etusivu!$B$9,TN_K36B_kunnat[],4,FALSE)</f>
        <v>41.791044776119406</v>
      </c>
    </row>
    <row r="320" spans="1:6" x14ac:dyDescent="0.25">
      <c r="A320" s="23" t="s">
        <v>589</v>
      </c>
      <c r="B320" s="87">
        <f>K36B!E$63</f>
        <v>33.895839394821067</v>
      </c>
      <c r="C320" s="87">
        <f>VLOOKUP(AN_koko,TN_K36B_ryhmat[],5)</f>
        <v>36.669784845650142</v>
      </c>
      <c r="D320" s="87">
        <f>VLOOKUP(Etusivu!$B$9,TN_K36B_kunnat[],5,FALSE)</f>
        <v>34.782608695652172</v>
      </c>
    </row>
    <row r="321" spans="1:6" x14ac:dyDescent="0.25">
      <c r="A321" s="23" t="s">
        <v>590</v>
      </c>
      <c r="B321" s="87">
        <f>K36B!F$63</f>
        <v>23.640737770649558</v>
      </c>
      <c r="C321" s="87">
        <f>VLOOKUP(AN_koko,TN_K36B_ryhmat[],6)</f>
        <v>23.583934088568487</v>
      </c>
      <c r="D321" s="87">
        <f>VLOOKUP(Etusivu!$B$9,TN_K36B_kunnat[],6,FALSE)</f>
        <v>18.181818181818183</v>
      </c>
    </row>
    <row r="322" spans="1:6" x14ac:dyDescent="0.25">
      <c r="A322" s="23" t="s">
        <v>591</v>
      </c>
      <c r="B322" s="87">
        <f>K36B!G$63</f>
        <v>22.825548770424163</v>
      </c>
      <c r="C322" s="87">
        <f>VLOOKUP(AN_koko,TN_K36B_ryhmat[],7)</f>
        <v>21.137339055793991</v>
      </c>
      <c r="D322" s="87">
        <f>VLOOKUP(Etusivu!$B$9,TN_K36B_kunnat[],7,FALSE)</f>
        <v>26.666666666666668</v>
      </c>
    </row>
    <row r="323" spans="1:6" x14ac:dyDescent="0.25">
      <c r="A323" s="23" t="s">
        <v>592</v>
      </c>
      <c r="B323" s="87">
        <f>K36B!H$63</f>
        <v>41.567428387512066</v>
      </c>
      <c r="C323" s="87">
        <f>VLOOKUP(AN_koko,TN_K36B_ryhmat[],8)</f>
        <v>39.792746113989637</v>
      </c>
      <c r="D323" s="87">
        <f>VLOOKUP(Etusivu!$B$9,TN_K36B_kunnat[],8,FALSE)</f>
        <v>43.07692307692308</v>
      </c>
    </row>
    <row r="324" spans="1:6" x14ac:dyDescent="0.25">
      <c r="A324" s="23" t="s">
        <v>593</v>
      </c>
      <c r="B324" s="87">
        <f>K36B!I$63</f>
        <v>30.926165803108809</v>
      </c>
      <c r="C324" s="87">
        <f>VLOOKUP(AN_koko,TN_K36B_ryhmat[],9)</f>
        <v>31.709844559585491</v>
      </c>
      <c r="D324" s="87">
        <f>VLOOKUP(Etusivu!$B$9,TN_K36B_kunnat[],9,FALSE)</f>
        <v>40.298507462686565</v>
      </c>
    </row>
    <row r="325" spans="1:6" x14ac:dyDescent="0.25">
      <c r="A325" s="23" t="s">
        <v>594</v>
      </c>
      <c r="B325" s="87">
        <f>K36B!J$63</f>
        <v>30.759766225776684</v>
      </c>
      <c r="C325" s="87">
        <f>VLOOKUP(AN_koko,TN_K36B_ryhmat[],10)</f>
        <v>29.949748743718594</v>
      </c>
      <c r="D325" s="87">
        <f>VLOOKUP(Etusivu!$B$9,TN_K36B_kunnat[],10,FALSE)</f>
        <v>25.396825396825395</v>
      </c>
    </row>
    <row r="326" spans="1:6" x14ac:dyDescent="0.25">
      <c r="A326" s="23" t="s">
        <v>595</v>
      </c>
      <c r="B326" s="87">
        <f>K36B!K$63</f>
        <v>22.904423136405814</v>
      </c>
      <c r="C326" s="87">
        <f>VLOOKUP(AN_koko,TN_K36B_ryhmat[],11)</f>
        <v>24.206349206349206</v>
      </c>
      <c r="D326" s="87">
        <f>VLOOKUP(Etusivu!$B$9,TN_K36B_kunnat[],11,FALSE)</f>
        <v>31.818181818181817</v>
      </c>
    </row>
    <row r="327" spans="1:6" x14ac:dyDescent="0.25">
      <c r="A327" s="23" t="s">
        <v>596</v>
      </c>
      <c r="B327" s="87">
        <f>K36B!L$63</f>
        <v>22.607260726072607</v>
      </c>
      <c r="C327" s="87">
        <f>VLOOKUP(AN_koko,TN_K36B_ryhmat[],12)</f>
        <v>22.245989304812834</v>
      </c>
      <c r="D327" s="87">
        <f>VLOOKUP(Etusivu!$B$9,TN_K36B_kunnat[],12,FALSE)</f>
        <v>24.193548387096776</v>
      </c>
    </row>
    <row r="328" spans="1:6" x14ac:dyDescent="0.25">
      <c r="A328" s="23" t="s">
        <v>597</v>
      </c>
      <c r="B328" s="87">
        <f>K36B!M$63</f>
        <v>25.315469699330112</v>
      </c>
      <c r="C328" s="87">
        <f>VLOOKUP(AN_koko,TN_K36B_ryhmat[],13)</f>
        <v>24.849699398797597</v>
      </c>
      <c r="D328" s="87">
        <f>VLOOKUP(Etusivu!$B$9,TN_K36B_kunnat[],13,FALSE)</f>
        <v>26.865671641791046</v>
      </c>
    </row>
    <row r="329" spans="1:6" ht="13" x14ac:dyDescent="0.3">
      <c r="A329" s="49" t="s">
        <v>738</v>
      </c>
    </row>
    <row r="330" spans="1:6" x14ac:dyDescent="0.25">
      <c r="B330" s="102" t="str">
        <f>$B$3</f>
        <v>Kaikki ARTTU2-kunnat</v>
      </c>
      <c r="C330" s="87" t="str">
        <f>$C$3</f>
        <v>5000-10000 as. kunnat</v>
      </c>
      <c r="D330" s="87" t="str">
        <f>$D$3</f>
        <v>Askola</v>
      </c>
      <c r="E330" s="88" t="str">
        <f>$E$3</f>
        <v>N</v>
      </c>
      <c r="F330" s="23" t="str">
        <f>A329</f>
        <v>K37: Mitä mieltä olet seuraavista sote- ja maakuntauudistusta koskevista väittämistä? Arvioi asteikolla 1 (täysin eri mieltä) - 5 (täysin samaa mieltä).</v>
      </c>
    </row>
    <row r="331" spans="1:6" x14ac:dyDescent="0.25">
      <c r="A331" s="23" t="s">
        <v>620</v>
      </c>
      <c r="B331" s="87">
        <f>'K37'!B$63</f>
        <v>40.2541251213271</v>
      </c>
      <c r="C331" s="87">
        <f>VLOOKUP(AN_koko,TN_K37_ryhmat[],2)</f>
        <v>38.921832884097036</v>
      </c>
      <c r="D331" s="87">
        <f>VLOOKUP(Etusivu!$B$9,TN_K37_kunnat[],2,FALSE)</f>
        <v>34.234234234234236</v>
      </c>
      <c r="E331" s="149">
        <f>VLOOKUP(Etusivu!$B$9,TN_K37_kunnat[],6,FALSE)</f>
        <v>119</v>
      </c>
      <c r="F331" s="23" t="str">
        <f>Etusivu!$B$9&amp;": "&amp;E330&amp;" = "&amp;$I$1&amp;" "&amp;E331</f>
        <v>Askola: N = max. 119</v>
      </c>
    </row>
    <row r="332" spans="1:6" x14ac:dyDescent="0.25">
      <c r="A332" s="23" t="s">
        <v>621</v>
      </c>
      <c r="B332" s="87">
        <f>'K37'!C$63</f>
        <v>33.56297473944533</v>
      </c>
      <c r="C332" s="87">
        <f>VLOOKUP(AN_koko,TN_K37_ryhmat[],3)</f>
        <v>32.795698924731184</v>
      </c>
      <c r="D332" s="87">
        <f>VLOOKUP(Etusivu!$B$9,TN_K37_kunnat[],3,FALSE)</f>
        <v>28.181818181818183</v>
      </c>
      <c r="F332" s="23" t="str">
        <f>'K37'!A6</f>
        <v>% vastanneista on samaa mieltä (4+5)</v>
      </c>
    </row>
    <row r="333" spans="1:6" x14ac:dyDescent="0.25">
      <c r="A333" s="23" t="s">
        <v>622</v>
      </c>
      <c r="B333" s="87">
        <f>'K37'!D$63</f>
        <v>10.495471497069792</v>
      </c>
      <c r="C333" s="87">
        <f>VLOOKUP(AN_koko,TN_K37_ryhmat[],4)</f>
        <v>9.9079588521927455</v>
      </c>
      <c r="D333" s="87">
        <f>VLOOKUP(Etusivu!$B$9,TN_K37_kunnat[],4,FALSE)</f>
        <v>11.926605504587156</v>
      </c>
    </row>
    <row r="334" spans="1:6" x14ac:dyDescent="0.25">
      <c r="A334" s="23" t="s">
        <v>623</v>
      </c>
      <c r="B334" s="87">
        <f>'K37'!E$63</f>
        <v>41.852410975934639</v>
      </c>
      <c r="C334" s="87">
        <f>VLOOKUP(AN_koko,TN_K37_ryhmat[],5)</f>
        <v>45.070422535211264</v>
      </c>
      <c r="D334" s="87">
        <f>VLOOKUP(Etusivu!$B$9,TN_K37_kunnat[],5,FALSE)</f>
        <v>48.18181818181818</v>
      </c>
    </row>
    <row r="335" spans="1:6" ht="13" x14ac:dyDescent="0.3">
      <c r="A335" s="49" t="s">
        <v>730</v>
      </c>
    </row>
    <row r="336" spans="1:6" x14ac:dyDescent="0.25">
      <c r="B336" s="102" t="str">
        <f>$B$3</f>
        <v>Kaikki ARTTU2-kunnat</v>
      </c>
      <c r="C336" s="87" t="str">
        <f>$C$3</f>
        <v>5000-10000 as. kunnat</v>
      </c>
      <c r="D336" s="87" t="str">
        <f>$D$3</f>
        <v>Askola</v>
      </c>
      <c r="E336" s="88" t="str">
        <f>$E$3</f>
        <v>N</v>
      </c>
      <c r="F336" s="23" t="str">
        <f>A335</f>
        <v>K38: Aiotko äänestää tammikuussa 2018 järjestettävissä maakuntavaaleissa, mikäli sote- ja maakuntauudistus toteutuu hallituksen suunnitelmien mukaan? (%)</v>
      </c>
    </row>
    <row r="337" spans="1:6" x14ac:dyDescent="0.25">
      <c r="A337" s="141" t="s">
        <v>625</v>
      </c>
      <c r="B337" s="87">
        <f>'K38'!B$56</f>
        <v>4.7888774459320285</v>
      </c>
      <c r="C337" s="87">
        <f>VLOOKUP(AN_koko,TN_K38_ryhmat[],2)</f>
        <v>5.5758207399687336</v>
      </c>
      <c r="D337" s="87">
        <f>VLOOKUP(Etusivu!$B$9,TN_K38_kunnat[],2,FALSE)</f>
        <v>7.6271186440677967</v>
      </c>
      <c r="E337" s="149">
        <f>VLOOKUP(Etusivu!$B$9,TN_K38_kunnat[],5,FALSE)</f>
        <v>119</v>
      </c>
      <c r="F337" s="23" t="str">
        <f>Etusivu!$B$9&amp;": "&amp;E336&amp;" = "&amp;$I$1&amp;" "&amp;E337</f>
        <v>Askola: N = max. 119</v>
      </c>
    </row>
    <row r="338" spans="1:6" x14ac:dyDescent="0.25">
      <c r="A338" s="141" t="s">
        <v>443</v>
      </c>
      <c r="B338" s="87">
        <f>'K38'!C$56</f>
        <v>69.301407483693779</v>
      </c>
      <c r="C338" s="87">
        <f>VLOOKUP(AN_koko,TN_K38_ryhmat[],3)</f>
        <v>67.691505992704535</v>
      </c>
      <c r="D338" s="87">
        <f>VLOOKUP(Etusivu!$B$9,TN_K38_kunnat[],3,FALSE)</f>
        <v>69.491525423728817</v>
      </c>
    </row>
    <row r="339" spans="1:6" x14ac:dyDescent="0.25">
      <c r="A339" s="141" t="s">
        <v>626</v>
      </c>
      <c r="B339" s="87">
        <f>'K38'!D$56</f>
        <v>25.909715070374183</v>
      </c>
      <c r="C339" s="87">
        <f>VLOOKUP(AN_koko,TN_K38_ryhmat[],4)</f>
        <v>26.732673267326732</v>
      </c>
      <c r="D339" s="87">
        <f>VLOOKUP(Etusivu!$B$9,TN_K38_kunnat[],4,FALSE)</f>
        <v>22.881355932203391</v>
      </c>
    </row>
    <row r="340" spans="1:6" ht="13" x14ac:dyDescent="0.3">
      <c r="A340" s="49" t="s">
        <v>758</v>
      </c>
    </row>
    <row r="341" spans="1:6" x14ac:dyDescent="0.25">
      <c r="B341" s="102" t="str">
        <f>$B$3</f>
        <v>Kaikki ARTTU2-kunnat</v>
      </c>
      <c r="C341" s="87" t="str">
        <f>$C$3</f>
        <v>5000-10000 as. kunnat</v>
      </c>
      <c r="D341" s="87" t="str">
        <f>$D$3</f>
        <v>Askola</v>
      </c>
      <c r="E341" s="88" t="str">
        <f>$E$3</f>
        <v>N</v>
      </c>
      <c r="F341" s="23" t="str">
        <f>A340</f>
        <v>K39: Monissa kunnissa on käynnissä palveluihin liittyviä uudistuksia. Miten tärkeänä pidät seuraavia asioita oman kuntasi näkökulmasta? Arvioi asteikolla 1 (ei lainkaan tärkeätä) - 5 (erittäin tärkeätä).</v>
      </c>
    </row>
    <row r="342" spans="1:6" x14ac:dyDescent="0.25">
      <c r="A342" s="23" t="s">
        <v>641</v>
      </c>
      <c r="B342" s="87">
        <f>'K39'!B$60</f>
        <v>74.551724137931032</v>
      </c>
      <c r="C342" s="87">
        <f>VLOOKUP(AN_koko,TN_K39_ryhmat[],2)</f>
        <v>77.65567765567765</v>
      </c>
      <c r="D342" s="87">
        <f>VLOOKUP(Etusivu!$B$9,TN_K39_kunnat[],2,FALSE)</f>
        <v>75.438596491228068</v>
      </c>
      <c r="E342" s="149">
        <f>VLOOKUP(Etusivu!$B$9,TN_K39_kunnat[],13,FALSE)</f>
        <v>119</v>
      </c>
      <c r="F342" s="23" t="str">
        <f>Etusivu!$B$9&amp;": "&amp;E341&amp;" = "&amp;$I$1&amp;" "&amp;E342</f>
        <v>Askola: N = max. 119</v>
      </c>
    </row>
    <row r="343" spans="1:6" x14ac:dyDescent="0.25">
      <c r="A343" s="23" t="s">
        <v>642</v>
      </c>
      <c r="B343" s="87">
        <f>'K39'!C$60</f>
        <v>88.407917383821001</v>
      </c>
      <c r="C343" s="87">
        <f>VLOOKUP(AN_koko,TN_K39_ryhmat[],3)</f>
        <v>88.94105372978612</v>
      </c>
      <c r="D343" s="87">
        <f>VLOOKUP(Etusivu!$B$9,TN_K39_kunnat[],3,FALSE)</f>
        <v>88.695652173913047</v>
      </c>
      <c r="F343" s="23" t="str">
        <f>'K39'!A4</f>
        <v>% vastanneista pitää tärkeänä (4+5)</v>
      </c>
    </row>
    <row r="344" spans="1:6" x14ac:dyDescent="0.25">
      <c r="A344" s="23" t="s">
        <v>643</v>
      </c>
      <c r="B344" s="87">
        <f>'K39'!D$60</f>
        <v>65.200764818355637</v>
      </c>
      <c r="C344" s="87">
        <f>VLOOKUP(AN_koko,TN_K39_ryhmat[],4)</f>
        <v>66.613924050632917</v>
      </c>
      <c r="D344" s="87">
        <f>VLOOKUP(Etusivu!$B$9,TN_K39_kunnat[],4,FALSE)</f>
        <v>79.824561403508767</v>
      </c>
    </row>
    <row r="345" spans="1:6" x14ac:dyDescent="0.25">
      <c r="A345" s="23" t="s">
        <v>644</v>
      </c>
      <c r="B345" s="87">
        <f>'K39'!E$60</f>
        <v>58.77369202550441</v>
      </c>
      <c r="C345" s="87">
        <f>VLOOKUP(AN_koko,TN_K39_ryhmat[],5)</f>
        <v>59.225874867444325</v>
      </c>
      <c r="D345" s="87">
        <f>VLOOKUP(Etusivu!$B$9,TN_K39_kunnat[],5,FALSE)</f>
        <v>56.637168141592923</v>
      </c>
    </row>
    <row r="346" spans="1:6" x14ac:dyDescent="0.25">
      <c r="A346" s="23" t="s">
        <v>645</v>
      </c>
      <c r="B346" s="87">
        <f>'K39'!F$60</f>
        <v>49.422370033257486</v>
      </c>
      <c r="C346" s="87">
        <f>VLOOKUP(AN_koko,TN_K39_ryhmat[],6)</f>
        <v>48.171701112877585</v>
      </c>
      <c r="D346" s="87">
        <f>VLOOKUP(Etusivu!$B$9,TN_K39_kunnat[],6,FALSE)</f>
        <v>46.902654867256636</v>
      </c>
    </row>
    <row r="347" spans="1:6" x14ac:dyDescent="0.25">
      <c r="A347" s="23" t="s">
        <v>646</v>
      </c>
      <c r="B347" s="87">
        <f>'K39'!G$60</f>
        <v>53.984238178633973</v>
      </c>
      <c r="C347" s="87">
        <f>VLOOKUP(AN_koko,TN_K39_ryhmat[],7)</f>
        <v>51.138168343038643</v>
      </c>
      <c r="D347" s="87">
        <f>VLOOKUP(Etusivu!$B$9,TN_K39_kunnat[],7,FALSE)</f>
        <v>50.442477876106196</v>
      </c>
    </row>
    <row r="348" spans="1:6" x14ac:dyDescent="0.25">
      <c r="A348" s="23" t="s">
        <v>647</v>
      </c>
      <c r="B348" s="87">
        <f>'K39'!H$60</f>
        <v>24.945352802308296</v>
      </c>
      <c r="C348" s="87">
        <f>VLOOKUP(AN_koko,TN_K39_ryhmat[],8)</f>
        <v>23.751328374070138</v>
      </c>
      <c r="D348" s="87">
        <f>VLOOKUP(Etusivu!$B$9,TN_K39_kunnat[],8,FALSE)</f>
        <v>16.814159292035399</v>
      </c>
    </row>
    <row r="349" spans="1:6" x14ac:dyDescent="0.25">
      <c r="A349" s="23" t="s">
        <v>648</v>
      </c>
      <c r="B349" s="87">
        <f>'K39'!I$60</f>
        <v>54.376912986445127</v>
      </c>
      <c r="C349" s="87">
        <f>VLOOKUP(AN_koko,TN_K39_ryhmat[],9)</f>
        <v>54.425013248542662</v>
      </c>
      <c r="D349" s="87">
        <f>VLOOKUP(Etusivu!$B$9,TN_K39_kunnat[],9,FALSE)</f>
        <v>54.86725663716814</v>
      </c>
    </row>
    <row r="350" spans="1:6" x14ac:dyDescent="0.25">
      <c r="A350" s="23" t="s">
        <v>649</v>
      </c>
      <c r="B350" s="87">
        <f>'K39'!J$60</f>
        <v>54.902984425302357</v>
      </c>
      <c r="C350" s="87">
        <f>VLOOKUP(AN_koko,TN_K39_ryhmat[],10)</f>
        <v>53.410893707033317</v>
      </c>
      <c r="D350" s="87">
        <f>VLOOKUP(Etusivu!$B$9,TN_K39_kunnat[],10,FALSE)</f>
        <v>50.434782608695649</v>
      </c>
    </row>
    <row r="351" spans="1:6" x14ac:dyDescent="0.25">
      <c r="A351" s="23" t="s">
        <v>650</v>
      </c>
      <c r="B351" s="87">
        <f>'K39'!K$60</f>
        <v>15.345670391061452</v>
      </c>
      <c r="C351" s="87">
        <f>VLOOKUP(AN_koko,TN_K39_ryhmat[],11)</f>
        <v>14.285714285714286</v>
      </c>
      <c r="D351" s="87">
        <f>VLOOKUP(Etusivu!$B$9,TN_K39_kunnat[],11,FALSE)</f>
        <v>15.929203539823009</v>
      </c>
    </row>
    <row r="352" spans="1:6" x14ac:dyDescent="0.25">
      <c r="A352" s="23" t="s">
        <v>651</v>
      </c>
      <c r="B352" s="87">
        <f>'K39'!L$60</f>
        <v>66.206293706293707</v>
      </c>
      <c r="C352" s="87">
        <f>VLOOKUP(AN_koko,TN_K39_ryhmat[],12)</f>
        <v>65.449735449735456</v>
      </c>
      <c r="D352" s="87">
        <f>VLOOKUP(Etusivu!$B$9,TN_K39_kunnat[],12,FALSE)</f>
        <v>60.176991150442475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7" workbookViewId="0">
      <selection activeCell="A6" sqref="A6"/>
    </sheetView>
  </sheetViews>
  <sheetFormatPr defaultColWidth="8.7109375" defaultRowHeight="13.5" x14ac:dyDescent="0.25"/>
  <cols>
    <col min="1" max="1" width="22.7109375" style="105" customWidth="1"/>
    <col min="2" max="2" width="18.28515625" style="105" customWidth="1"/>
    <col min="3" max="3" width="23.640625" style="105" customWidth="1"/>
    <col min="4" max="4" width="18.5" style="105" customWidth="1"/>
    <col min="5" max="16384" width="8.7109375" style="105"/>
  </cols>
  <sheetData>
    <row r="1" spans="1:5" x14ac:dyDescent="0.25">
      <c r="A1" s="135" t="s">
        <v>434</v>
      </c>
    </row>
    <row r="3" spans="1:5" ht="14" x14ac:dyDescent="0.3">
      <c r="A3" s="126" t="s">
        <v>435</v>
      </c>
    </row>
    <row r="4" spans="1:5" ht="14" x14ac:dyDescent="0.3">
      <c r="A4" s="128" t="s">
        <v>157</v>
      </c>
      <c r="B4" s="136" t="s">
        <v>436</v>
      </c>
      <c r="C4" s="136" t="s">
        <v>437</v>
      </c>
      <c r="D4" s="136" t="s">
        <v>438</v>
      </c>
      <c r="E4" s="130" t="s">
        <v>421</v>
      </c>
    </row>
    <row r="5" spans="1:5" x14ac:dyDescent="0.25">
      <c r="A5" s="131" t="s">
        <v>42</v>
      </c>
      <c r="B5" s="132">
        <v>82.051282051282058</v>
      </c>
      <c r="C5" s="132">
        <v>15.384615384615385</v>
      </c>
      <c r="D5" s="132">
        <v>2.5641025641025643</v>
      </c>
      <c r="E5" s="131">
        <v>119</v>
      </c>
    </row>
    <row r="6" spans="1:5" x14ac:dyDescent="0.25">
      <c r="A6" s="131" t="s">
        <v>43</v>
      </c>
      <c r="B6" s="132">
        <v>93.63636363636364</v>
      </c>
      <c r="C6" s="132">
        <v>5.6060606060606064</v>
      </c>
      <c r="D6" s="132">
        <v>0.75757575757575757</v>
      </c>
      <c r="E6" s="131">
        <v>667</v>
      </c>
    </row>
    <row r="7" spans="1:5" x14ac:dyDescent="0.25">
      <c r="A7" s="131" t="s">
        <v>44</v>
      </c>
      <c r="B7" s="132">
        <v>84.756097560975604</v>
      </c>
      <c r="C7" s="132">
        <v>12.804878048780488</v>
      </c>
      <c r="D7" s="132">
        <v>2.4390243902439024</v>
      </c>
      <c r="E7" s="131">
        <v>165</v>
      </c>
    </row>
    <row r="8" spans="1:5" x14ac:dyDescent="0.25">
      <c r="A8" s="131" t="s">
        <v>68</v>
      </c>
      <c r="B8" s="132">
        <v>95.081967213114751</v>
      </c>
      <c r="C8" s="132">
        <v>3.7704918032786887</v>
      </c>
      <c r="D8" s="132">
        <v>1.1475409836065573</v>
      </c>
      <c r="E8" s="131">
        <v>624</v>
      </c>
    </row>
    <row r="9" spans="1:5" x14ac:dyDescent="0.25">
      <c r="A9" s="131" t="s">
        <v>2</v>
      </c>
      <c r="B9" s="132">
        <v>82.65306122448979</v>
      </c>
      <c r="C9" s="132">
        <v>15.306122448979592</v>
      </c>
      <c r="D9" s="132">
        <v>2.0408163265306123</v>
      </c>
      <c r="E9" s="131">
        <v>99</v>
      </c>
    </row>
    <row r="10" spans="1:5" x14ac:dyDescent="0.25">
      <c r="A10" s="131" t="s">
        <v>3</v>
      </c>
      <c r="B10" s="132">
        <v>90.572390572390574</v>
      </c>
      <c r="C10" s="132">
        <v>8.4175084175084169</v>
      </c>
      <c r="D10" s="132">
        <v>1.0101010101010102</v>
      </c>
      <c r="E10" s="131">
        <v>301</v>
      </c>
    </row>
    <row r="11" spans="1:5" x14ac:dyDescent="0.25">
      <c r="A11" s="131" t="s">
        <v>4</v>
      </c>
      <c r="B11" s="132">
        <v>91.016949152542367</v>
      </c>
      <c r="C11" s="132">
        <v>7.9661016949152543</v>
      </c>
      <c r="D11" s="132">
        <v>1.0169491525423728</v>
      </c>
      <c r="E11" s="131">
        <v>600</v>
      </c>
    </row>
    <row r="12" spans="1:5" x14ac:dyDescent="0.25">
      <c r="A12" s="131" t="s">
        <v>46</v>
      </c>
      <c r="B12" s="132">
        <v>89.65517241379311</v>
      </c>
      <c r="C12" s="132">
        <v>8.2758620689655178</v>
      </c>
      <c r="D12" s="132">
        <v>2.0689655172413794</v>
      </c>
      <c r="E12" s="131">
        <v>148</v>
      </c>
    </row>
    <row r="13" spans="1:5" x14ac:dyDescent="0.25">
      <c r="A13" s="131" t="s">
        <v>5</v>
      </c>
      <c r="B13" s="132">
        <v>93.62363919129082</v>
      </c>
      <c r="C13" s="132">
        <v>6.0653188180404358</v>
      </c>
      <c r="D13" s="132">
        <v>0.31104199066874028</v>
      </c>
      <c r="E13" s="131">
        <v>650</v>
      </c>
    </row>
    <row r="14" spans="1:5" x14ac:dyDescent="0.25">
      <c r="A14" s="131" t="s">
        <v>48</v>
      </c>
      <c r="B14" s="132">
        <v>83.206106870229007</v>
      </c>
      <c r="C14" s="132">
        <v>14.503816793893129</v>
      </c>
      <c r="D14" s="132">
        <v>2.2900763358778624</v>
      </c>
      <c r="E14" s="131">
        <v>135</v>
      </c>
    </row>
    <row r="15" spans="1:5" x14ac:dyDescent="0.25">
      <c r="A15" s="131" t="s">
        <v>49</v>
      </c>
      <c r="B15" s="132">
        <v>72.549019607843135</v>
      </c>
      <c r="C15" s="132">
        <v>23.529411764705884</v>
      </c>
      <c r="D15" s="132">
        <v>3.9215686274509802</v>
      </c>
      <c r="E15" s="131">
        <v>105</v>
      </c>
    </row>
    <row r="16" spans="1:5" x14ac:dyDescent="0.25">
      <c r="A16" s="131" t="s">
        <v>50</v>
      </c>
      <c r="B16" s="132">
        <v>87.700534759358291</v>
      </c>
      <c r="C16" s="132">
        <v>9.6256684491978604</v>
      </c>
      <c r="D16" s="132">
        <v>2.6737967914438503</v>
      </c>
      <c r="E16" s="131">
        <v>194</v>
      </c>
    </row>
    <row r="17" spans="1:5" x14ac:dyDescent="0.25">
      <c r="A17" s="131" t="s">
        <v>69</v>
      </c>
      <c r="B17" s="132">
        <v>84.839650145772595</v>
      </c>
      <c r="C17" s="132">
        <v>12.827988338192419</v>
      </c>
      <c r="D17" s="132">
        <v>2.3323615160349855</v>
      </c>
      <c r="E17" s="131">
        <v>350</v>
      </c>
    </row>
    <row r="18" spans="1:5" x14ac:dyDescent="0.25">
      <c r="A18" s="131" t="s">
        <v>6</v>
      </c>
      <c r="B18" s="132">
        <v>90.765171503957788</v>
      </c>
      <c r="C18" s="132">
        <v>8.4432717678100264</v>
      </c>
      <c r="D18" s="132">
        <v>0.79155672823218992</v>
      </c>
      <c r="E18" s="131">
        <v>389</v>
      </c>
    </row>
    <row r="19" spans="1:5" x14ac:dyDescent="0.25">
      <c r="A19" s="131" t="s">
        <v>70</v>
      </c>
      <c r="B19" s="132">
        <v>77.542372881355931</v>
      </c>
      <c r="C19" s="132">
        <v>20.762711864406779</v>
      </c>
      <c r="D19" s="132">
        <v>1.6949152542372881</v>
      </c>
      <c r="E19" s="131">
        <v>239</v>
      </c>
    </row>
    <row r="20" spans="1:5" x14ac:dyDescent="0.25">
      <c r="A20" s="131" t="s">
        <v>7</v>
      </c>
      <c r="B20" s="132">
        <v>87.272727272727266</v>
      </c>
      <c r="C20" s="132">
        <v>11.515151515151516</v>
      </c>
      <c r="D20" s="132">
        <v>1.2121212121212122</v>
      </c>
      <c r="E20" s="131">
        <v>168</v>
      </c>
    </row>
    <row r="21" spans="1:5" x14ac:dyDescent="0.25">
      <c r="A21" s="131" t="s">
        <v>22</v>
      </c>
      <c r="B21" s="132">
        <v>72.571428571428569</v>
      </c>
      <c r="C21" s="132">
        <v>25.142857142857142</v>
      </c>
      <c r="D21" s="132">
        <v>2.2857142857142856</v>
      </c>
      <c r="E21" s="131">
        <v>177</v>
      </c>
    </row>
    <row r="22" spans="1:5" x14ac:dyDescent="0.25">
      <c r="A22" s="131" t="s">
        <v>8</v>
      </c>
      <c r="B22" s="132">
        <v>92</v>
      </c>
      <c r="C22" s="132">
        <v>7.6190476190476186</v>
      </c>
      <c r="D22" s="132">
        <v>0.38095238095238093</v>
      </c>
      <c r="E22" s="131">
        <v>533</v>
      </c>
    </row>
    <row r="23" spans="1:5" x14ac:dyDescent="0.25">
      <c r="A23" s="131" t="s">
        <v>9</v>
      </c>
      <c r="B23" s="132">
        <v>89.0625</v>
      </c>
      <c r="C23" s="132">
        <v>8.984375</v>
      </c>
      <c r="D23" s="132">
        <v>1.953125</v>
      </c>
      <c r="E23" s="131">
        <v>262</v>
      </c>
    </row>
    <row r="24" spans="1:5" x14ac:dyDescent="0.25">
      <c r="A24" s="131" t="s">
        <v>54</v>
      </c>
      <c r="B24" s="132">
        <v>93.292682926829272</v>
      </c>
      <c r="C24" s="132">
        <v>4.2682926829268295</v>
      </c>
      <c r="D24" s="132">
        <v>2.4390243902439024</v>
      </c>
      <c r="E24" s="131">
        <v>168</v>
      </c>
    </row>
    <row r="25" spans="1:5" x14ac:dyDescent="0.25">
      <c r="A25" s="131" t="s">
        <v>71</v>
      </c>
      <c r="B25" s="132">
        <v>89.33649289099526</v>
      </c>
      <c r="C25" s="132">
        <v>10.189573459715639</v>
      </c>
      <c r="D25" s="132">
        <v>0.47393364928909953</v>
      </c>
      <c r="E25" s="131">
        <v>437</v>
      </c>
    </row>
    <row r="26" spans="1:5" x14ac:dyDescent="0.25">
      <c r="A26" s="131" t="s">
        <v>10</v>
      </c>
      <c r="B26" s="132">
        <v>86.19047619047619</v>
      </c>
      <c r="C26" s="132">
        <v>10.952380952380953</v>
      </c>
      <c r="D26" s="132">
        <v>2.8571428571428572</v>
      </c>
      <c r="E26" s="131">
        <v>219</v>
      </c>
    </row>
    <row r="27" spans="1:5" x14ac:dyDescent="0.25">
      <c r="A27" s="131" t="s">
        <v>56</v>
      </c>
      <c r="B27" s="132">
        <v>82.584269662921344</v>
      </c>
      <c r="C27" s="132">
        <v>16.292134831460675</v>
      </c>
      <c r="D27" s="132">
        <v>1.1235955056179776</v>
      </c>
      <c r="E27" s="131">
        <v>179</v>
      </c>
    </row>
    <row r="28" spans="1:5" x14ac:dyDescent="0.25">
      <c r="A28" s="131" t="s">
        <v>11</v>
      </c>
      <c r="B28" s="132">
        <v>92.393026941362919</v>
      </c>
      <c r="C28" s="132">
        <v>6.9730586370839935</v>
      </c>
      <c r="D28" s="132">
        <v>0.6339144215530903</v>
      </c>
      <c r="E28" s="131">
        <v>639</v>
      </c>
    </row>
    <row r="29" spans="1:5" x14ac:dyDescent="0.25">
      <c r="A29" s="131" t="s">
        <v>58</v>
      </c>
      <c r="B29" s="132">
        <v>86.486486486486484</v>
      </c>
      <c r="C29" s="132">
        <v>10.810810810810811</v>
      </c>
      <c r="D29" s="132">
        <v>2.7027027027027026</v>
      </c>
      <c r="E29" s="131">
        <v>114</v>
      </c>
    </row>
    <row r="30" spans="1:5" x14ac:dyDescent="0.25">
      <c r="A30" s="131" t="s">
        <v>59</v>
      </c>
      <c r="B30" s="132">
        <v>85.815602836879435</v>
      </c>
      <c r="C30" s="132">
        <v>12.76595744680851</v>
      </c>
      <c r="D30" s="132">
        <v>1.4184397163120568</v>
      </c>
      <c r="E30" s="131">
        <v>143</v>
      </c>
    </row>
    <row r="31" spans="1:5" x14ac:dyDescent="0.25">
      <c r="A31" s="131" t="s">
        <v>60</v>
      </c>
      <c r="B31" s="132">
        <v>79.856115107913666</v>
      </c>
      <c r="C31" s="132">
        <v>17.266187050359711</v>
      </c>
      <c r="D31" s="132">
        <v>2.8776978417266186</v>
      </c>
      <c r="E31" s="131">
        <v>144</v>
      </c>
    </row>
    <row r="32" spans="1:5" x14ac:dyDescent="0.25">
      <c r="A32" s="131" t="s">
        <v>12</v>
      </c>
      <c r="B32" s="132">
        <v>83.333333333333329</v>
      </c>
      <c r="C32" s="132">
        <v>12.121212121212121</v>
      </c>
      <c r="D32" s="132">
        <v>4.5454545454545459</v>
      </c>
      <c r="E32" s="131">
        <v>135</v>
      </c>
    </row>
    <row r="33" spans="1:5" x14ac:dyDescent="0.25">
      <c r="A33" s="131" t="s">
        <v>61</v>
      </c>
      <c r="B33" s="132">
        <v>90.573770491803273</v>
      </c>
      <c r="C33" s="132">
        <v>7.7868852459016393</v>
      </c>
      <c r="D33" s="132">
        <v>1.639344262295082</v>
      </c>
      <c r="E33" s="131">
        <v>248</v>
      </c>
    </row>
    <row r="34" spans="1:5" x14ac:dyDescent="0.25">
      <c r="A34" s="131" t="s">
        <v>62</v>
      </c>
      <c r="B34" s="132">
        <v>74.782608695652172</v>
      </c>
      <c r="C34" s="132">
        <v>17.391304347826086</v>
      </c>
      <c r="D34" s="132">
        <v>7.8260869565217392</v>
      </c>
      <c r="E34" s="131">
        <v>115</v>
      </c>
    </row>
    <row r="35" spans="1:5" x14ac:dyDescent="0.25">
      <c r="A35" s="131" t="s">
        <v>23</v>
      </c>
      <c r="B35" s="132">
        <v>85.630498533724335</v>
      </c>
      <c r="C35" s="132">
        <v>13.196480938416423</v>
      </c>
      <c r="D35" s="132">
        <v>1.1730205278592376</v>
      </c>
      <c r="E35" s="131">
        <v>348</v>
      </c>
    </row>
    <row r="36" spans="1:5" x14ac:dyDescent="0.25">
      <c r="A36" s="131" t="s">
        <v>13</v>
      </c>
      <c r="B36" s="132">
        <v>82.273603082851636</v>
      </c>
      <c r="C36" s="132">
        <v>16.76300578034682</v>
      </c>
      <c r="D36" s="132">
        <v>0.96339113680154143</v>
      </c>
      <c r="E36" s="131">
        <v>525</v>
      </c>
    </row>
    <row r="37" spans="1:5" x14ac:dyDescent="0.25">
      <c r="A37" s="131" t="s">
        <v>14</v>
      </c>
      <c r="B37" s="132">
        <v>88.387096774193552</v>
      </c>
      <c r="C37" s="132">
        <v>7.741935483870968</v>
      </c>
      <c r="D37" s="132">
        <v>3.870967741935484</v>
      </c>
      <c r="E37" s="131">
        <v>158</v>
      </c>
    </row>
    <row r="38" spans="1:5" x14ac:dyDescent="0.25">
      <c r="A38" s="131" t="s">
        <v>64</v>
      </c>
      <c r="B38" s="132">
        <v>81.212121212121218</v>
      </c>
      <c r="C38" s="132">
        <v>15.757575757575758</v>
      </c>
      <c r="D38" s="132">
        <v>3.0303030303030303</v>
      </c>
      <c r="E38" s="131">
        <v>167</v>
      </c>
    </row>
    <row r="39" spans="1:5" x14ac:dyDescent="0.25">
      <c r="A39" s="131" t="s">
        <v>65</v>
      </c>
      <c r="B39" s="132">
        <v>94.428152492668616</v>
      </c>
      <c r="C39" s="132">
        <v>4.838709677419355</v>
      </c>
      <c r="D39" s="132">
        <v>0.73313782991202348</v>
      </c>
      <c r="E39" s="131">
        <v>692</v>
      </c>
    </row>
    <row r="40" spans="1:5" x14ac:dyDescent="0.25">
      <c r="A40" s="131" t="s">
        <v>66</v>
      </c>
      <c r="B40" s="132">
        <v>85.427135678391963</v>
      </c>
      <c r="C40" s="132">
        <v>12.562814070351759</v>
      </c>
      <c r="D40" s="132">
        <v>2.0100502512562812</v>
      </c>
      <c r="E40" s="131">
        <v>202</v>
      </c>
    </row>
    <row r="41" spans="1:5" x14ac:dyDescent="0.25">
      <c r="A41" s="131" t="s">
        <v>15</v>
      </c>
      <c r="B41" s="132">
        <v>91.304347826086953</v>
      </c>
      <c r="C41" s="132">
        <v>6.7632850241545892</v>
      </c>
      <c r="D41" s="132">
        <v>1.932367149758454</v>
      </c>
      <c r="E41" s="131">
        <v>627</v>
      </c>
    </row>
    <row r="42" spans="1:5" x14ac:dyDescent="0.25">
      <c r="A42" s="131" t="s">
        <v>16</v>
      </c>
      <c r="B42" s="132">
        <v>87.89473684210526</v>
      </c>
      <c r="C42" s="132">
        <v>10.526315789473685</v>
      </c>
      <c r="D42" s="132">
        <v>1.5789473684210527</v>
      </c>
      <c r="E42" s="131">
        <v>387</v>
      </c>
    </row>
    <row r="43" spans="1:5" x14ac:dyDescent="0.25">
      <c r="A43" s="131" t="s">
        <v>17</v>
      </c>
      <c r="B43" s="132">
        <v>80.412371134020617</v>
      </c>
      <c r="C43" s="132">
        <v>16.494845360824741</v>
      </c>
      <c r="D43" s="132">
        <v>3.0927835051546393</v>
      </c>
      <c r="E43" s="131">
        <v>99</v>
      </c>
    </row>
    <row r="44" spans="1:5" x14ac:dyDescent="0.25">
      <c r="A44" s="131" t="s">
        <v>24</v>
      </c>
      <c r="B44" s="132">
        <v>76.373626373626379</v>
      </c>
      <c r="C44" s="132">
        <v>21.428571428571427</v>
      </c>
      <c r="D44" s="132">
        <v>2.197802197802198</v>
      </c>
      <c r="E44" s="131">
        <v>185</v>
      </c>
    </row>
    <row r="47" spans="1:5" ht="14" x14ac:dyDescent="0.3">
      <c r="A47" s="126" t="s">
        <v>439</v>
      </c>
    </row>
    <row r="48" spans="1:5" ht="14" x14ac:dyDescent="0.3">
      <c r="A48" s="133" t="s">
        <v>158</v>
      </c>
      <c r="B48" s="136" t="s">
        <v>436</v>
      </c>
      <c r="C48" s="136" t="s">
        <v>437</v>
      </c>
      <c r="D48" s="136" t="s">
        <v>438</v>
      </c>
      <c r="E48" s="130" t="s">
        <v>421</v>
      </c>
    </row>
    <row r="49" spans="1:5" x14ac:dyDescent="0.25">
      <c r="A49" s="113" t="s">
        <v>74</v>
      </c>
      <c r="B49" s="132">
        <v>79.456193353474319</v>
      </c>
      <c r="C49" s="132">
        <v>16.76737160120846</v>
      </c>
      <c r="D49" s="132">
        <v>3.7764350453172204</v>
      </c>
      <c r="E49" s="131">
        <v>676</v>
      </c>
    </row>
    <row r="50" spans="1:5" x14ac:dyDescent="0.25">
      <c r="A50" s="110" t="s">
        <v>75</v>
      </c>
      <c r="B50" s="132">
        <v>81.639344262295083</v>
      </c>
      <c r="C50" s="132">
        <v>15.819672131147541</v>
      </c>
      <c r="D50" s="132">
        <v>2.540983606557377</v>
      </c>
      <c r="E50" s="131">
        <v>1238</v>
      </c>
    </row>
    <row r="51" spans="1:5" x14ac:dyDescent="0.25">
      <c r="A51" s="110" t="s">
        <v>76</v>
      </c>
      <c r="B51" s="132">
        <v>86.912751677852356</v>
      </c>
      <c r="C51" s="132">
        <v>10.738255033557047</v>
      </c>
      <c r="D51" s="132">
        <v>2.348993288590604</v>
      </c>
      <c r="E51" s="131">
        <v>1223</v>
      </c>
    </row>
    <row r="52" spans="1:5" x14ac:dyDescent="0.25">
      <c r="A52" s="110" t="s">
        <v>77</v>
      </c>
      <c r="B52" s="132">
        <v>86.325678496868477</v>
      </c>
      <c r="C52" s="132">
        <v>12.004175365344468</v>
      </c>
      <c r="D52" s="132">
        <v>1.6701461377870563</v>
      </c>
      <c r="E52" s="131">
        <v>1950</v>
      </c>
    </row>
    <row r="53" spans="1:5" x14ac:dyDescent="0.25">
      <c r="A53" s="110" t="s">
        <v>78</v>
      </c>
      <c r="B53" s="132">
        <v>88.877043354655299</v>
      </c>
      <c r="C53" s="132">
        <v>10.270078180525942</v>
      </c>
      <c r="D53" s="132">
        <v>0.85287846481876328</v>
      </c>
      <c r="E53" s="131">
        <v>2870</v>
      </c>
    </row>
    <row r="54" spans="1:5" x14ac:dyDescent="0.25">
      <c r="A54" s="110" t="s">
        <v>79</v>
      </c>
      <c r="B54" s="132">
        <v>93.423446841694826</v>
      </c>
      <c r="C54" s="132">
        <v>5.6667533142708608</v>
      </c>
      <c r="D54" s="132">
        <v>0.90979984403431247</v>
      </c>
      <c r="E54" s="131">
        <v>3899</v>
      </c>
    </row>
    <row r="56" spans="1:5" ht="14" x14ac:dyDescent="0.3">
      <c r="A56" s="128" t="s">
        <v>159</v>
      </c>
      <c r="B56" s="136" t="s">
        <v>436</v>
      </c>
      <c r="C56" s="136" t="s">
        <v>437</v>
      </c>
      <c r="D56" s="136" t="s">
        <v>438</v>
      </c>
      <c r="E56" s="130" t="s">
        <v>421</v>
      </c>
    </row>
    <row r="57" spans="1:5" x14ac:dyDescent="0.25">
      <c r="B57" s="132">
        <v>88.464509484164452</v>
      </c>
      <c r="C57" s="132">
        <v>10.03347352158613</v>
      </c>
      <c r="D57" s="132">
        <v>1.5020169942494206</v>
      </c>
      <c r="E57" s="131">
        <v>11856</v>
      </c>
    </row>
    <row r="59" spans="1:5" x14ac:dyDescent="0.25">
      <c r="A59" s="105" t="s">
        <v>670</v>
      </c>
    </row>
    <row r="60" spans="1:5" x14ac:dyDescent="0.25">
      <c r="A60" s="105" t="s">
        <v>671</v>
      </c>
    </row>
    <row r="61" spans="1:5" x14ac:dyDescent="0.25">
      <c r="A61" s="105" t="s">
        <v>672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A6" sqref="A6"/>
    </sheetView>
  </sheetViews>
  <sheetFormatPr defaultColWidth="8.7109375" defaultRowHeight="13.5" x14ac:dyDescent="0.25"/>
  <cols>
    <col min="1" max="1" width="19.7109375" style="105" customWidth="1"/>
    <col min="2" max="16384" width="8.7109375" style="105"/>
  </cols>
  <sheetData>
    <row r="1" spans="1:5" x14ac:dyDescent="0.25">
      <c r="A1" s="135" t="s">
        <v>440</v>
      </c>
    </row>
    <row r="4" spans="1:5" ht="14" x14ac:dyDescent="0.3">
      <c r="A4" s="128" t="s">
        <v>157</v>
      </c>
      <c r="B4" s="129" t="s">
        <v>441</v>
      </c>
      <c r="C4" s="129" t="s">
        <v>442</v>
      </c>
      <c r="D4" s="129" t="s">
        <v>443</v>
      </c>
      <c r="E4" s="130" t="s">
        <v>421</v>
      </c>
    </row>
    <row r="5" spans="1:5" x14ac:dyDescent="0.25">
      <c r="A5" s="131" t="s">
        <v>42</v>
      </c>
      <c r="B5" s="132">
        <v>79.310344827586206</v>
      </c>
      <c r="C5" s="132">
        <v>17.241379310344829</v>
      </c>
      <c r="D5" s="132">
        <v>3.4482758620689653</v>
      </c>
      <c r="E5" s="131">
        <v>119</v>
      </c>
    </row>
    <row r="6" spans="1:5" x14ac:dyDescent="0.25">
      <c r="A6" s="131" t="s">
        <v>43</v>
      </c>
      <c r="B6" s="132">
        <v>63.540090771558248</v>
      </c>
      <c r="C6" s="132">
        <v>29.95461422087746</v>
      </c>
      <c r="D6" s="132">
        <v>6.5052950075642961</v>
      </c>
      <c r="E6" s="131">
        <v>667</v>
      </c>
    </row>
    <row r="7" spans="1:5" x14ac:dyDescent="0.25">
      <c r="A7" s="131" t="s">
        <v>44</v>
      </c>
      <c r="B7" s="132">
        <v>75.460122699386503</v>
      </c>
      <c r="C7" s="132">
        <v>19.631901840490798</v>
      </c>
      <c r="D7" s="132">
        <v>4.9079754601226995</v>
      </c>
      <c r="E7" s="131">
        <v>165</v>
      </c>
    </row>
    <row r="8" spans="1:5" x14ac:dyDescent="0.25">
      <c r="A8" s="131" t="s">
        <v>68</v>
      </c>
      <c r="B8" s="132">
        <v>70.751633986928098</v>
      </c>
      <c r="C8" s="132">
        <v>23.03921568627451</v>
      </c>
      <c r="D8" s="132">
        <v>6.2091503267973858</v>
      </c>
      <c r="E8" s="131">
        <v>624</v>
      </c>
    </row>
    <row r="9" spans="1:5" x14ac:dyDescent="0.25">
      <c r="A9" s="131" t="s">
        <v>2</v>
      </c>
      <c r="B9" s="132">
        <v>82.65306122448979</v>
      </c>
      <c r="C9" s="132">
        <v>15.306122448979592</v>
      </c>
      <c r="D9" s="132">
        <v>2.0408163265306123</v>
      </c>
      <c r="E9" s="131">
        <v>99</v>
      </c>
    </row>
    <row r="10" spans="1:5" x14ac:dyDescent="0.25">
      <c r="A10" s="131" t="s">
        <v>3</v>
      </c>
      <c r="B10" s="132">
        <v>74.58193979933111</v>
      </c>
      <c r="C10" s="132">
        <v>22.073578595317727</v>
      </c>
      <c r="D10" s="132">
        <v>3.3444816053511706</v>
      </c>
      <c r="E10" s="131">
        <v>301</v>
      </c>
    </row>
    <row r="11" spans="1:5" x14ac:dyDescent="0.25">
      <c r="A11" s="131" t="s">
        <v>4</v>
      </c>
      <c r="B11" s="132">
        <v>72.773972602739732</v>
      </c>
      <c r="C11" s="132">
        <v>22.945205479452056</v>
      </c>
      <c r="D11" s="132">
        <v>4.2808219178082192</v>
      </c>
      <c r="E11" s="131">
        <v>600</v>
      </c>
    </row>
    <row r="12" spans="1:5" x14ac:dyDescent="0.25">
      <c r="A12" s="131" t="s">
        <v>46</v>
      </c>
      <c r="B12" s="132">
        <v>81.25</v>
      </c>
      <c r="C12" s="132">
        <v>14.583333333333334</v>
      </c>
      <c r="D12" s="132">
        <v>4.166666666666667</v>
      </c>
      <c r="E12" s="131">
        <v>148</v>
      </c>
    </row>
    <row r="13" spans="1:5" x14ac:dyDescent="0.25">
      <c r="A13" s="131" t="s">
        <v>5</v>
      </c>
      <c r="B13" s="132">
        <v>71.138845553822151</v>
      </c>
      <c r="C13" s="132">
        <v>24.336973478939157</v>
      </c>
      <c r="D13" s="132">
        <v>4.5241809672386895</v>
      </c>
      <c r="E13" s="131">
        <v>650</v>
      </c>
    </row>
    <row r="14" spans="1:5" x14ac:dyDescent="0.25">
      <c r="A14" s="131" t="s">
        <v>48</v>
      </c>
      <c r="B14" s="132">
        <v>72.519083969465655</v>
      </c>
      <c r="C14" s="132">
        <v>19.847328244274809</v>
      </c>
      <c r="D14" s="132">
        <v>7.6335877862595423</v>
      </c>
      <c r="E14" s="131">
        <v>135</v>
      </c>
    </row>
    <row r="15" spans="1:5" x14ac:dyDescent="0.25">
      <c r="A15" s="131" t="s">
        <v>49</v>
      </c>
      <c r="B15" s="132">
        <v>79.411764705882348</v>
      </c>
      <c r="C15" s="132">
        <v>18.627450980392158</v>
      </c>
      <c r="D15" s="132">
        <v>1.9607843137254901</v>
      </c>
      <c r="E15" s="131">
        <v>105</v>
      </c>
    </row>
    <row r="16" spans="1:5" x14ac:dyDescent="0.25">
      <c r="A16" s="131" t="s">
        <v>50</v>
      </c>
      <c r="B16" s="132">
        <v>80.851063829787236</v>
      </c>
      <c r="C16" s="132">
        <v>15.957446808510639</v>
      </c>
      <c r="D16" s="132">
        <v>3.1914893617021276</v>
      </c>
      <c r="E16" s="131">
        <v>194</v>
      </c>
    </row>
    <row r="17" spans="1:5" x14ac:dyDescent="0.25">
      <c r="A17" s="131" t="s">
        <v>69</v>
      </c>
      <c r="B17" s="132">
        <v>74.927953890489917</v>
      </c>
      <c r="C17" s="132">
        <v>21.32564841498559</v>
      </c>
      <c r="D17" s="132">
        <v>3.7463976945244957</v>
      </c>
      <c r="E17" s="131">
        <v>350</v>
      </c>
    </row>
    <row r="18" spans="1:5" x14ac:dyDescent="0.25">
      <c r="A18" s="131" t="s">
        <v>6</v>
      </c>
      <c r="B18" s="132">
        <v>78.067885117493475</v>
      </c>
      <c r="C18" s="132">
        <v>18.015665796344649</v>
      </c>
      <c r="D18" s="132">
        <v>3.9164490861618799</v>
      </c>
      <c r="E18" s="131">
        <v>389</v>
      </c>
    </row>
    <row r="19" spans="1:5" x14ac:dyDescent="0.25">
      <c r="A19" s="131" t="s">
        <v>70</v>
      </c>
      <c r="B19" s="132">
        <v>81.896551724137936</v>
      </c>
      <c r="C19" s="132">
        <v>13.362068965517242</v>
      </c>
      <c r="D19" s="132">
        <v>4.7413793103448274</v>
      </c>
      <c r="E19" s="131">
        <v>239</v>
      </c>
    </row>
    <row r="20" spans="1:5" x14ac:dyDescent="0.25">
      <c r="A20" s="131" t="s">
        <v>7</v>
      </c>
      <c r="B20" s="132">
        <v>75.757575757575751</v>
      </c>
      <c r="C20" s="132">
        <v>21.212121212121211</v>
      </c>
      <c r="D20" s="132">
        <v>3.0303030303030303</v>
      </c>
      <c r="E20" s="131">
        <v>168</v>
      </c>
    </row>
    <row r="21" spans="1:5" x14ac:dyDescent="0.25">
      <c r="A21" s="131" t="s">
        <v>22</v>
      </c>
      <c r="B21" s="132">
        <v>73.714285714285708</v>
      </c>
      <c r="C21" s="132">
        <v>23.428571428571427</v>
      </c>
      <c r="D21" s="132">
        <v>2.8571428571428572</v>
      </c>
      <c r="E21" s="131">
        <v>177</v>
      </c>
    </row>
    <row r="22" spans="1:5" x14ac:dyDescent="0.25">
      <c r="A22" s="131" t="s">
        <v>8</v>
      </c>
      <c r="B22" s="132">
        <v>77.862595419847324</v>
      </c>
      <c r="C22" s="132">
        <v>17.748091603053435</v>
      </c>
      <c r="D22" s="132">
        <v>4.3893129770992365</v>
      </c>
      <c r="E22" s="131">
        <v>533</v>
      </c>
    </row>
    <row r="23" spans="1:5" x14ac:dyDescent="0.25">
      <c r="A23" s="131" t="s">
        <v>9</v>
      </c>
      <c r="B23" s="132">
        <v>77.131782945736433</v>
      </c>
      <c r="C23" s="132">
        <v>18.604651162790699</v>
      </c>
      <c r="D23" s="132">
        <v>4.2635658914728678</v>
      </c>
      <c r="E23" s="131">
        <v>262</v>
      </c>
    </row>
    <row r="24" spans="1:5" x14ac:dyDescent="0.25">
      <c r="A24" s="131" t="s">
        <v>54</v>
      </c>
      <c r="B24" s="132">
        <v>83.435582822085891</v>
      </c>
      <c r="C24" s="132">
        <v>12.883435582822086</v>
      </c>
      <c r="D24" s="132">
        <v>3.6809815950920246</v>
      </c>
      <c r="E24" s="131">
        <v>168</v>
      </c>
    </row>
    <row r="25" spans="1:5" x14ac:dyDescent="0.25">
      <c r="A25" s="131" t="s">
        <v>71</v>
      </c>
      <c r="B25" s="132">
        <v>80.841121495327101</v>
      </c>
      <c r="C25" s="132">
        <v>15.186915887850468</v>
      </c>
      <c r="D25" s="132">
        <v>3.97196261682243</v>
      </c>
      <c r="E25" s="131">
        <v>437</v>
      </c>
    </row>
    <row r="26" spans="1:5" x14ac:dyDescent="0.25">
      <c r="A26" s="131" t="s">
        <v>10</v>
      </c>
      <c r="B26" s="132">
        <v>70.697674418604649</v>
      </c>
      <c r="C26" s="132">
        <v>24.186046511627907</v>
      </c>
      <c r="D26" s="132">
        <v>5.1162790697674421</v>
      </c>
      <c r="E26" s="131">
        <v>219</v>
      </c>
    </row>
    <row r="27" spans="1:5" x14ac:dyDescent="0.25">
      <c r="A27" s="131" t="s">
        <v>56</v>
      </c>
      <c r="B27" s="132">
        <v>80.337078651685388</v>
      </c>
      <c r="C27" s="132">
        <v>15.730337078651685</v>
      </c>
      <c r="D27" s="132">
        <v>3.9325842696629212</v>
      </c>
      <c r="E27" s="131">
        <v>179</v>
      </c>
    </row>
    <row r="28" spans="1:5" x14ac:dyDescent="0.25">
      <c r="A28" s="131" t="s">
        <v>11</v>
      </c>
      <c r="B28" s="132">
        <v>69.716088328075713</v>
      </c>
      <c r="C28" s="132">
        <v>24.605678233438486</v>
      </c>
      <c r="D28" s="132">
        <v>5.6782334384858046</v>
      </c>
      <c r="E28" s="131">
        <v>639</v>
      </c>
    </row>
    <row r="29" spans="1:5" x14ac:dyDescent="0.25">
      <c r="A29" s="131" t="s">
        <v>58</v>
      </c>
      <c r="B29" s="132">
        <v>83.333333333333329</v>
      </c>
      <c r="C29" s="132">
        <v>14.814814814814815</v>
      </c>
      <c r="D29" s="132">
        <v>1.8518518518518519</v>
      </c>
      <c r="E29" s="131">
        <v>114</v>
      </c>
    </row>
    <row r="30" spans="1:5" x14ac:dyDescent="0.25">
      <c r="A30" s="131" t="s">
        <v>59</v>
      </c>
      <c r="B30" s="132">
        <v>79.577464788732399</v>
      </c>
      <c r="C30" s="132">
        <v>16.197183098591548</v>
      </c>
      <c r="D30" s="132">
        <v>4.225352112676056</v>
      </c>
      <c r="E30" s="131">
        <v>143</v>
      </c>
    </row>
    <row r="31" spans="1:5" x14ac:dyDescent="0.25">
      <c r="A31" s="131" t="s">
        <v>60</v>
      </c>
      <c r="B31" s="132">
        <v>71.942446043165461</v>
      </c>
      <c r="C31" s="132">
        <v>23.021582733812949</v>
      </c>
      <c r="D31" s="132">
        <v>5.0359712230215825</v>
      </c>
      <c r="E31" s="131">
        <v>144</v>
      </c>
    </row>
    <row r="32" spans="1:5" x14ac:dyDescent="0.25">
      <c r="A32" s="131" t="s">
        <v>12</v>
      </c>
      <c r="B32" s="132">
        <v>82.706766917293237</v>
      </c>
      <c r="C32" s="132">
        <v>12.781954887218046</v>
      </c>
      <c r="D32" s="132">
        <v>4.511278195488722</v>
      </c>
      <c r="E32" s="131">
        <v>135</v>
      </c>
    </row>
    <row r="33" spans="1:5" x14ac:dyDescent="0.25">
      <c r="A33" s="131" t="s">
        <v>61</v>
      </c>
      <c r="B33" s="132">
        <v>73.469387755102048</v>
      </c>
      <c r="C33" s="132">
        <v>22.448979591836736</v>
      </c>
      <c r="D33" s="132">
        <v>4.0816326530612246</v>
      </c>
      <c r="E33" s="131">
        <v>248</v>
      </c>
    </row>
    <row r="34" spans="1:5" x14ac:dyDescent="0.25">
      <c r="A34" s="131" t="s">
        <v>62</v>
      </c>
      <c r="B34" s="132">
        <v>85.087719298245617</v>
      </c>
      <c r="C34" s="132">
        <v>7.8947368421052628</v>
      </c>
      <c r="D34" s="132">
        <v>7.0175438596491224</v>
      </c>
      <c r="E34" s="131">
        <v>115</v>
      </c>
    </row>
    <row r="35" spans="1:5" x14ac:dyDescent="0.25">
      <c r="A35" s="131" t="s">
        <v>23</v>
      </c>
      <c r="B35" s="132">
        <v>73.760932944606409</v>
      </c>
      <c r="C35" s="132">
        <v>20.408163265306122</v>
      </c>
      <c r="D35" s="132">
        <v>5.8309037900874632</v>
      </c>
      <c r="E35" s="131">
        <v>348</v>
      </c>
    </row>
    <row r="36" spans="1:5" x14ac:dyDescent="0.25">
      <c r="A36" s="131" t="s">
        <v>13</v>
      </c>
      <c r="B36" s="132">
        <v>76.061776061776058</v>
      </c>
      <c r="C36" s="132">
        <v>18.339768339768341</v>
      </c>
      <c r="D36" s="132">
        <v>5.5984555984555984</v>
      </c>
      <c r="E36" s="131">
        <v>525</v>
      </c>
    </row>
    <row r="37" spans="1:5" x14ac:dyDescent="0.25">
      <c r="A37" s="131" t="s">
        <v>14</v>
      </c>
      <c r="B37" s="132">
        <v>70.967741935483872</v>
      </c>
      <c r="C37" s="132">
        <v>24.516129032258064</v>
      </c>
      <c r="D37" s="132">
        <v>4.5161290322580649</v>
      </c>
      <c r="E37" s="131">
        <v>158</v>
      </c>
    </row>
    <row r="38" spans="1:5" x14ac:dyDescent="0.25">
      <c r="A38" s="131" t="s">
        <v>64</v>
      </c>
      <c r="B38" s="132">
        <v>74.545454545454547</v>
      </c>
      <c r="C38" s="132">
        <v>20.606060606060606</v>
      </c>
      <c r="D38" s="132">
        <v>4.8484848484848486</v>
      </c>
      <c r="E38" s="131">
        <v>167</v>
      </c>
    </row>
    <row r="39" spans="1:5" x14ac:dyDescent="0.25">
      <c r="A39" s="131" t="s">
        <v>65</v>
      </c>
      <c r="B39" s="132">
        <v>68.67647058823529</v>
      </c>
      <c r="C39" s="132">
        <v>23.676470588235293</v>
      </c>
      <c r="D39" s="132">
        <v>7.6470588235294121</v>
      </c>
      <c r="E39" s="131">
        <v>692</v>
      </c>
    </row>
    <row r="40" spans="1:5" x14ac:dyDescent="0.25">
      <c r="A40" s="131" t="s">
        <v>66</v>
      </c>
      <c r="B40" s="132">
        <v>80.099502487562191</v>
      </c>
      <c r="C40" s="132">
        <v>16.417910447761194</v>
      </c>
      <c r="D40" s="132">
        <v>3.4825870646766171</v>
      </c>
      <c r="E40" s="131">
        <v>202</v>
      </c>
    </row>
    <row r="41" spans="1:5" x14ac:dyDescent="0.25">
      <c r="A41" s="131" t="s">
        <v>15</v>
      </c>
      <c r="B41" s="132">
        <v>67.096774193548384</v>
      </c>
      <c r="C41" s="132">
        <v>25.483870967741936</v>
      </c>
      <c r="D41" s="132">
        <v>7.419354838709677</v>
      </c>
      <c r="E41" s="131">
        <v>627</v>
      </c>
    </row>
    <row r="42" spans="1:5" x14ac:dyDescent="0.25">
      <c r="A42" s="131" t="s">
        <v>16</v>
      </c>
      <c r="B42" s="132">
        <v>68.84816753926701</v>
      </c>
      <c r="C42" s="132">
        <v>26.439790575916231</v>
      </c>
      <c r="D42" s="132">
        <v>4.7120418848167542</v>
      </c>
      <c r="E42" s="131">
        <v>387</v>
      </c>
    </row>
    <row r="43" spans="1:5" x14ac:dyDescent="0.25">
      <c r="A43" s="131" t="s">
        <v>17</v>
      </c>
      <c r="B43" s="132">
        <v>75.78947368421052</v>
      </c>
      <c r="C43" s="132">
        <v>21.05263157894737</v>
      </c>
      <c r="D43" s="132">
        <v>3.1578947368421053</v>
      </c>
      <c r="E43" s="131">
        <v>99</v>
      </c>
    </row>
    <row r="44" spans="1:5" x14ac:dyDescent="0.25">
      <c r="A44" s="131" t="s">
        <v>24</v>
      </c>
      <c r="B44" s="132">
        <v>71.584699453551906</v>
      </c>
      <c r="C44" s="132">
        <v>23.497267759562842</v>
      </c>
      <c r="D44" s="132">
        <v>4.918032786885246</v>
      </c>
      <c r="E44" s="131">
        <v>185</v>
      </c>
    </row>
    <row r="47" spans="1:5" ht="14" x14ac:dyDescent="0.3">
      <c r="A47" s="133" t="s">
        <v>158</v>
      </c>
      <c r="B47" s="129" t="s">
        <v>441</v>
      </c>
      <c r="C47" s="129" t="s">
        <v>442</v>
      </c>
      <c r="D47" s="129" t="s">
        <v>443</v>
      </c>
      <c r="E47" s="130" t="s">
        <v>421</v>
      </c>
    </row>
    <row r="48" spans="1:5" x14ac:dyDescent="0.25">
      <c r="A48" s="113" t="s">
        <v>74</v>
      </c>
      <c r="B48" s="132">
        <v>79.420731707317074</v>
      </c>
      <c r="C48" s="132">
        <v>16.920731707317074</v>
      </c>
      <c r="D48" s="132">
        <v>3.6585365853658538</v>
      </c>
      <c r="E48" s="131">
        <v>676</v>
      </c>
    </row>
    <row r="49" spans="1:5" x14ac:dyDescent="0.25">
      <c r="A49" s="110" t="s">
        <v>75</v>
      </c>
      <c r="B49" s="132">
        <v>76.803278688524586</v>
      </c>
      <c r="C49" s="132">
        <v>18.934426229508198</v>
      </c>
      <c r="D49" s="132">
        <v>4.2622950819672134</v>
      </c>
      <c r="E49" s="131">
        <v>1238</v>
      </c>
    </row>
    <row r="50" spans="1:5" x14ac:dyDescent="0.25">
      <c r="A50" s="110" t="s">
        <v>76</v>
      </c>
      <c r="B50" s="132">
        <v>76.441102756892235</v>
      </c>
      <c r="C50" s="132">
        <v>19.21470342522974</v>
      </c>
      <c r="D50" s="132">
        <v>4.3441938178780282</v>
      </c>
      <c r="E50" s="131">
        <v>1223</v>
      </c>
    </row>
    <row r="51" spans="1:5" x14ac:dyDescent="0.25">
      <c r="A51" s="110" t="s">
        <v>77</v>
      </c>
      <c r="B51" s="132">
        <v>76.15584415584415</v>
      </c>
      <c r="C51" s="132">
        <v>19.584415584415584</v>
      </c>
      <c r="D51" s="132">
        <v>4.2597402597402594</v>
      </c>
      <c r="E51" s="131">
        <v>1950</v>
      </c>
    </row>
    <row r="52" spans="1:5" x14ac:dyDescent="0.25">
      <c r="A52" s="110" t="s">
        <v>78</v>
      </c>
      <c r="B52" s="132">
        <v>75.727466288147625</v>
      </c>
      <c r="C52" s="132">
        <v>19.765791341376865</v>
      </c>
      <c r="D52" s="132">
        <v>4.5067423704755143</v>
      </c>
      <c r="E52" s="131">
        <v>2870</v>
      </c>
    </row>
    <row r="53" spans="1:5" x14ac:dyDescent="0.25">
      <c r="A53" s="110" t="s">
        <v>79</v>
      </c>
      <c r="B53" s="132">
        <v>68.451143451143452</v>
      </c>
      <c r="C53" s="132">
        <v>25.207900207900209</v>
      </c>
      <c r="D53" s="132">
        <v>6.3409563409563408</v>
      </c>
      <c r="E53" s="131">
        <v>3899</v>
      </c>
    </row>
    <row r="55" spans="1:5" ht="14" x14ac:dyDescent="0.3">
      <c r="A55" s="128" t="s">
        <v>159</v>
      </c>
      <c r="B55" s="129" t="s">
        <v>441</v>
      </c>
      <c r="C55" s="129" t="s">
        <v>442</v>
      </c>
      <c r="D55" s="129" t="s">
        <v>443</v>
      </c>
      <c r="E55" s="130" t="s">
        <v>421</v>
      </c>
    </row>
    <row r="56" spans="1:5" x14ac:dyDescent="0.25">
      <c r="B56" s="132">
        <v>73.791152263374485</v>
      </c>
      <c r="C56" s="132">
        <v>21.227709190672154</v>
      </c>
      <c r="D56" s="132">
        <v>4.9811385459533604</v>
      </c>
      <c r="E56" s="131">
        <v>11856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A6" sqref="A6"/>
    </sheetView>
  </sheetViews>
  <sheetFormatPr defaultColWidth="8.7109375" defaultRowHeight="13.5" x14ac:dyDescent="0.25"/>
  <cols>
    <col min="1" max="1" width="21.140625" style="105" customWidth="1"/>
    <col min="2" max="2" width="10.140625" style="105" customWidth="1"/>
    <col min="3" max="3" width="17.5" style="105" customWidth="1"/>
    <col min="4" max="4" width="17" style="105" customWidth="1"/>
    <col min="5" max="5" width="15.640625" style="105" customWidth="1"/>
    <col min="6" max="6" width="15.78515625" style="105" customWidth="1"/>
    <col min="7" max="16384" width="8.7109375" style="105"/>
  </cols>
  <sheetData>
    <row r="1" spans="1:7" x14ac:dyDescent="0.25">
      <c r="A1" s="135" t="s">
        <v>444</v>
      </c>
    </row>
    <row r="3" spans="1:7" x14ac:dyDescent="0.25">
      <c r="B3" s="132"/>
      <c r="C3" s="132"/>
      <c r="D3" s="132"/>
      <c r="E3" s="132"/>
      <c r="F3" s="132"/>
      <c r="G3" s="131"/>
    </row>
    <row r="4" spans="1:7" ht="14" x14ac:dyDescent="0.3">
      <c r="A4" s="128" t="s">
        <v>157</v>
      </c>
      <c r="B4" s="134" t="s">
        <v>445</v>
      </c>
      <c r="C4" s="134" t="s">
        <v>446</v>
      </c>
      <c r="D4" s="134" t="s">
        <v>447</v>
      </c>
      <c r="E4" s="134" t="s">
        <v>448</v>
      </c>
      <c r="F4" s="134" t="s">
        <v>449</v>
      </c>
      <c r="G4" s="128" t="s">
        <v>421</v>
      </c>
    </row>
    <row r="5" spans="1:7" x14ac:dyDescent="0.25">
      <c r="A5" s="131" t="s">
        <v>42</v>
      </c>
      <c r="B5" s="132">
        <v>25.641025641025642</v>
      </c>
      <c r="C5" s="132">
        <v>35.042735042735046</v>
      </c>
      <c r="D5" s="132">
        <v>33.333333333333336</v>
      </c>
      <c r="E5" s="132">
        <v>5.1282051282051286</v>
      </c>
      <c r="F5" s="132">
        <v>0.85470085470085466</v>
      </c>
      <c r="G5" s="131">
        <v>119</v>
      </c>
    </row>
    <row r="6" spans="1:7" x14ac:dyDescent="0.25">
      <c r="A6" s="131" t="s">
        <v>43</v>
      </c>
      <c r="B6" s="132">
        <v>19.335347432024168</v>
      </c>
      <c r="C6" s="132">
        <v>44.108761329305139</v>
      </c>
      <c r="D6" s="132">
        <v>32.024169184290031</v>
      </c>
      <c r="E6" s="132">
        <v>2.416918429003021</v>
      </c>
      <c r="F6" s="132">
        <v>2.1148036253776437</v>
      </c>
      <c r="G6" s="131">
        <v>667</v>
      </c>
    </row>
    <row r="7" spans="1:7" x14ac:dyDescent="0.25">
      <c r="A7" s="131" t="s">
        <v>44</v>
      </c>
      <c r="B7" s="132">
        <v>21.739130434782609</v>
      </c>
      <c r="C7" s="132">
        <v>40.372670807453417</v>
      </c>
      <c r="D7" s="132">
        <v>34.161490683229815</v>
      </c>
      <c r="E7" s="132">
        <v>3.7267080745341614</v>
      </c>
      <c r="F7" s="132">
        <v>0</v>
      </c>
      <c r="G7" s="131">
        <v>165</v>
      </c>
    </row>
    <row r="8" spans="1:7" x14ac:dyDescent="0.25">
      <c r="A8" s="131" t="s">
        <v>68</v>
      </c>
      <c r="B8" s="132">
        <v>18.00327332242226</v>
      </c>
      <c r="C8" s="132">
        <v>46.644844517184943</v>
      </c>
      <c r="D8" s="132">
        <v>30.114566284779052</v>
      </c>
      <c r="E8" s="132">
        <v>3.6006546644844519</v>
      </c>
      <c r="F8" s="132">
        <v>1.6366612111292962</v>
      </c>
      <c r="G8" s="131">
        <v>624</v>
      </c>
    </row>
    <row r="9" spans="1:7" x14ac:dyDescent="0.25">
      <c r="A9" s="131" t="s">
        <v>2</v>
      </c>
      <c r="B9" s="132">
        <v>18.75</v>
      </c>
      <c r="C9" s="132">
        <v>37.5</v>
      </c>
      <c r="D9" s="132">
        <v>41.666666666666664</v>
      </c>
      <c r="E9" s="132">
        <v>2.0833333333333335</v>
      </c>
      <c r="F9" s="132">
        <v>0</v>
      </c>
      <c r="G9" s="131">
        <v>99</v>
      </c>
    </row>
    <row r="10" spans="1:7" x14ac:dyDescent="0.25">
      <c r="A10" s="131" t="s">
        <v>3</v>
      </c>
      <c r="B10" s="132">
        <v>15.436241610738255</v>
      </c>
      <c r="C10" s="132">
        <v>45.973154362416111</v>
      </c>
      <c r="D10" s="132">
        <v>33.892617449664428</v>
      </c>
      <c r="E10" s="132">
        <v>3.3557046979865772</v>
      </c>
      <c r="F10" s="132">
        <v>1.3422818791946309</v>
      </c>
      <c r="G10" s="131">
        <v>301</v>
      </c>
    </row>
    <row r="11" spans="1:7" x14ac:dyDescent="0.25">
      <c r="A11" s="131" t="s">
        <v>4</v>
      </c>
      <c r="B11" s="132">
        <v>18.835616438356166</v>
      </c>
      <c r="C11" s="132">
        <v>42.636986301369866</v>
      </c>
      <c r="D11" s="132">
        <v>32.363013698630134</v>
      </c>
      <c r="E11" s="132">
        <v>3.7671232876712328</v>
      </c>
      <c r="F11" s="132">
        <v>2.3972602739726026</v>
      </c>
      <c r="G11" s="131">
        <v>600</v>
      </c>
    </row>
    <row r="12" spans="1:7" x14ac:dyDescent="0.25">
      <c r="A12" s="131" t="s">
        <v>46</v>
      </c>
      <c r="B12" s="132">
        <v>11.888111888111888</v>
      </c>
      <c r="C12" s="132">
        <v>38.46153846153846</v>
      </c>
      <c r="D12" s="132">
        <v>45.454545454545453</v>
      </c>
      <c r="E12" s="132">
        <v>2.7972027972027971</v>
      </c>
      <c r="F12" s="132">
        <v>1.3986013986013985</v>
      </c>
      <c r="G12" s="131">
        <v>148</v>
      </c>
    </row>
    <row r="13" spans="1:7" x14ac:dyDescent="0.25">
      <c r="A13" s="131" t="s">
        <v>5</v>
      </c>
      <c r="B13" s="132">
        <v>15.905511811023622</v>
      </c>
      <c r="C13" s="132">
        <v>49.763779527559052</v>
      </c>
      <c r="D13" s="132">
        <v>28.661417322834644</v>
      </c>
      <c r="E13" s="132">
        <v>3.1496062992125986</v>
      </c>
      <c r="F13" s="132">
        <v>2.5196850393700787</v>
      </c>
      <c r="G13" s="131">
        <v>650</v>
      </c>
    </row>
    <row r="14" spans="1:7" x14ac:dyDescent="0.25">
      <c r="A14" s="131" t="s">
        <v>48</v>
      </c>
      <c r="B14" s="132">
        <v>23.255813953488371</v>
      </c>
      <c r="C14" s="132">
        <v>41.860465116279073</v>
      </c>
      <c r="D14" s="132">
        <v>30.232558139534884</v>
      </c>
      <c r="E14" s="132">
        <v>2.3255813953488373</v>
      </c>
      <c r="F14" s="132">
        <v>2.3255813953488373</v>
      </c>
      <c r="G14" s="131">
        <v>135</v>
      </c>
    </row>
    <row r="15" spans="1:7" x14ac:dyDescent="0.25">
      <c r="A15" s="131" t="s">
        <v>49</v>
      </c>
      <c r="B15" s="132">
        <v>34.615384615384613</v>
      </c>
      <c r="C15" s="132">
        <v>39.42307692307692</v>
      </c>
      <c r="D15" s="132">
        <v>22.115384615384617</v>
      </c>
      <c r="E15" s="132">
        <v>2.8846153846153846</v>
      </c>
      <c r="F15" s="132">
        <v>0.96153846153846156</v>
      </c>
      <c r="G15" s="131">
        <v>105</v>
      </c>
    </row>
    <row r="16" spans="1:7" x14ac:dyDescent="0.25">
      <c r="A16" s="131" t="s">
        <v>50</v>
      </c>
      <c r="B16" s="132">
        <v>21.276595744680851</v>
      </c>
      <c r="C16" s="132">
        <v>49.468085106382979</v>
      </c>
      <c r="D16" s="132">
        <v>23.404255319148938</v>
      </c>
      <c r="E16" s="132">
        <v>4.2553191489361701</v>
      </c>
      <c r="F16" s="132">
        <v>1.5957446808510638</v>
      </c>
      <c r="G16" s="131">
        <v>194</v>
      </c>
    </row>
    <row r="17" spans="1:7" x14ac:dyDescent="0.25">
      <c r="A17" s="131" t="s">
        <v>69</v>
      </c>
      <c r="B17" s="132">
        <v>19.705882352941178</v>
      </c>
      <c r="C17" s="132">
        <v>44.117647058823529</v>
      </c>
      <c r="D17" s="132">
        <v>30</v>
      </c>
      <c r="E17" s="132">
        <v>3.5294117647058822</v>
      </c>
      <c r="F17" s="132">
        <v>2.6470588235294117</v>
      </c>
      <c r="G17" s="131">
        <v>350</v>
      </c>
    </row>
    <row r="18" spans="1:7" x14ac:dyDescent="0.25">
      <c r="A18" s="131" t="s">
        <v>6</v>
      </c>
      <c r="B18" s="132">
        <v>17.277486910994764</v>
      </c>
      <c r="C18" s="132">
        <v>41.623036649214662</v>
      </c>
      <c r="D18" s="132">
        <v>35.078534031413611</v>
      </c>
      <c r="E18" s="132">
        <v>4.7120418848167542</v>
      </c>
      <c r="F18" s="132">
        <v>1.3089005235602094</v>
      </c>
      <c r="G18" s="131">
        <v>389</v>
      </c>
    </row>
    <row r="19" spans="1:7" x14ac:dyDescent="0.25">
      <c r="A19" s="131" t="s">
        <v>70</v>
      </c>
      <c r="B19" s="132">
        <v>24.675324675324674</v>
      </c>
      <c r="C19" s="132">
        <v>37.229437229437231</v>
      </c>
      <c r="D19" s="132">
        <v>32.034632034632033</v>
      </c>
      <c r="E19" s="132">
        <v>3.8961038961038961</v>
      </c>
      <c r="F19" s="132">
        <v>2.1645021645021645</v>
      </c>
      <c r="G19" s="131">
        <v>239</v>
      </c>
    </row>
    <row r="20" spans="1:7" x14ac:dyDescent="0.25">
      <c r="A20" s="131" t="s">
        <v>7</v>
      </c>
      <c r="B20" s="132">
        <v>23.353293413173652</v>
      </c>
      <c r="C20" s="132">
        <v>39.520958083832333</v>
      </c>
      <c r="D20" s="132">
        <v>31.736526946107784</v>
      </c>
      <c r="E20" s="132">
        <v>3.5928143712574849</v>
      </c>
      <c r="F20" s="132">
        <v>1.7964071856287425</v>
      </c>
      <c r="G20" s="131">
        <v>168</v>
      </c>
    </row>
    <row r="21" spans="1:7" x14ac:dyDescent="0.25">
      <c r="A21" s="131" t="s">
        <v>22</v>
      </c>
      <c r="B21" s="132">
        <v>27.745664739884393</v>
      </c>
      <c r="C21" s="132">
        <v>36.994219653179194</v>
      </c>
      <c r="D21" s="132">
        <v>32.369942196531795</v>
      </c>
      <c r="E21" s="132">
        <v>1.7341040462427746</v>
      </c>
      <c r="F21" s="132">
        <v>1.1560693641618498</v>
      </c>
      <c r="G21" s="131">
        <v>177</v>
      </c>
    </row>
    <row r="22" spans="1:7" x14ac:dyDescent="0.25">
      <c r="A22" s="131" t="s">
        <v>8</v>
      </c>
      <c r="B22" s="132">
        <v>18.355640535372849</v>
      </c>
      <c r="C22" s="132">
        <v>41.491395793499045</v>
      </c>
      <c r="D22" s="132">
        <v>34.034416826003827</v>
      </c>
      <c r="E22" s="132">
        <v>4.3977055449330784</v>
      </c>
      <c r="F22" s="132">
        <v>1.7208413001912046</v>
      </c>
      <c r="G22" s="131">
        <v>533</v>
      </c>
    </row>
    <row r="23" spans="1:7" x14ac:dyDescent="0.25">
      <c r="A23" s="131" t="s">
        <v>9</v>
      </c>
      <c r="B23" s="132">
        <v>15.748031496062993</v>
      </c>
      <c r="C23" s="132">
        <v>48.425196850393704</v>
      </c>
      <c r="D23" s="132">
        <v>32.677165354330711</v>
      </c>
      <c r="E23" s="132">
        <v>1.9685039370078741</v>
      </c>
      <c r="F23" s="132">
        <v>1.1811023622047243</v>
      </c>
      <c r="G23" s="131">
        <v>262</v>
      </c>
    </row>
    <row r="24" spans="1:7" x14ac:dyDescent="0.25">
      <c r="A24" s="131" t="s">
        <v>54</v>
      </c>
      <c r="B24" s="132">
        <v>19.277108433734941</v>
      </c>
      <c r="C24" s="132">
        <v>40.361445783132531</v>
      </c>
      <c r="D24" s="132">
        <v>31.325301204819276</v>
      </c>
      <c r="E24" s="132">
        <v>6.024096385542169</v>
      </c>
      <c r="F24" s="132">
        <v>3.0120481927710845</v>
      </c>
      <c r="G24" s="131">
        <v>168</v>
      </c>
    </row>
    <row r="25" spans="1:7" x14ac:dyDescent="0.25">
      <c r="A25" s="131" t="s">
        <v>71</v>
      </c>
      <c r="B25" s="132">
        <v>18.544600938967136</v>
      </c>
      <c r="C25" s="132">
        <v>44.600938967136152</v>
      </c>
      <c r="D25" s="132">
        <v>30.751173708920188</v>
      </c>
      <c r="E25" s="132">
        <v>3.9906103286384975</v>
      </c>
      <c r="F25" s="132">
        <v>2.112676056338028</v>
      </c>
      <c r="G25" s="131">
        <v>437</v>
      </c>
    </row>
    <row r="26" spans="1:7" x14ac:dyDescent="0.25">
      <c r="A26" s="131" t="s">
        <v>10</v>
      </c>
      <c r="B26" s="132">
        <v>35.2112676056338</v>
      </c>
      <c r="C26" s="132">
        <v>39.436619718309856</v>
      </c>
      <c r="D26" s="132">
        <v>20.657276995305164</v>
      </c>
      <c r="E26" s="132">
        <v>3.2863849765258215</v>
      </c>
      <c r="F26" s="132">
        <v>1.408450704225352</v>
      </c>
      <c r="G26" s="131">
        <v>219</v>
      </c>
    </row>
    <row r="27" spans="1:7" x14ac:dyDescent="0.25">
      <c r="A27" s="131" t="s">
        <v>56</v>
      </c>
      <c r="B27" s="132">
        <v>25.287356321839081</v>
      </c>
      <c r="C27" s="132">
        <v>38.505747126436781</v>
      </c>
      <c r="D27" s="132">
        <v>28.160919540229884</v>
      </c>
      <c r="E27" s="132">
        <v>6.8965517241379306</v>
      </c>
      <c r="F27" s="132">
        <v>1.1494252873563218</v>
      </c>
      <c r="G27" s="131">
        <v>179</v>
      </c>
    </row>
    <row r="28" spans="1:7" x14ac:dyDescent="0.25">
      <c r="A28" s="131" t="s">
        <v>11</v>
      </c>
      <c r="B28" s="132">
        <v>15.555555555555555</v>
      </c>
      <c r="C28" s="132">
        <v>43.968253968253968</v>
      </c>
      <c r="D28" s="132">
        <v>34.285714285714285</v>
      </c>
      <c r="E28" s="132">
        <v>3.6507936507936507</v>
      </c>
      <c r="F28" s="132">
        <v>2.5396825396825395</v>
      </c>
      <c r="G28" s="131">
        <v>639</v>
      </c>
    </row>
    <row r="29" spans="1:7" x14ac:dyDescent="0.25">
      <c r="A29" s="131" t="s">
        <v>58</v>
      </c>
      <c r="B29" s="132">
        <v>24.324324324324323</v>
      </c>
      <c r="C29" s="132">
        <v>35.135135135135137</v>
      </c>
      <c r="D29" s="132">
        <v>30.63063063063063</v>
      </c>
      <c r="E29" s="132">
        <v>8.1081081081081088</v>
      </c>
      <c r="F29" s="132">
        <v>1.8018018018018018</v>
      </c>
      <c r="G29" s="131">
        <v>114</v>
      </c>
    </row>
    <row r="30" spans="1:7" x14ac:dyDescent="0.25">
      <c r="A30" s="131" t="s">
        <v>59</v>
      </c>
      <c r="B30" s="132">
        <v>14.893617021276595</v>
      </c>
      <c r="C30" s="132">
        <v>39.716312056737586</v>
      </c>
      <c r="D30" s="132">
        <v>38.297872340425535</v>
      </c>
      <c r="E30" s="132">
        <v>4.2553191489361701</v>
      </c>
      <c r="F30" s="132">
        <v>2.8368794326241136</v>
      </c>
      <c r="G30" s="131">
        <v>143</v>
      </c>
    </row>
    <row r="31" spans="1:7" x14ac:dyDescent="0.25">
      <c r="A31" s="131" t="s">
        <v>60</v>
      </c>
      <c r="B31" s="132">
        <v>17.391304347826086</v>
      </c>
      <c r="C31" s="132">
        <v>42.753623188405797</v>
      </c>
      <c r="D31" s="132">
        <v>34.05797101449275</v>
      </c>
      <c r="E31" s="132">
        <v>4.3478260869565215</v>
      </c>
      <c r="F31" s="132">
        <v>1.4492753623188406</v>
      </c>
      <c r="G31" s="131">
        <v>144</v>
      </c>
    </row>
    <row r="32" spans="1:7" x14ac:dyDescent="0.25">
      <c r="A32" s="131" t="s">
        <v>12</v>
      </c>
      <c r="B32" s="132">
        <v>23.484848484848484</v>
      </c>
      <c r="C32" s="132">
        <v>40.909090909090907</v>
      </c>
      <c r="D32" s="132">
        <v>31.060606060606062</v>
      </c>
      <c r="E32" s="132">
        <v>4.5454545454545459</v>
      </c>
      <c r="F32" s="132">
        <v>0</v>
      </c>
      <c r="G32" s="131">
        <v>135</v>
      </c>
    </row>
    <row r="33" spans="1:7" x14ac:dyDescent="0.25">
      <c r="A33" s="131" t="s">
        <v>61</v>
      </c>
      <c r="B33" s="132">
        <v>19.512195121951219</v>
      </c>
      <c r="C33" s="132">
        <v>47.560975609756099</v>
      </c>
      <c r="D33" s="132">
        <v>28.048780487804876</v>
      </c>
      <c r="E33" s="132">
        <v>3.2520325203252032</v>
      </c>
      <c r="F33" s="132">
        <v>1.6260162601626016</v>
      </c>
      <c r="G33" s="131">
        <v>248</v>
      </c>
    </row>
    <row r="34" spans="1:7" x14ac:dyDescent="0.25">
      <c r="A34" s="131" t="s">
        <v>62</v>
      </c>
      <c r="B34" s="132">
        <v>23.214285714285715</v>
      </c>
      <c r="C34" s="132">
        <v>39.285714285714285</v>
      </c>
      <c r="D34" s="132">
        <v>33.928571428571431</v>
      </c>
      <c r="E34" s="132">
        <v>1.7857142857142858</v>
      </c>
      <c r="F34" s="132">
        <v>1.7857142857142858</v>
      </c>
      <c r="G34" s="131">
        <v>115</v>
      </c>
    </row>
    <row r="35" spans="1:7" x14ac:dyDescent="0.25">
      <c r="A35" s="131" t="s">
        <v>23</v>
      </c>
      <c r="B35" s="132">
        <v>27.192982456140349</v>
      </c>
      <c r="C35" s="132">
        <v>39.473684210526315</v>
      </c>
      <c r="D35" s="132">
        <v>28.654970760233919</v>
      </c>
      <c r="E35" s="132">
        <v>3.801169590643275</v>
      </c>
      <c r="F35" s="132">
        <v>0.8771929824561403</v>
      </c>
      <c r="G35" s="131">
        <v>348</v>
      </c>
    </row>
    <row r="36" spans="1:7" x14ac:dyDescent="0.25">
      <c r="A36" s="131" t="s">
        <v>13</v>
      </c>
      <c r="B36" s="132">
        <v>22.178988326848248</v>
      </c>
      <c r="C36" s="132">
        <v>40.077821011673151</v>
      </c>
      <c r="D36" s="132">
        <v>32.490272373540854</v>
      </c>
      <c r="E36" s="132">
        <v>4.2801556420233462</v>
      </c>
      <c r="F36" s="132">
        <v>0.97276264591439687</v>
      </c>
      <c r="G36" s="131">
        <v>525</v>
      </c>
    </row>
    <row r="37" spans="1:7" x14ac:dyDescent="0.25">
      <c r="A37" s="131" t="s">
        <v>14</v>
      </c>
      <c r="B37" s="132">
        <v>21.153846153846153</v>
      </c>
      <c r="C37" s="132">
        <v>42.948717948717949</v>
      </c>
      <c r="D37" s="132">
        <v>32.692307692307693</v>
      </c>
      <c r="E37" s="132">
        <v>1.2820512820512822</v>
      </c>
      <c r="F37" s="132">
        <v>1.9230769230769231</v>
      </c>
      <c r="G37" s="131">
        <v>158</v>
      </c>
    </row>
    <row r="38" spans="1:7" x14ac:dyDescent="0.25">
      <c r="A38" s="131" t="s">
        <v>64</v>
      </c>
      <c r="B38" s="132">
        <v>22.839506172839506</v>
      </c>
      <c r="C38" s="132">
        <v>45.061728395061728</v>
      </c>
      <c r="D38" s="132">
        <v>29.62962962962963</v>
      </c>
      <c r="E38" s="132">
        <v>1.2345679012345678</v>
      </c>
      <c r="F38" s="132">
        <v>1.2345679012345678</v>
      </c>
      <c r="G38" s="131">
        <v>167</v>
      </c>
    </row>
    <row r="39" spans="1:7" x14ac:dyDescent="0.25">
      <c r="A39" s="131" t="s">
        <v>65</v>
      </c>
      <c r="B39" s="132">
        <v>19.082840236686391</v>
      </c>
      <c r="C39" s="132">
        <v>44.674556213017752</v>
      </c>
      <c r="D39" s="132">
        <v>29.437869822485208</v>
      </c>
      <c r="E39" s="132">
        <v>4.2899408284023668</v>
      </c>
      <c r="F39" s="132">
        <v>2.5147928994082842</v>
      </c>
      <c r="G39" s="131">
        <v>692</v>
      </c>
    </row>
    <row r="40" spans="1:7" x14ac:dyDescent="0.25">
      <c r="A40" s="131" t="s">
        <v>66</v>
      </c>
      <c r="B40" s="132">
        <v>23.880597014925375</v>
      </c>
      <c r="C40" s="132">
        <v>44.278606965174127</v>
      </c>
      <c r="D40" s="132">
        <v>27.363184079601989</v>
      </c>
      <c r="E40" s="132">
        <v>0.99502487562189057</v>
      </c>
      <c r="F40" s="132">
        <v>3.4825870646766171</v>
      </c>
      <c r="G40" s="131">
        <v>202</v>
      </c>
    </row>
    <row r="41" spans="1:7" x14ac:dyDescent="0.25">
      <c r="A41" s="131" t="s">
        <v>15</v>
      </c>
      <c r="B41" s="132">
        <v>19.1869918699187</v>
      </c>
      <c r="C41" s="132">
        <v>48.455284552845526</v>
      </c>
      <c r="D41" s="132">
        <v>27.804878048780488</v>
      </c>
      <c r="E41" s="132">
        <v>2.9268292682926829</v>
      </c>
      <c r="F41" s="132">
        <v>1.6260162601626016</v>
      </c>
      <c r="G41" s="131">
        <v>627</v>
      </c>
    </row>
    <row r="42" spans="1:7" x14ac:dyDescent="0.25">
      <c r="A42" s="131" t="s">
        <v>16</v>
      </c>
      <c r="B42" s="132">
        <v>23.359580052493438</v>
      </c>
      <c r="C42" s="132">
        <v>41.207349081364832</v>
      </c>
      <c r="D42" s="132">
        <v>32.808398950131235</v>
      </c>
      <c r="E42" s="132">
        <v>2.0997375328083989</v>
      </c>
      <c r="F42" s="132">
        <v>0.52493438320209973</v>
      </c>
      <c r="G42" s="131">
        <v>387</v>
      </c>
    </row>
    <row r="43" spans="1:7" x14ac:dyDescent="0.25">
      <c r="A43" s="131" t="s">
        <v>17</v>
      </c>
      <c r="B43" s="132">
        <v>17.52577319587629</v>
      </c>
      <c r="C43" s="132">
        <v>43.298969072164951</v>
      </c>
      <c r="D43" s="132">
        <v>32.989690721649481</v>
      </c>
      <c r="E43" s="132">
        <v>3.0927835051546393</v>
      </c>
      <c r="F43" s="132">
        <v>3.0927835051546393</v>
      </c>
      <c r="G43" s="131">
        <v>99</v>
      </c>
    </row>
    <row r="44" spans="1:7" x14ac:dyDescent="0.25">
      <c r="A44" s="131" t="s">
        <v>24</v>
      </c>
      <c r="B44" s="132">
        <v>42.307692307692307</v>
      </c>
      <c r="C44" s="132">
        <v>36.81318681318681</v>
      </c>
      <c r="D44" s="132">
        <v>15.934065934065934</v>
      </c>
      <c r="E44" s="132">
        <v>2.197802197802198</v>
      </c>
      <c r="F44" s="132">
        <v>2.7472527472527473</v>
      </c>
      <c r="G44" s="131">
        <v>185</v>
      </c>
    </row>
    <row r="48" spans="1:7" ht="14" x14ac:dyDescent="0.3">
      <c r="A48" s="133" t="s">
        <v>158</v>
      </c>
      <c r="B48" s="134" t="s">
        <v>445</v>
      </c>
      <c r="C48" s="134" t="s">
        <v>446</v>
      </c>
      <c r="D48" s="134" t="s">
        <v>447</v>
      </c>
      <c r="E48" s="134" t="s">
        <v>448</v>
      </c>
      <c r="F48" s="134" t="s">
        <v>449</v>
      </c>
      <c r="G48" s="128" t="s">
        <v>421</v>
      </c>
    </row>
    <row r="49" spans="1:7" x14ac:dyDescent="0.25">
      <c r="A49" s="113" t="s">
        <v>74</v>
      </c>
      <c r="B49" s="132">
        <v>22.492401215805472</v>
      </c>
      <c r="C49" s="132">
        <v>39.665653495440729</v>
      </c>
      <c r="D49" s="132">
        <v>32.522796352583583</v>
      </c>
      <c r="E49" s="132">
        <v>3.7993920972644375</v>
      </c>
      <c r="F49" s="132">
        <v>1.5197568389057752</v>
      </c>
      <c r="G49" s="131">
        <v>676</v>
      </c>
    </row>
    <row r="50" spans="1:7" x14ac:dyDescent="0.25">
      <c r="A50" s="110" t="s">
        <v>75</v>
      </c>
      <c r="B50" s="132">
        <v>24.462809917355372</v>
      </c>
      <c r="C50" s="132">
        <v>39.33884297520661</v>
      </c>
      <c r="D50" s="132">
        <v>31.818181818181817</v>
      </c>
      <c r="E50" s="132">
        <v>3.0578512396694215</v>
      </c>
      <c r="F50" s="132">
        <v>1.3223140495867769</v>
      </c>
      <c r="G50" s="131">
        <v>1238</v>
      </c>
    </row>
    <row r="51" spans="1:7" x14ac:dyDescent="0.25">
      <c r="A51" s="110" t="s">
        <v>76</v>
      </c>
      <c r="B51" s="132">
        <v>24.518828451882847</v>
      </c>
      <c r="C51" s="132">
        <v>41.67364016736402</v>
      </c>
      <c r="D51" s="132">
        <v>27.94979079497908</v>
      </c>
      <c r="E51" s="132">
        <v>4.01673640167364</v>
      </c>
      <c r="F51" s="132">
        <v>1.8410041841004183</v>
      </c>
      <c r="G51" s="131">
        <v>1223</v>
      </c>
    </row>
    <row r="52" spans="1:7" x14ac:dyDescent="0.25">
      <c r="A52" s="110" t="s">
        <v>77</v>
      </c>
      <c r="B52" s="132">
        <v>20.868200836820083</v>
      </c>
      <c r="C52" s="132">
        <v>43.77615062761506</v>
      </c>
      <c r="D52" s="132">
        <v>30.439330543933053</v>
      </c>
      <c r="E52" s="132">
        <v>3.0857740585774058</v>
      </c>
      <c r="F52" s="132">
        <v>1.8305439330543933</v>
      </c>
      <c r="G52" s="131">
        <v>1950</v>
      </c>
    </row>
    <row r="53" spans="1:7" x14ac:dyDescent="0.25">
      <c r="A53" s="110" t="s">
        <v>78</v>
      </c>
      <c r="B53" s="132">
        <v>19.722321110715558</v>
      </c>
      <c r="C53" s="132">
        <v>41.901032395870416</v>
      </c>
      <c r="D53" s="132">
        <v>32.894268422926309</v>
      </c>
      <c r="E53" s="132">
        <v>3.9159843360626558</v>
      </c>
      <c r="F53" s="132">
        <v>1.5663937344250622</v>
      </c>
      <c r="G53" s="131">
        <v>2870</v>
      </c>
    </row>
    <row r="54" spans="1:7" x14ac:dyDescent="0.25">
      <c r="A54" s="110" t="s">
        <v>79</v>
      </c>
      <c r="B54" s="132">
        <v>17.863671977017496</v>
      </c>
      <c r="C54" s="132">
        <v>46.226168712457557</v>
      </c>
      <c r="D54" s="132">
        <v>30.399582136328021</v>
      </c>
      <c r="E54" s="132">
        <v>3.3429093758161401</v>
      </c>
      <c r="F54" s="132">
        <v>2.1676677983807782</v>
      </c>
      <c r="G54" s="131">
        <v>3899</v>
      </c>
    </row>
    <row r="56" spans="1:7" ht="14" x14ac:dyDescent="0.3">
      <c r="A56" s="128" t="s">
        <v>159</v>
      </c>
      <c r="B56" s="134" t="s">
        <v>445</v>
      </c>
      <c r="C56" s="134" t="s">
        <v>446</v>
      </c>
      <c r="D56" s="134" t="s">
        <v>447</v>
      </c>
      <c r="E56" s="134" t="s">
        <v>448</v>
      </c>
      <c r="F56" s="134" t="s">
        <v>449</v>
      </c>
      <c r="G56" s="128" t="s">
        <v>421</v>
      </c>
    </row>
    <row r="57" spans="1:7" x14ac:dyDescent="0.25">
      <c r="B57" s="132">
        <v>20.442607422715923</v>
      </c>
      <c r="C57" s="132">
        <v>43.21880650994575</v>
      </c>
      <c r="D57" s="132">
        <v>31.025574786876778</v>
      </c>
      <c r="E57" s="132">
        <v>3.5046930164470851</v>
      </c>
      <c r="F57" s="132">
        <v>1.8083182640144666</v>
      </c>
      <c r="G57" s="131">
        <v>11856</v>
      </c>
    </row>
    <row r="59" spans="1:7" x14ac:dyDescent="0.25">
      <c r="A59" s="105" t="s">
        <v>676</v>
      </c>
    </row>
    <row r="60" spans="1:7" x14ac:dyDescent="0.25">
      <c r="A60" s="105" t="s">
        <v>677</v>
      </c>
    </row>
    <row r="61" spans="1:7" x14ac:dyDescent="0.25">
      <c r="A61" s="105" t="s">
        <v>678</v>
      </c>
    </row>
    <row r="62" spans="1:7" x14ac:dyDescent="0.25">
      <c r="A62" s="105" t="s">
        <v>679</v>
      </c>
    </row>
    <row r="63" spans="1:7" x14ac:dyDescent="0.25">
      <c r="A63" s="105" t="s">
        <v>680</v>
      </c>
    </row>
  </sheetData>
  <pageMargins left="0.7" right="0.7" top="0.75" bottom="0.75" header="0.3" footer="0.3"/>
  <pageSetup paperSize="9" orientation="portrait" horizontalDpi="360" verticalDpi="360" r:id="rId1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A6" sqref="A6"/>
    </sheetView>
  </sheetViews>
  <sheetFormatPr defaultColWidth="8.7109375" defaultRowHeight="13.5" x14ac:dyDescent="0.25"/>
  <cols>
    <col min="1" max="1" width="19.85546875" style="105" customWidth="1"/>
    <col min="2" max="2" width="8.7109375" style="105"/>
    <col min="3" max="3" width="8.78515625" style="105" customWidth="1"/>
    <col min="4" max="4" width="8.7109375" style="105"/>
    <col min="5" max="5" width="18" style="105" customWidth="1"/>
    <col min="6" max="6" width="35.28515625" style="105" customWidth="1"/>
    <col min="7" max="7" width="8.78515625" style="105" customWidth="1"/>
    <col min="8" max="16384" width="8.7109375" style="105"/>
  </cols>
  <sheetData>
    <row r="1" spans="1:8" x14ac:dyDescent="0.25">
      <c r="A1" s="135" t="s">
        <v>450</v>
      </c>
    </row>
    <row r="2" spans="1:8" x14ac:dyDescent="0.25">
      <c r="A2" s="104" t="s">
        <v>451</v>
      </c>
    </row>
    <row r="4" spans="1:8" x14ac:dyDescent="0.25">
      <c r="A4" s="104" t="s">
        <v>753</v>
      </c>
    </row>
    <row r="6" spans="1:8" s="137" customFormat="1" x14ac:dyDescent="0.25">
      <c r="B6" s="138" t="s">
        <v>452</v>
      </c>
      <c r="C6" s="138" t="s">
        <v>453</v>
      </c>
      <c r="D6" s="138" t="s">
        <v>454</v>
      </c>
      <c r="E6" s="138" t="s">
        <v>455</v>
      </c>
      <c r="F6" s="138" t="s">
        <v>456</v>
      </c>
      <c r="G6" s="138" t="s">
        <v>457</v>
      </c>
      <c r="H6" s="139"/>
    </row>
    <row r="7" spans="1:8" ht="14" x14ac:dyDescent="0.3">
      <c r="A7" s="128" t="s">
        <v>157</v>
      </c>
      <c r="B7" s="134" t="s">
        <v>458</v>
      </c>
      <c r="C7" s="134" t="s">
        <v>459</v>
      </c>
      <c r="D7" s="134" t="s">
        <v>460</v>
      </c>
      <c r="E7" s="134" t="s">
        <v>461</v>
      </c>
      <c r="F7" s="134" t="s">
        <v>462</v>
      </c>
      <c r="G7" s="134" t="s">
        <v>463</v>
      </c>
      <c r="H7" s="128" t="s">
        <v>421</v>
      </c>
    </row>
    <row r="8" spans="1:8" x14ac:dyDescent="0.25">
      <c r="A8" s="131" t="s">
        <v>42</v>
      </c>
      <c r="B8" s="132">
        <v>84.955752212389385</v>
      </c>
      <c r="C8" s="132">
        <v>12.037037037037036</v>
      </c>
      <c r="D8" s="132">
        <v>18.518518518518519</v>
      </c>
      <c r="E8" s="132">
        <v>59.813084112149532</v>
      </c>
      <c r="F8" s="132">
        <v>50.458715596330272</v>
      </c>
      <c r="G8" s="132">
        <v>54.545454545454547</v>
      </c>
      <c r="H8" s="131">
        <v>119</v>
      </c>
    </row>
    <row r="9" spans="1:8" x14ac:dyDescent="0.25">
      <c r="A9" s="131" t="s">
        <v>43</v>
      </c>
      <c r="B9" s="132">
        <v>84.69860896445131</v>
      </c>
      <c r="C9" s="132">
        <v>19.720496894409937</v>
      </c>
      <c r="D9" s="132">
        <v>28.100470957613815</v>
      </c>
      <c r="E9" s="132">
        <v>70.917573872472786</v>
      </c>
      <c r="F9" s="132">
        <v>38.390092879256969</v>
      </c>
      <c r="G9" s="132">
        <v>45.029239766081872</v>
      </c>
      <c r="H9" s="131">
        <v>667</v>
      </c>
    </row>
    <row r="10" spans="1:8" x14ac:dyDescent="0.25">
      <c r="A10" s="131" t="s">
        <v>44</v>
      </c>
      <c r="B10" s="132">
        <v>91.411042944785279</v>
      </c>
      <c r="C10" s="132">
        <v>21.383647798742139</v>
      </c>
      <c r="D10" s="132">
        <v>30.322580645161292</v>
      </c>
      <c r="E10" s="132">
        <v>54.777070063694268</v>
      </c>
      <c r="F10" s="132">
        <v>46.25</v>
      </c>
      <c r="G10" s="132">
        <v>27.906976744186046</v>
      </c>
      <c r="H10" s="131">
        <v>165</v>
      </c>
    </row>
    <row r="11" spans="1:8" x14ac:dyDescent="0.25">
      <c r="A11" s="131" t="s">
        <v>68</v>
      </c>
      <c r="B11" s="132">
        <v>79.76588628762542</v>
      </c>
      <c r="C11" s="132">
        <v>22.857142857142858</v>
      </c>
      <c r="D11" s="132">
        <v>29.579831932773111</v>
      </c>
      <c r="E11" s="132">
        <v>68.697123519458543</v>
      </c>
      <c r="F11" s="132">
        <v>45.091514143094841</v>
      </c>
      <c r="G11" s="132">
        <v>37.572254335260112</v>
      </c>
      <c r="H11" s="131">
        <v>624</v>
      </c>
    </row>
    <row r="12" spans="1:8" x14ac:dyDescent="0.25">
      <c r="A12" s="131" t="s">
        <v>2</v>
      </c>
      <c r="B12" s="132">
        <v>89.361702127659569</v>
      </c>
      <c r="C12" s="132">
        <v>14.285714285714286</v>
      </c>
      <c r="D12" s="132">
        <v>26.19047619047619</v>
      </c>
      <c r="E12" s="132">
        <v>56.521739130434781</v>
      </c>
      <c r="F12" s="132">
        <v>50</v>
      </c>
      <c r="G12" s="132">
        <v>21.739130434782609</v>
      </c>
      <c r="H12" s="131">
        <v>99</v>
      </c>
    </row>
    <row r="13" spans="1:8" x14ac:dyDescent="0.25">
      <c r="A13" s="131" t="s">
        <v>3</v>
      </c>
      <c r="B13" s="132">
        <v>86.941580756013749</v>
      </c>
      <c r="C13" s="132">
        <v>22.614840989399294</v>
      </c>
      <c r="D13" s="132">
        <v>26.056338028169016</v>
      </c>
      <c r="E13" s="132">
        <v>58.156028368794324</v>
      </c>
      <c r="F13" s="132">
        <v>52.961672473867594</v>
      </c>
      <c r="G13" s="132">
        <v>32.876712328767127</v>
      </c>
      <c r="H13" s="131">
        <v>301</v>
      </c>
    </row>
    <row r="14" spans="1:8" x14ac:dyDescent="0.25">
      <c r="A14" s="131" t="s">
        <v>4</v>
      </c>
      <c r="B14" s="132">
        <v>84.256055363321806</v>
      </c>
      <c r="C14" s="132">
        <v>15.026833631484795</v>
      </c>
      <c r="D14" s="132">
        <v>26.032315978456015</v>
      </c>
      <c r="E14" s="132">
        <v>64.056939501779354</v>
      </c>
      <c r="F14" s="132">
        <v>40.747330960854093</v>
      </c>
      <c r="G14" s="132">
        <v>41.134751773049643</v>
      </c>
      <c r="H14" s="131">
        <v>600</v>
      </c>
    </row>
    <row r="15" spans="1:8" x14ac:dyDescent="0.25">
      <c r="A15" s="131" t="s">
        <v>46</v>
      </c>
      <c r="B15" s="132">
        <v>85.91549295774648</v>
      </c>
      <c r="C15" s="132">
        <v>16.417910447761194</v>
      </c>
      <c r="D15" s="132">
        <v>24.626865671641792</v>
      </c>
      <c r="E15" s="132">
        <v>43.382352941176471</v>
      </c>
      <c r="F15" s="132">
        <v>51.470588235294116</v>
      </c>
      <c r="G15" s="132">
        <v>52.083333333333336</v>
      </c>
      <c r="H15" s="131">
        <v>148</v>
      </c>
    </row>
    <row r="16" spans="1:8" x14ac:dyDescent="0.25">
      <c r="A16" s="131" t="s">
        <v>5</v>
      </c>
      <c r="B16" s="132">
        <v>85.055643879173289</v>
      </c>
      <c r="C16" s="132">
        <v>19.709208400646204</v>
      </c>
      <c r="D16" s="132">
        <v>25.607779578606159</v>
      </c>
      <c r="E16" s="132">
        <v>68.16</v>
      </c>
      <c r="F16" s="132">
        <v>37.399678972712678</v>
      </c>
      <c r="G16" s="132">
        <v>42.176870748299322</v>
      </c>
      <c r="H16" s="131">
        <v>650</v>
      </c>
    </row>
    <row r="17" spans="1:8" x14ac:dyDescent="0.25">
      <c r="A17" s="131" t="s">
        <v>48</v>
      </c>
      <c r="B17" s="132">
        <v>91.269841269841265</v>
      </c>
      <c r="C17" s="132">
        <v>19.834710743801654</v>
      </c>
      <c r="D17" s="132">
        <v>26.050420168067227</v>
      </c>
      <c r="E17" s="132">
        <v>63.114754098360656</v>
      </c>
      <c r="F17" s="132">
        <v>50</v>
      </c>
      <c r="G17" s="132">
        <v>40.74074074074074</v>
      </c>
      <c r="H17" s="131">
        <v>135</v>
      </c>
    </row>
    <row r="18" spans="1:8" x14ac:dyDescent="0.25">
      <c r="A18" s="131" t="s">
        <v>49</v>
      </c>
      <c r="B18" s="132">
        <v>92.857142857142861</v>
      </c>
      <c r="C18" s="132">
        <v>14.893617021276595</v>
      </c>
      <c r="D18" s="132">
        <v>18.75</v>
      </c>
      <c r="E18" s="132">
        <v>65.263157894736835</v>
      </c>
      <c r="F18" s="132">
        <v>53</v>
      </c>
      <c r="G18" s="132">
        <v>47.058823529411768</v>
      </c>
      <c r="H18" s="131">
        <v>105</v>
      </c>
    </row>
    <row r="19" spans="1:8" x14ac:dyDescent="0.25">
      <c r="A19" s="131" t="s">
        <v>50</v>
      </c>
      <c r="B19" s="132">
        <v>90.109890109890117</v>
      </c>
      <c r="C19" s="132">
        <v>20.903954802259886</v>
      </c>
      <c r="D19" s="132">
        <v>26.01156069364162</v>
      </c>
      <c r="E19" s="132">
        <v>71.590909090909093</v>
      </c>
      <c r="F19" s="132">
        <v>52.747252747252745</v>
      </c>
      <c r="G19" s="132">
        <v>48.837209302325583</v>
      </c>
      <c r="H19" s="131">
        <v>194</v>
      </c>
    </row>
    <row r="20" spans="1:8" x14ac:dyDescent="0.25">
      <c r="A20" s="131" t="s">
        <v>69</v>
      </c>
      <c r="B20" s="132">
        <v>87.878787878787875</v>
      </c>
      <c r="C20" s="132">
        <v>17.350157728706623</v>
      </c>
      <c r="D20" s="132">
        <v>26.498422712933753</v>
      </c>
      <c r="E20" s="132">
        <v>64.705882352941174</v>
      </c>
      <c r="F20" s="132">
        <v>49.691358024691361</v>
      </c>
      <c r="G20" s="132">
        <v>38.571428571428569</v>
      </c>
      <c r="H20" s="131">
        <v>350</v>
      </c>
    </row>
    <row r="21" spans="1:8" x14ac:dyDescent="0.25">
      <c r="A21" s="131" t="s">
        <v>6</v>
      </c>
      <c r="B21" s="132">
        <v>83.064516129032256</v>
      </c>
      <c r="C21" s="132">
        <v>16.853932584269664</v>
      </c>
      <c r="D21" s="132">
        <v>26.330532212885153</v>
      </c>
      <c r="E21" s="132">
        <v>62.290502793296092</v>
      </c>
      <c r="F21" s="132">
        <v>41.782729805013929</v>
      </c>
      <c r="G21" s="132">
        <v>41.747572815533978</v>
      </c>
      <c r="H21" s="131">
        <v>389</v>
      </c>
    </row>
    <row r="22" spans="1:8" x14ac:dyDescent="0.25">
      <c r="A22" s="131" t="s">
        <v>70</v>
      </c>
      <c r="B22" s="132">
        <v>84.513274336283189</v>
      </c>
      <c r="C22" s="132">
        <v>16.289592760180994</v>
      </c>
      <c r="D22" s="132">
        <v>26.940639269406393</v>
      </c>
      <c r="E22" s="132">
        <v>57.209302325581397</v>
      </c>
      <c r="F22" s="132">
        <v>67.256637168141594</v>
      </c>
      <c r="G22" s="132">
        <v>30.555555555555557</v>
      </c>
      <c r="H22" s="131">
        <v>239</v>
      </c>
    </row>
    <row r="23" spans="1:8" x14ac:dyDescent="0.25">
      <c r="A23" s="131" t="s">
        <v>7</v>
      </c>
      <c r="B23" s="132">
        <v>83.647798742138363</v>
      </c>
      <c r="C23" s="132">
        <v>20.80536912751678</v>
      </c>
      <c r="D23" s="132">
        <v>29.139072847682119</v>
      </c>
      <c r="E23" s="132">
        <v>58.38926174496644</v>
      </c>
      <c r="F23" s="132">
        <v>51.612903225806448</v>
      </c>
      <c r="G23" s="132">
        <v>28.571428571428573</v>
      </c>
      <c r="H23" s="131">
        <v>168</v>
      </c>
    </row>
    <row r="24" spans="1:8" x14ac:dyDescent="0.25">
      <c r="A24" s="131" t="s">
        <v>22</v>
      </c>
      <c r="B24" s="132">
        <v>83.132530120481931</v>
      </c>
      <c r="C24" s="132">
        <v>14.197530864197532</v>
      </c>
      <c r="D24" s="132">
        <v>17.197452229299362</v>
      </c>
      <c r="E24" s="132">
        <v>58.75</v>
      </c>
      <c r="F24" s="132">
        <v>43.75</v>
      </c>
      <c r="G24" s="132">
        <v>40.625</v>
      </c>
      <c r="H24" s="131">
        <v>177</v>
      </c>
    </row>
    <row r="25" spans="1:8" x14ac:dyDescent="0.25">
      <c r="A25" s="131" t="s">
        <v>8</v>
      </c>
      <c r="B25" s="132">
        <v>85.048543689320383</v>
      </c>
      <c r="C25" s="132">
        <v>16.932270916334662</v>
      </c>
      <c r="D25" s="132">
        <v>26</v>
      </c>
      <c r="E25" s="132">
        <v>59.6</v>
      </c>
      <c r="F25" s="132">
        <v>40.594059405940591</v>
      </c>
      <c r="G25" s="132">
        <v>39.837398373983739</v>
      </c>
      <c r="H25" s="131">
        <v>533</v>
      </c>
    </row>
    <row r="26" spans="1:8" x14ac:dyDescent="0.25">
      <c r="A26" s="131" t="s">
        <v>9</v>
      </c>
      <c r="B26" s="132">
        <v>87.698412698412696</v>
      </c>
      <c r="C26" s="132">
        <v>15.41501976284585</v>
      </c>
      <c r="D26" s="132">
        <v>26.104417670682732</v>
      </c>
      <c r="E26" s="132">
        <v>65.2</v>
      </c>
      <c r="F26" s="132">
        <v>41.6</v>
      </c>
      <c r="G26" s="132">
        <v>33.823529411764703</v>
      </c>
      <c r="H26" s="131">
        <v>262</v>
      </c>
    </row>
    <row r="27" spans="1:8" x14ac:dyDescent="0.25">
      <c r="A27" s="131" t="s">
        <v>54</v>
      </c>
      <c r="B27" s="132">
        <v>83.850931677018636</v>
      </c>
      <c r="C27" s="132">
        <v>14.64968152866242</v>
      </c>
      <c r="D27" s="132">
        <v>25.324675324675326</v>
      </c>
      <c r="E27" s="132">
        <v>51.572327044025158</v>
      </c>
      <c r="F27" s="132">
        <v>50.943396226415096</v>
      </c>
      <c r="G27" s="132">
        <v>28.260869565217391</v>
      </c>
      <c r="H27" s="131">
        <v>168</v>
      </c>
    </row>
    <row r="28" spans="1:8" x14ac:dyDescent="0.25">
      <c r="A28" s="131" t="s">
        <v>71</v>
      </c>
      <c r="B28" s="132">
        <v>83.41463414634147</v>
      </c>
      <c r="C28" s="132">
        <v>17.215189873417721</v>
      </c>
      <c r="D28" s="132">
        <v>27.088607594936708</v>
      </c>
      <c r="E28" s="132">
        <v>62.43654822335025</v>
      </c>
      <c r="F28" s="132">
        <v>39.851485148514854</v>
      </c>
      <c r="G28" s="132">
        <v>40.186915887850468</v>
      </c>
      <c r="H28" s="131">
        <v>437</v>
      </c>
    </row>
    <row r="29" spans="1:8" x14ac:dyDescent="0.25">
      <c r="A29" s="131" t="s">
        <v>10</v>
      </c>
      <c r="B29" s="132">
        <v>84.433962264150949</v>
      </c>
      <c r="C29" s="132">
        <v>17.821782178217823</v>
      </c>
      <c r="D29" s="132">
        <v>23.737373737373737</v>
      </c>
      <c r="E29" s="132">
        <v>71.144278606965173</v>
      </c>
      <c r="F29" s="132">
        <v>51.219512195121951</v>
      </c>
      <c r="G29" s="132">
        <v>70.731707317073173</v>
      </c>
      <c r="H29" s="131">
        <v>219</v>
      </c>
    </row>
    <row r="30" spans="1:8" x14ac:dyDescent="0.25">
      <c r="A30" s="131" t="s">
        <v>56</v>
      </c>
      <c r="B30" s="132">
        <v>86.470588235294116</v>
      </c>
      <c r="C30" s="132">
        <v>16.265060240963855</v>
      </c>
      <c r="D30" s="132">
        <v>24.550898203592816</v>
      </c>
      <c r="E30" s="132">
        <v>57.988165680473372</v>
      </c>
      <c r="F30" s="132">
        <v>43.113772455089823</v>
      </c>
      <c r="G30" s="132">
        <v>42.424242424242422</v>
      </c>
      <c r="H30" s="131">
        <v>179</v>
      </c>
    </row>
    <row r="31" spans="1:8" x14ac:dyDescent="0.25">
      <c r="A31" s="131" t="s">
        <v>11</v>
      </c>
      <c r="B31" s="132">
        <v>84.975767366720518</v>
      </c>
      <c r="C31" s="132">
        <v>18.536585365853657</v>
      </c>
      <c r="D31" s="132">
        <v>28.642384105960264</v>
      </c>
      <c r="E31" s="132">
        <v>65.245901639344268</v>
      </c>
      <c r="F31" s="132">
        <v>33.66013071895425</v>
      </c>
      <c r="G31" s="132">
        <v>48.872180451127818</v>
      </c>
      <c r="H31" s="131">
        <v>639</v>
      </c>
    </row>
    <row r="32" spans="1:8" x14ac:dyDescent="0.25">
      <c r="A32" s="131" t="s">
        <v>58</v>
      </c>
      <c r="B32" s="132">
        <v>82.242990654205613</v>
      </c>
      <c r="C32" s="132">
        <v>13.20754716981132</v>
      </c>
      <c r="D32" s="132">
        <v>25.471698113207548</v>
      </c>
      <c r="E32" s="132">
        <v>56.481481481481481</v>
      </c>
      <c r="F32" s="132">
        <v>52.727272727272727</v>
      </c>
      <c r="G32" s="132">
        <v>17.857142857142858</v>
      </c>
      <c r="H32" s="131">
        <v>114</v>
      </c>
    </row>
    <row r="33" spans="1:8" x14ac:dyDescent="0.25">
      <c r="A33" s="131" t="s">
        <v>59</v>
      </c>
      <c r="B33" s="132">
        <v>89.928057553956833</v>
      </c>
      <c r="C33" s="132">
        <v>17.037037037037038</v>
      </c>
      <c r="D33" s="132">
        <v>33.333333333333336</v>
      </c>
      <c r="E33" s="132">
        <v>52.631578947368418</v>
      </c>
      <c r="F33" s="132">
        <v>51.094890510948908</v>
      </c>
      <c r="G33" s="132">
        <v>40.625</v>
      </c>
      <c r="H33" s="131">
        <v>143</v>
      </c>
    </row>
    <row r="34" spans="1:8" x14ac:dyDescent="0.25">
      <c r="A34" s="131" t="s">
        <v>60</v>
      </c>
      <c r="B34" s="132">
        <v>83.703703703703709</v>
      </c>
      <c r="C34" s="132">
        <v>19.083969465648856</v>
      </c>
      <c r="D34" s="132">
        <v>22.307692307692307</v>
      </c>
      <c r="E34" s="132">
        <v>50.381679389312978</v>
      </c>
      <c r="F34" s="132">
        <v>36.641221374045799</v>
      </c>
      <c r="G34" s="132">
        <v>51.351351351351354</v>
      </c>
      <c r="H34" s="131">
        <v>144</v>
      </c>
    </row>
    <row r="35" spans="1:8" x14ac:dyDescent="0.25">
      <c r="A35" s="131" t="s">
        <v>12</v>
      </c>
      <c r="B35" s="132">
        <v>88.709677419354833</v>
      </c>
      <c r="C35" s="132">
        <v>14.754098360655737</v>
      </c>
      <c r="D35" s="132">
        <v>29.75206611570248</v>
      </c>
      <c r="E35" s="132">
        <v>57.983193277310924</v>
      </c>
      <c r="F35" s="132">
        <v>57.142857142857146</v>
      </c>
      <c r="G35" s="132">
        <v>25.925925925925927</v>
      </c>
      <c r="H35" s="131">
        <v>135</v>
      </c>
    </row>
    <row r="36" spans="1:8" x14ac:dyDescent="0.25">
      <c r="A36" s="131" t="s">
        <v>61</v>
      </c>
      <c r="B36" s="132">
        <v>78.512396694214871</v>
      </c>
      <c r="C36" s="132">
        <v>21.940928270042193</v>
      </c>
      <c r="D36" s="132">
        <v>27.038626609442058</v>
      </c>
      <c r="E36" s="132">
        <v>64.406779661016955</v>
      </c>
      <c r="F36" s="132">
        <v>31.779661016949152</v>
      </c>
      <c r="G36" s="132">
        <v>33.333333333333336</v>
      </c>
      <c r="H36" s="131">
        <v>248</v>
      </c>
    </row>
    <row r="37" spans="1:8" x14ac:dyDescent="0.25">
      <c r="A37" s="131" t="s">
        <v>62</v>
      </c>
      <c r="B37" s="132">
        <v>89.908256880733944</v>
      </c>
      <c r="C37" s="132">
        <v>13.333333333333334</v>
      </c>
      <c r="D37" s="132">
        <v>24.03846153846154</v>
      </c>
      <c r="E37" s="132">
        <v>53.333333333333336</v>
      </c>
      <c r="F37" s="132">
        <v>57.407407407407405</v>
      </c>
      <c r="G37" s="132">
        <v>33.333333333333336</v>
      </c>
      <c r="H37" s="131">
        <v>115</v>
      </c>
    </row>
    <row r="38" spans="1:8" x14ac:dyDescent="0.25">
      <c r="A38" s="131" t="s">
        <v>23</v>
      </c>
      <c r="B38" s="132">
        <v>82.005899705014755</v>
      </c>
      <c r="C38" s="132">
        <v>17.522658610271904</v>
      </c>
      <c r="D38" s="132">
        <v>19.195046439628484</v>
      </c>
      <c r="E38" s="132">
        <v>62.769230769230766</v>
      </c>
      <c r="F38" s="132">
        <v>48.307692307692307</v>
      </c>
      <c r="G38" s="132">
        <v>52.307692307692307</v>
      </c>
      <c r="H38" s="131">
        <v>348</v>
      </c>
    </row>
    <row r="39" spans="1:8" x14ac:dyDescent="0.25">
      <c r="A39" s="131" t="s">
        <v>13</v>
      </c>
      <c r="B39" s="132">
        <v>86.262626262626256</v>
      </c>
      <c r="C39" s="132">
        <v>20.79002079002079</v>
      </c>
      <c r="D39" s="132">
        <v>33.471933471933475</v>
      </c>
      <c r="E39" s="132">
        <v>62.863070539419084</v>
      </c>
      <c r="F39" s="132">
        <v>53.048780487804876</v>
      </c>
      <c r="G39" s="132">
        <v>42.372881355932201</v>
      </c>
      <c r="H39" s="131">
        <v>525</v>
      </c>
    </row>
    <row r="40" spans="1:8" x14ac:dyDescent="0.25">
      <c r="A40" s="131" t="s">
        <v>14</v>
      </c>
      <c r="B40" s="132">
        <v>81.699346405228752</v>
      </c>
      <c r="C40" s="132">
        <v>12</v>
      </c>
      <c r="D40" s="132">
        <v>20.27027027027027</v>
      </c>
      <c r="E40" s="132">
        <v>60.958904109589042</v>
      </c>
      <c r="F40" s="132">
        <v>35.76158940397351</v>
      </c>
      <c r="G40" s="132">
        <v>39.285714285714285</v>
      </c>
      <c r="H40" s="131">
        <v>158</v>
      </c>
    </row>
    <row r="41" spans="1:8" x14ac:dyDescent="0.25">
      <c r="A41" s="131" t="s">
        <v>64</v>
      </c>
      <c r="B41" s="132">
        <v>88.125</v>
      </c>
      <c r="C41" s="132">
        <v>18.471337579617835</v>
      </c>
      <c r="D41" s="132">
        <v>24.358974358974358</v>
      </c>
      <c r="E41" s="132">
        <v>59.493670886075947</v>
      </c>
      <c r="F41" s="132">
        <v>58.22784810126582</v>
      </c>
      <c r="G41" s="132">
        <v>26.470588235294116</v>
      </c>
      <c r="H41" s="131">
        <v>167</v>
      </c>
    </row>
    <row r="42" spans="1:8" x14ac:dyDescent="0.25">
      <c r="A42" s="131" t="s">
        <v>65</v>
      </c>
      <c r="B42" s="132">
        <v>82.148260211800306</v>
      </c>
      <c r="C42" s="132">
        <v>18.558282208588956</v>
      </c>
      <c r="D42" s="132">
        <v>26.127527216174183</v>
      </c>
      <c r="E42" s="132">
        <v>68.52713178294573</v>
      </c>
      <c r="F42" s="132">
        <v>26.502311248073958</v>
      </c>
      <c r="G42" s="132">
        <v>47.916666666666664</v>
      </c>
      <c r="H42" s="131">
        <v>692</v>
      </c>
    </row>
    <row r="43" spans="1:8" x14ac:dyDescent="0.25">
      <c r="A43" s="131" t="s">
        <v>66</v>
      </c>
      <c r="B43" s="132">
        <v>85.128205128205124</v>
      </c>
      <c r="C43" s="132">
        <v>19.3717277486911</v>
      </c>
      <c r="D43" s="132">
        <v>31.088082901554404</v>
      </c>
      <c r="E43" s="132">
        <v>57.368421052631582</v>
      </c>
      <c r="F43" s="132">
        <v>46.428571428571431</v>
      </c>
      <c r="G43" s="132">
        <v>35.714285714285715</v>
      </c>
      <c r="H43" s="131">
        <v>202</v>
      </c>
    </row>
    <row r="44" spans="1:8" x14ac:dyDescent="0.25">
      <c r="A44" s="131" t="s">
        <v>15</v>
      </c>
      <c r="B44" s="132">
        <v>82.804674457429044</v>
      </c>
      <c r="C44" s="132">
        <v>18.600682593856654</v>
      </c>
      <c r="D44" s="132">
        <v>29.421768707482993</v>
      </c>
      <c r="E44" s="132">
        <v>67.953020134228183</v>
      </c>
      <c r="F44" s="132">
        <v>30.354131534569984</v>
      </c>
      <c r="G44" s="132">
        <v>46.896551724137929</v>
      </c>
      <c r="H44" s="131">
        <v>627</v>
      </c>
    </row>
    <row r="45" spans="1:8" x14ac:dyDescent="0.25">
      <c r="A45" s="131" t="s">
        <v>16</v>
      </c>
      <c r="B45" s="132">
        <v>90.159574468085111</v>
      </c>
      <c r="C45" s="132">
        <v>15.342465753424657</v>
      </c>
      <c r="D45" s="132">
        <v>24.109589041095891</v>
      </c>
      <c r="E45" s="132">
        <v>67.95580110497238</v>
      </c>
      <c r="F45" s="132">
        <v>43.126684636118597</v>
      </c>
      <c r="G45" s="132">
        <v>53.012048192771083</v>
      </c>
      <c r="H45" s="131">
        <v>387</v>
      </c>
    </row>
    <row r="46" spans="1:8" x14ac:dyDescent="0.25">
      <c r="A46" s="131" t="s">
        <v>17</v>
      </c>
      <c r="B46" s="132">
        <v>91.397849462365585</v>
      </c>
      <c r="C46" s="132">
        <v>11.235955056179776</v>
      </c>
      <c r="D46" s="132">
        <v>21.59090909090909</v>
      </c>
      <c r="E46" s="132">
        <v>52.222222222222221</v>
      </c>
      <c r="F46" s="132">
        <v>52.747252747252745</v>
      </c>
      <c r="G46" s="132">
        <v>35.294117647058826</v>
      </c>
      <c r="H46" s="131">
        <v>99</v>
      </c>
    </row>
    <row r="47" spans="1:8" x14ac:dyDescent="0.25">
      <c r="A47" s="131" t="s">
        <v>24</v>
      </c>
      <c r="B47" s="132">
        <v>84.444444444444443</v>
      </c>
      <c r="C47" s="132">
        <v>15.882352941176471</v>
      </c>
      <c r="D47" s="132">
        <v>25</v>
      </c>
      <c r="E47" s="132">
        <v>58.08383233532934</v>
      </c>
      <c r="F47" s="132">
        <v>56.321839080459768</v>
      </c>
      <c r="G47" s="132">
        <v>79.310344827586206</v>
      </c>
      <c r="H47" s="131">
        <v>185</v>
      </c>
    </row>
    <row r="50" spans="1:8" x14ac:dyDescent="0.25">
      <c r="B50" s="138" t="s">
        <v>452</v>
      </c>
      <c r="C50" s="138" t="s">
        <v>453</v>
      </c>
      <c r="D50" s="138" t="s">
        <v>454</v>
      </c>
      <c r="E50" s="138" t="s">
        <v>455</v>
      </c>
      <c r="F50" s="138" t="s">
        <v>456</v>
      </c>
      <c r="G50" s="138" t="s">
        <v>457</v>
      </c>
    </row>
    <row r="51" spans="1:8" ht="14" x14ac:dyDescent="0.3">
      <c r="A51" s="133" t="s">
        <v>158</v>
      </c>
      <c r="B51" s="134" t="s">
        <v>458</v>
      </c>
      <c r="C51" s="134" t="s">
        <v>459</v>
      </c>
      <c r="D51" s="134" t="s">
        <v>460</v>
      </c>
      <c r="E51" s="134" t="s">
        <v>461</v>
      </c>
      <c r="F51" s="134" t="s">
        <v>462</v>
      </c>
      <c r="G51" s="134" t="s">
        <v>463</v>
      </c>
      <c r="H51" s="128" t="s">
        <v>421</v>
      </c>
    </row>
    <row r="52" spans="1:8" x14ac:dyDescent="0.25">
      <c r="A52" s="113" t="s">
        <v>74</v>
      </c>
      <c r="B52" s="132">
        <v>87.893081761006286</v>
      </c>
      <c r="C52" s="132">
        <v>14.614121510673234</v>
      </c>
      <c r="D52" s="132">
        <v>23.026315789473685</v>
      </c>
      <c r="E52" s="132">
        <v>55.394524959742348</v>
      </c>
      <c r="F52" s="132">
        <v>49.840764331210188</v>
      </c>
      <c r="G52" s="132">
        <v>34.93150684931507</v>
      </c>
      <c r="H52" s="131">
        <v>676</v>
      </c>
    </row>
    <row r="53" spans="1:8" x14ac:dyDescent="0.25">
      <c r="A53" s="110" t="s">
        <v>75</v>
      </c>
      <c r="B53" s="132">
        <v>87.183811129848223</v>
      </c>
      <c r="C53" s="132">
        <v>16.492146596858639</v>
      </c>
      <c r="D53" s="132">
        <v>25.396825396825395</v>
      </c>
      <c r="E53" s="132">
        <v>55.721830985915496</v>
      </c>
      <c r="F53" s="132">
        <v>51.76876617773943</v>
      </c>
      <c r="G53" s="132">
        <v>42.857142857142854</v>
      </c>
      <c r="H53" s="131">
        <v>1238</v>
      </c>
    </row>
    <row r="54" spans="1:8" x14ac:dyDescent="0.25">
      <c r="A54" s="110" t="s">
        <v>76</v>
      </c>
      <c r="B54" s="132">
        <v>85.665236051502148</v>
      </c>
      <c r="C54" s="132">
        <v>17.437722419928825</v>
      </c>
      <c r="D54" s="132">
        <v>25</v>
      </c>
      <c r="E54" s="132">
        <v>62.455516014234874</v>
      </c>
      <c r="F54" s="132">
        <v>48.115687992988605</v>
      </c>
      <c r="G54" s="132">
        <v>42.913385826771652</v>
      </c>
      <c r="H54" s="131">
        <v>1223</v>
      </c>
    </row>
    <row r="55" spans="1:8" x14ac:dyDescent="0.25">
      <c r="A55" s="110" t="s">
        <v>77</v>
      </c>
      <c r="B55" s="132">
        <v>84.74666666666667</v>
      </c>
      <c r="C55" s="132">
        <v>18.603382433169667</v>
      </c>
      <c r="D55" s="132">
        <v>25.687568756875688</v>
      </c>
      <c r="E55" s="132">
        <v>61.724327292696323</v>
      </c>
      <c r="F55" s="132">
        <v>48.373101952277658</v>
      </c>
      <c r="G55" s="132">
        <v>37.226277372262771</v>
      </c>
      <c r="H55" s="131">
        <v>1950</v>
      </c>
    </row>
    <row r="56" spans="1:8" x14ac:dyDescent="0.25">
      <c r="A56" s="110" t="s">
        <v>78</v>
      </c>
      <c r="B56" s="132">
        <v>85.282331511839715</v>
      </c>
      <c r="C56" s="132">
        <v>17.049303726006773</v>
      </c>
      <c r="D56" s="132">
        <v>27.279577995478522</v>
      </c>
      <c r="E56" s="132">
        <v>63.078660143018439</v>
      </c>
      <c r="F56" s="132">
        <v>43.313521545319468</v>
      </c>
      <c r="G56" s="132">
        <v>42.518518518518519</v>
      </c>
      <c r="H56" s="131">
        <v>2870</v>
      </c>
    </row>
    <row r="57" spans="1:8" x14ac:dyDescent="0.25">
      <c r="A57" s="110" t="s">
        <v>79</v>
      </c>
      <c r="B57" s="132">
        <v>83.266719957367442</v>
      </c>
      <c r="C57" s="132">
        <v>19.644300727566694</v>
      </c>
      <c r="D57" s="132">
        <v>27.877307274701412</v>
      </c>
      <c r="E57" s="132">
        <v>68.274932614555254</v>
      </c>
      <c r="F57" s="132">
        <v>35.177228786251341</v>
      </c>
      <c r="G57" s="132">
        <v>44.640998959417274</v>
      </c>
      <c r="H57" s="131">
        <v>3899</v>
      </c>
    </row>
    <row r="59" spans="1:8" s="94" customFormat="1" x14ac:dyDescent="0.25">
      <c r="B59" s="94" t="s">
        <v>452</v>
      </c>
      <c r="C59" s="94" t="s">
        <v>453</v>
      </c>
      <c r="D59" s="94" t="s">
        <v>454</v>
      </c>
      <c r="E59" s="94" t="s">
        <v>455</v>
      </c>
      <c r="F59" s="94" t="s">
        <v>456</v>
      </c>
      <c r="G59" s="94" t="s">
        <v>457</v>
      </c>
    </row>
    <row r="60" spans="1:8" ht="14" x14ac:dyDescent="0.3">
      <c r="A60" s="128" t="s">
        <v>159</v>
      </c>
      <c r="B60" s="134" t="s">
        <v>458</v>
      </c>
      <c r="C60" s="134" t="s">
        <v>459</v>
      </c>
      <c r="D60" s="134" t="s">
        <v>460</v>
      </c>
      <c r="E60" s="134" t="s">
        <v>461</v>
      </c>
      <c r="F60" s="134" t="s">
        <v>462</v>
      </c>
      <c r="G60" s="134" t="s">
        <v>463</v>
      </c>
      <c r="H60" s="128" t="s">
        <v>421</v>
      </c>
    </row>
    <row r="61" spans="1:8" x14ac:dyDescent="0.25">
      <c r="B61" s="132">
        <v>84.911971830985919</v>
      </c>
      <c r="C61" s="132">
        <v>18.023465703971119</v>
      </c>
      <c r="D61" s="132">
        <v>26.557674841053586</v>
      </c>
      <c r="E61" s="132">
        <v>63.348089258288915</v>
      </c>
      <c r="F61" s="132">
        <v>43.171254915981407</v>
      </c>
      <c r="G61" s="132">
        <v>42.130482860302251</v>
      </c>
      <c r="H61" s="131">
        <v>11856</v>
      </c>
    </row>
    <row r="64" spans="1:8" x14ac:dyDescent="0.25">
      <c r="B64" s="104" t="s">
        <v>464</v>
      </c>
    </row>
    <row r="65" spans="1:6" ht="14" x14ac:dyDescent="0.3">
      <c r="A65" s="105" t="s">
        <v>452</v>
      </c>
      <c r="B65" s="134" t="s">
        <v>458</v>
      </c>
      <c r="C65" s="132">
        <v>84.911971830985919</v>
      </c>
    </row>
    <row r="66" spans="1:6" ht="14" x14ac:dyDescent="0.3">
      <c r="A66" s="105" t="s">
        <v>453</v>
      </c>
      <c r="B66" s="134" t="s">
        <v>459</v>
      </c>
      <c r="C66" s="132">
        <v>18.023465703971119</v>
      </c>
      <c r="D66" s="104"/>
      <c r="E66" s="104"/>
      <c r="F66" s="104"/>
    </row>
    <row r="67" spans="1:6" ht="14" x14ac:dyDescent="0.3">
      <c r="A67" s="105" t="s">
        <v>454</v>
      </c>
      <c r="B67" s="134" t="s">
        <v>460</v>
      </c>
      <c r="C67" s="132">
        <v>26.557674841053586</v>
      </c>
    </row>
    <row r="68" spans="1:6" ht="14" x14ac:dyDescent="0.3">
      <c r="A68" s="105" t="s">
        <v>455</v>
      </c>
      <c r="B68" s="134" t="s">
        <v>461</v>
      </c>
      <c r="C68" s="132">
        <v>63.348089258288915</v>
      </c>
    </row>
    <row r="69" spans="1:6" ht="14" x14ac:dyDescent="0.3">
      <c r="A69" s="105" t="s">
        <v>456</v>
      </c>
      <c r="B69" s="134" t="s">
        <v>462</v>
      </c>
      <c r="C69" s="132">
        <v>43.171254915981407</v>
      </c>
    </row>
    <row r="70" spans="1:6" ht="14" x14ac:dyDescent="0.3">
      <c r="A70" s="105" t="s">
        <v>457</v>
      </c>
      <c r="B70" s="134" t="s">
        <v>463</v>
      </c>
      <c r="C70" s="132">
        <v>42.130482860302251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A6" sqref="A6"/>
    </sheetView>
  </sheetViews>
  <sheetFormatPr defaultColWidth="8.7109375" defaultRowHeight="13.5" x14ac:dyDescent="0.25"/>
  <cols>
    <col min="1" max="1" width="54.0703125" style="105" customWidth="1"/>
    <col min="2" max="16384" width="8.7109375" style="105"/>
  </cols>
  <sheetData>
    <row r="1" spans="1:7" x14ac:dyDescent="0.25">
      <c r="A1" s="135" t="s">
        <v>465</v>
      </c>
    </row>
    <row r="2" spans="1:7" x14ac:dyDescent="0.25">
      <c r="A2" s="104" t="s">
        <v>466</v>
      </c>
    </row>
    <row r="4" spans="1:7" x14ac:dyDescent="0.25">
      <c r="A4" s="104" t="s">
        <v>467</v>
      </c>
    </row>
    <row r="6" spans="1:7" ht="14" x14ac:dyDescent="0.3">
      <c r="A6" s="128" t="s">
        <v>157</v>
      </c>
      <c r="B6" s="134" t="s">
        <v>468</v>
      </c>
      <c r="C6" s="134" t="s">
        <v>469</v>
      </c>
      <c r="D6" s="134" t="s">
        <v>470</v>
      </c>
      <c r="E6" s="134" t="s">
        <v>471</v>
      </c>
      <c r="F6" s="134" t="s">
        <v>472</v>
      </c>
      <c r="G6" s="128" t="s">
        <v>421</v>
      </c>
    </row>
    <row r="7" spans="1:7" x14ac:dyDescent="0.25">
      <c r="A7" s="131" t="s">
        <v>42</v>
      </c>
      <c r="B7" s="132">
        <v>66.666666666666671</v>
      </c>
      <c r="C7" s="132">
        <v>48.672566371681413</v>
      </c>
      <c r="D7" s="132">
        <v>41.592920353982301</v>
      </c>
      <c r="E7" s="132">
        <v>19.298245614035089</v>
      </c>
      <c r="F7" s="132">
        <v>33.628318584070797</v>
      </c>
      <c r="G7" s="131">
        <v>119</v>
      </c>
    </row>
    <row r="8" spans="1:7" x14ac:dyDescent="0.25">
      <c r="A8" s="131" t="s">
        <v>43</v>
      </c>
      <c r="B8" s="132">
        <v>72.450532724505322</v>
      </c>
      <c r="C8" s="132">
        <v>39.784946236559136</v>
      </c>
      <c r="D8" s="132">
        <v>42.526964560862865</v>
      </c>
      <c r="E8" s="132">
        <v>20.336391437308869</v>
      </c>
      <c r="F8" s="132">
        <v>29.465648854961831</v>
      </c>
      <c r="G8" s="131">
        <v>667</v>
      </c>
    </row>
    <row r="9" spans="1:7" x14ac:dyDescent="0.25">
      <c r="A9" s="131" t="s">
        <v>44</v>
      </c>
      <c r="B9" s="132">
        <v>68.518518518518519</v>
      </c>
      <c r="C9" s="132">
        <v>38.607594936708864</v>
      </c>
      <c r="D9" s="132">
        <v>43.949044585987259</v>
      </c>
      <c r="E9" s="132">
        <v>18.867924528301888</v>
      </c>
      <c r="F9" s="132">
        <v>29.559748427672957</v>
      </c>
      <c r="G9" s="131">
        <v>165</v>
      </c>
    </row>
    <row r="10" spans="1:7" x14ac:dyDescent="0.25">
      <c r="A10" s="131" t="s">
        <v>68</v>
      </c>
      <c r="B10" s="132">
        <v>74.098360655737707</v>
      </c>
      <c r="C10" s="132">
        <v>44.370860927152314</v>
      </c>
      <c r="D10" s="132">
        <v>42.857142857142854</v>
      </c>
      <c r="E10" s="132">
        <v>18.481848184818482</v>
      </c>
      <c r="F10" s="132">
        <v>35.148514851485146</v>
      </c>
      <c r="G10" s="131">
        <v>624</v>
      </c>
    </row>
    <row r="11" spans="1:7" x14ac:dyDescent="0.25">
      <c r="A11" s="131" t="s">
        <v>2</v>
      </c>
      <c r="B11" s="132">
        <v>71.428571428571431</v>
      </c>
      <c r="C11" s="132">
        <v>55.319148936170215</v>
      </c>
      <c r="D11" s="132">
        <v>38.372093023255815</v>
      </c>
      <c r="E11" s="132">
        <v>20</v>
      </c>
      <c r="F11" s="132">
        <v>47.826086956521742</v>
      </c>
      <c r="G11" s="131">
        <v>99</v>
      </c>
    </row>
    <row r="12" spans="1:7" x14ac:dyDescent="0.25">
      <c r="A12" s="131" t="s">
        <v>3</v>
      </c>
      <c r="B12" s="132">
        <v>71.28378378378379</v>
      </c>
      <c r="C12" s="132">
        <v>52.721088435374149</v>
      </c>
      <c r="D12" s="132">
        <v>38.062283737024224</v>
      </c>
      <c r="E12" s="132">
        <v>17.687074829931973</v>
      </c>
      <c r="F12" s="132">
        <v>34.137931034482762</v>
      </c>
      <c r="G12" s="131">
        <v>301</v>
      </c>
    </row>
    <row r="13" spans="1:7" x14ac:dyDescent="0.25">
      <c r="A13" s="131" t="s">
        <v>4</v>
      </c>
      <c r="B13" s="132">
        <v>68.953687821612348</v>
      </c>
      <c r="C13" s="132">
        <v>47.727272727272727</v>
      </c>
      <c r="D13" s="132">
        <v>38.120567375886523</v>
      </c>
      <c r="E13" s="132">
        <v>13.763066202090592</v>
      </c>
      <c r="F13" s="132">
        <v>34.094903339191568</v>
      </c>
      <c r="G13" s="131">
        <v>600</v>
      </c>
    </row>
    <row r="14" spans="1:7" x14ac:dyDescent="0.25">
      <c r="A14" s="131" t="s">
        <v>46</v>
      </c>
      <c r="B14" s="132">
        <v>68.794326241134755</v>
      </c>
      <c r="C14" s="132">
        <v>43.165467625899282</v>
      </c>
      <c r="D14" s="132">
        <v>34.532374100719423</v>
      </c>
      <c r="E14" s="132">
        <v>12.23021582733813</v>
      </c>
      <c r="F14" s="132">
        <v>36.231884057971016</v>
      </c>
      <c r="G14" s="131">
        <v>148</v>
      </c>
    </row>
    <row r="15" spans="1:7" x14ac:dyDescent="0.25">
      <c r="A15" s="131" t="s">
        <v>5</v>
      </c>
      <c r="B15" s="132">
        <v>67.767295597484278</v>
      </c>
      <c r="C15" s="132">
        <v>45.310015898251194</v>
      </c>
      <c r="D15" s="132">
        <v>42.58373205741627</v>
      </c>
      <c r="E15" s="132">
        <v>18.541996830427891</v>
      </c>
      <c r="F15" s="132">
        <v>33.757961783439491</v>
      </c>
      <c r="G15" s="131">
        <v>650</v>
      </c>
    </row>
    <row r="16" spans="1:7" x14ac:dyDescent="0.25">
      <c r="A16" s="131" t="s">
        <v>48</v>
      </c>
      <c r="B16" s="132">
        <v>74.436090225563916</v>
      </c>
      <c r="C16" s="132">
        <v>54.263565891472865</v>
      </c>
      <c r="D16" s="132">
        <v>38.582677165354333</v>
      </c>
      <c r="E16" s="132">
        <v>17.054263565891471</v>
      </c>
      <c r="F16" s="132">
        <v>30.232558139534884</v>
      </c>
      <c r="G16" s="131">
        <v>135</v>
      </c>
    </row>
    <row r="17" spans="1:7" x14ac:dyDescent="0.25">
      <c r="A17" s="131" t="s">
        <v>49</v>
      </c>
      <c r="B17" s="132">
        <v>81.730769230769226</v>
      </c>
      <c r="C17" s="132">
        <v>43</v>
      </c>
      <c r="D17" s="132">
        <v>32.653061224489797</v>
      </c>
      <c r="E17" s="132">
        <v>17</v>
      </c>
      <c r="F17" s="132">
        <v>32.323232323232325</v>
      </c>
      <c r="G17" s="131">
        <v>105</v>
      </c>
    </row>
    <row r="18" spans="1:7" x14ac:dyDescent="0.25">
      <c r="A18" s="131" t="s">
        <v>50</v>
      </c>
      <c r="B18" s="132">
        <v>71.428571428571431</v>
      </c>
      <c r="C18" s="132">
        <v>50.27322404371585</v>
      </c>
      <c r="D18" s="132">
        <v>30.555555555555557</v>
      </c>
      <c r="E18" s="132">
        <v>13.186813186813186</v>
      </c>
      <c r="F18" s="132">
        <v>24.175824175824175</v>
      </c>
      <c r="G18" s="131">
        <v>194</v>
      </c>
    </row>
    <row r="19" spans="1:7" x14ac:dyDescent="0.25">
      <c r="A19" s="131" t="s">
        <v>69</v>
      </c>
      <c r="B19" s="132">
        <v>69.461077844311376</v>
      </c>
      <c r="C19" s="132">
        <v>46.788990825688074</v>
      </c>
      <c r="D19" s="132">
        <v>36.44859813084112</v>
      </c>
      <c r="E19" s="132">
        <v>17.283950617283949</v>
      </c>
      <c r="F19" s="132">
        <v>37.962962962962962</v>
      </c>
      <c r="G19" s="131">
        <v>350</v>
      </c>
    </row>
    <row r="20" spans="1:7" x14ac:dyDescent="0.25">
      <c r="A20" s="131" t="s">
        <v>6</v>
      </c>
      <c r="B20" s="132">
        <v>69.576719576719583</v>
      </c>
      <c r="C20" s="132">
        <v>49.056603773584904</v>
      </c>
      <c r="D20" s="132">
        <v>35.149863760217983</v>
      </c>
      <c r="E20" s="132">
        <v>13.243243243243244</v>
      </c>
      <c r="F20" s="132">
        <v>53.887399463806972</v>
      </c>
      <c r="G20" s="131">
        <v>389</v>
      </c>
    </row>
    <row r="21" spans="1:7" x14ac:dyDescent="0.25">
      <c r="A21" s="131" t="s">
        <v>70</v>
      </c>
      <c r="B21" s="132">
        <v>71.428571428571431</v>
      </c>
      <c r="C21" s="132">
        <v>53.744493392070481</v>
      </c>
      <c r="D21" s="132">
        <v>36.725663716814161</v>
      </c>
      <c r="E21" s="132">
        <v>19.911504424778762</v>
      </c>
      <c r="F21" s="132">
        <v>35.111111111111114</v>
      </c>
      <c r="G21" s="131">
        <v>239</v>
      </c>
    </row>
    <row r="22" spans="1:7" x14ac:dyDescent="0.25">
      <c r="A22" s="131" t="s">
        <v>7</v>
      </c>
      <c r="B22" s="132">
        <v>77.160493827160494</v>
      </c>
      <c r="C22" s="132">
        <v>50.625</v>
      </c>
      <c r="D22" s="132">
        <v>36.305732484076437</v>
      </c>
      <c r="E22" s="132">
        <v>19.254658385093169</v>
      </c>
      <c r="F22" s="132">
        <v>34.161490683229815</v>
      </c>
      <c r="G22" s="131">
        <v>168</v>
      </c>
    </row>
    <row r="23" spans="1:7" x14ac:dyDescent="0.25">
      <c r="A23" s="131" t="s">
        <v>22</v>
      </c>
      <c r="B23" s="132">
        <v>70.588235294117652</v>
      </c>
      <c r="C23" s="132">
        <v>38.46153846153846</v>
      </c>
      <c r="D23" s="132">
        <v>29.696969696969695</v>
      </c>
      <c r="E23" s="132">
        <v>13.609467455621301</v>
      </c>
      <c r="F23" s="132">
        <v>42.514970059880241</v>
      </c>
      <c r="G23" s="131">
        <v>177</v>
      </c>
    </row>
    <row r="24" spans="1:7" x14ac:dyDescent="0.25">
      <c r="A24" s="131" t="s">
        <v>8</v>
      </c>
      <c r="B24" s="132">
        <v>66.34429400386847</v>
      </c>
      <c r="C24" s="132">
        <v>50.968992248062015</v>
      </c>
      <c r="D24" s="132">
        <v>39.726027397260275</v>
      </c>
      <c r="E24" s="132">
        <v>13.32046332046332</v>
      </c>
      <c r="F24" s="132">
        <v>33.333333333333336</v>
      </c>
      <c r="G24" s="131">
        <v>533</v>
      </c>
    </row>
    <row r="25" spans="1:7" x14ac:dyDescent="0.25">
      <c r="A25" s="131" t="s">
        <v>9</v>
      </c>
      <c r="B25" s="132">
        <v>65.625</v>
      </c>
      <c r="C25" s="132">
        <v>46.8503937007874</v>
      </c>
      <c r="D25" s="132">
        <v>42.125984251968504</v>
      </c>
      <c r="E25" s="132">
        <v>15.019762845849803</v>
      </c>
      <c r="F25" s="132">
        <v>37.401574803149607</v>
      </c>
      <c r="G25" s="131">
        <v>262</v>
      </c>
    </row>
    <row r="26" spans="1:7" x14ac:dyDescent="0.25">
      <c r="A26" s="131" t="s">
        <v>54</v>
      </c>
      <c r="B26" s="132">
        <v>61.585365853658537</v>
      </c>
      <c r="C26" s="132">
        <v>57.763975155279503</v>
      </c>
      <c r="D26" s="132">
        <v>34.375</v>
      </c>
      <c r="E26" s="132">
        <v>12.962962962962964</v>
      </c>
      <c r="F26" s="132">
        <v>36.024844720496894</v>
      </c>
      <c r="G26" s="131">
        <v>168</v>
      </c>
    </row>
    <row r="27" spans="1:7" x14ac:dyDescent="0.25">
      <c r="A27" s="131" t="s">
        <v>71</v>
      </c>
      <c r="B27" s="132">
        <v>70.09345794392523</v>
      </c>
      <c r="C27" s="132">
        <v>46.798029556650249</v>
      </c>
      <c r="D27" s="132">
        <v>37.931034482758619</v>
      </c>
      <c r="E27" s="132">
        <v>17.961165048543688</v>
      </c>
      <c r="F27" s="132">
        <v>27.250608272506081</v>
      </c>
      <c r="G27" s="131">
        <v>437</v>
      </c>
    </row>
    <row r="28" spans="1:7" x14ac:dyDescent="0.25">
      <c r="A28" s="131" t="s">
        <v>10</v>
      </c>
      <c r="B28" s="132">
        <v>74.647887323943664</v>
      </c>
      <c r="C28" s="132">
        <v>41.509433962264154</v>
      </c>
      <c r="D28" s="132">
        <v>33.653846153846153</v>
      </c>
      <c r="E28" s="132">
        <v>10.42654028436019</v>
      </c>
      <c r="F28" s="132">
        <v>28.436018957345972</v>
      </c>
      <c r="G28" s="131">
        <v>219</v>
      </c>
    </row>
    <row r="29" spans="1:7" x14ac:dyDescent="0.25">
      <c r="A29" s="131" t="s">
        <v>56</v>
      </c>
      <c r="B29" s="132">
        <v>62.857142857142854</v>
      </c>
      <c r="C29" s="132">
        <v>45.977011494252871</v>
      </c>
      <c r="D29" s="132">
        <v>35.672514619883039</v>
      </c>
      <c r="E29" s="132">
        <v>15.697674418604651</v>
      </c>
      <c r="F29" s="132">
        <v>30.813953488372093</v>
      </c>
      <c r="G29" s="131">
        <v>179</v>
      </c>
    </row>
    <row r="30" spans="1:7" x14ac:dyDescent="0.25">
      <c r="A30" s="131" t="s">
        <v>11</v>
      </c>
      <c r="B30" s="132">
        <v>66.666666666666671</v>
      </c>
      <c r="C30" s="132">
        <v>46.12903225806452</v>
      </c>
      <c r="D30" s="132">
        <v>42.096774193548384</v>
      </c>
      <c r="E30" s="132">
        <v>14.376996805111821</v>
      </c>
      <c r="F30" s="132">
        <v>29.6</v>
      </c>
      <c r="G30" s="131">
        <v>639</v>
      </c>
    </row>
    <row r="31" spans="1:7" x14ac:dyDescent="0.25">
      <c r="A31" s="131" t="s">
        <v>58</v>
      </c>
      <c r="B31" s="132">
        <v>62.5</v>
      </c>
      <c r="C31" s="132">
        <v>50</v>
      </c>
      <c r="D31" s="132">
        <v>44.954128440366972</v>
      </c>
      <c r="E31" s="132">
        <v>16.216216216216218</v>
      </c>
      <c r="F31" s="132">
        <v>38.738738738738739</v>
      </c>
      <c r="G31" s="131">
        <v>114</v>
      </c>
    </row>
    <row r="32" spans="1:7" x14ac:dyDescent="0.25">
      <c r="A32" s="131" t="s">
        <v>59</v>
      </c>
      <c r="B32" s="132">
        <v>68.794326241134755</v>
      </c>
      <c r="C32" s="132">
        <v>45.588235294117645</v>
      </c>
      <c r="D32" s="132">
        <v>32.592592592592595</v>
      </c>
      <c r="E32" s="132">
        <v>19.708029197080293</v>
      </c>
      <c r="F32" s="132">
        <v>39.097744360902254</v>
      </c>
      <c r="G32" s="131">
        <v>143</v>
      </c>
    </row>
    <row r="33" spans="1:7" x14ac:dyDescent="0.25">
      <c r="A33" s="131" t="s">
        <v>60</v>
      </c>
      <c r="B33" s="132">
        <v>79.259259259259252</v>
      </c>
      <c r="C33" s="132">
        <v>43.28358208955224</v>
      </c>
      <c r="D33" s="132">
        <v>31.343283582089551</v>
      </c>
      <c r="E33" s="132">
        <v>16.417910447761194</v>
      </c>
      <c r="F33" s="132">
        <v>24.81203007518797</v>
      </c>
      <c r="G33" s="131">
        <v>144</v>
      </c>
    </row>
    <row r="34" spans="1:7" x14ac:dyDescent="0.25">
      <c r="A34" s="131" t="s">
        <v>12</v>
      </c>
      <c r="B34" s="132">
        <v>67.164179104477611</v>
      </c>
      <c r="C34" s="132">
        <v>50.393700787401578</v>
      </c>
      <c r="D34" s="132">
        <v>32.520325203252035</v>
      </c>
      <c r="E34" s="132">
        <v>19.685039370078741</v>
      </c>
      <c r="F34" s="132">
        <v>37.301587301587304</v>
      </c>
      <c r="G34" s="131">
        <v>135</v>
      </c>
    </row>
    <row r="35" spans="1:7" x14ac:dyDescent="0.25">
      <c r="A35" s="131" t="s">
        <v>61</v>
      </c>
      <c r="B35" s="132">
        <v>76.13168724279835</v>
      </c>
      <c r="C35" s="132">
        <v>43.514644351464433</v>
      </c>
      <c r="D35" s="132">
        <v>34.468085106382979</v>
      </c>
      <c r="E35" s="132">
        <v>12.711864406779661</v>
      </c>
      <c r="F35" s="132">
        <v>31.512605042016808</v>
      </c>
      <c r="G35" s="131">
        <v>248</v>
      </c>
    </row>
    <row r="36" spans="1:7" x14ac:dyDescent="0.25">
      <c r="A36" s="131" t="s">
        <v>62</v>
      </c>
      <c r="B36" s="132">
        <v>75.892857142857139</v>
      </c>
      <c r="C36" s="132">
        <v>46.296296296296298</v>
      </c>
      <c r="D36" s="132">
        <v>39.047619047619051</v>
      </c>
      <c r="E36" s="132">
        <v>19.444444444444443</v>
      </c>
      <c r="F36" s="132">
        <v>44.339622641509436</v>
      </c>
      <c r="G36" s="131">
        <v>115</v>
      </c>
    </row>
    <row r="37" spans="1:7" x14ac:dyDescent="0.25">
      <c r="A37" s="131" t="s">
        <v>23</v>
      </c>
      <c r="B37" s="132">
        <v>71.681415929203538</v>
      </c>
      <c r="C37" s="132">
        <v>30.815709969788518</v>
      </c>
      <c r="D37" s="132">
        <v>33.434650455927049</v>
      </c>
      <c r="E37" s="132">
        <v>14.285714285714286</v>
      </c>
      <c r="F37" s="132">
        <v>28.484848484848484</v>
      </c>
      <c r="G37" s="131">
        <v>348</v>
      </c>
    </row>
    <row r="38" spans="1:7" x14ac:dyDescent="0.25">
      <c r="A38" s="131" t="s">
        <v>13</v>
      </c>
      <c r="B38" s="132">
        <v>70.611439842209066</v>
      </c>
      <c r="C38" s="132">
        <v>51.214574898785422</v>
      </c>
      <c r="D38" s="132">
        <v>41.104294478527606</v>
      </c>
      <c r="E38" s="132">
        <v>12.449799196787149</v>
      </c>
      <c r="F38" s="132">
        <v>38.18181818181818</v>
      </c>
      <c r="G38" s="131">
        <v>525</v>
      </c>
    </row>
    <row r="39" spans="1:7" x14ac:dyDescent="0.25">
      <c r="A39" s="131" t="s">
        <v>14</v>
      </c>
      <c r="B39" s="132">
        <v>74.838709677419359</v>
      </c>
      <c r="C39" s="132">
        <v>46.103896103896105</v>
      </c>
      <c r="D39" s="132">
        <v>41.721854304635762</v>
      </c>
      <c r="E39" s="132">
        <v>21.85430463576159</v>
      </c>
      <c r="F39" s="132">
        <v>29.605263157894736</v>
      </c>
      <c r="G39" s="131">
        <v>158</v>
      </c>
    </row>
    <row r="40" spans="1:7" x14ac:dyDescent="0.25">
      <c r="A40" s="131" t="s">
        <v>64</v>
      </c>
      <c r="B40" s="132">
        <v>77.575757575757578</v>
      </c>
      <c r="C40" s="132">
        <v>48.75</v>
      </c>
      <c r="D40" s="132">
        <v>25.477707006369428</v>
      </c>
      <c r="E40" s="132">
        <v>13.125</v>
      </c>
      <c r="F40" s="132">
        <v>32.716049382716051</v>
      </c>
      <c r="G40" s="131">
        <v>167</v>
      </c>
    </row>
    <row r="41" spans="1:7" x14ac:dyDescent="0.25">
      <c r="A41" s="131" t="s">
        <v>65</v>
      </c>
      <c r="B41" s="132">
        <v>70.029673590504444</v>
      </c>
      <c r="C41" s="132">
        <v>51.343283582089555</v>
      </c>
      <c r="D41" s="132">
        <v>41.079460269865066</v>
      </c>
      <c r="E41" s="132">
        <v>13.880597014925373</v>
      </c>
      <c r="F41" s="132">
        <v>40.629685157421292</v>
      </c>
      <c r="G41" s="131">
        <v>692</v>
      </c>
    </row>
    <row r="42" spans="1:7" x14ac:dyDescent="0.25">
      <c r="A42" s="131" t="s">
        <v>66</v>
      </c>
      <c r="B42" s="132">
        <v>67.164179104477611</v>
      </c>
      <c r="C42" s="132">
        <v>48.223350253807105</v>
      </c>
      <c r="D42" s="132">
        <v>41.53846153846154</v>
      </c>
      <c r="E42" s="132">
        <v>15.736040609137056</v>
      </c>
      <c r="F42" s="132">
        <v>40.512820512820511</v>
      </c>
      <c r="G42" s="131">
        <v>202</v>
      </c>
    </row>
    <row r="43" spans="1:7" x14ac:dyDescent="0.25">
      <c r="A43" s="131" t="s">
        <v>15</v>
      </c>
      <c r="B43" s="132">
        <v>68.729641693811075</v>
      </c>
      <c r="C43" s="132">
        <v>44.098360655737707</v>
      </c>
      <c r="D43" s="132">
        <v>39.137645107794363</v>
      </c>
      <c r="E43" s="132">
        <v>14.473684210526315</v>
      </c>
      <c r="F43" s="132">
        <v>35.73770491803279</v>
      </c>
      <c r="G43" s="131">
        <v>627</v>
      </c>
    </row>
    <row r="44" spans="1:7" x14ac:dyDescent="0.25">
      <c r="A44" s="131" t="s">
        <v>16</v>
      </c>
      <c r="B44" s="132">
        <v>71.128608923884514</v>
      </c>
      <c r="C44" s="132">
        <v>44.680851063829785</v>
      </c>
      <c r="D44" s="132">
        <v>44.959128065395099</v>
      </c>
      <c r="E44" s="132">
        <v>15.902964959568733</v>
      </c>
      <c r="F44" s="132">
        <v>31.266846361185983</v>
      </c>
      <c r="G44" s="131">
        <v>387</v>
      </c>
    </row>
    <row r="45" spans="1:7" x14ac:dyDescent="0.25">
      <c r="A45" s="131" t="s">
        <v>17</v>
      </c>
      <c r="B45" s="132">
        <v>67.368421052631575</v>
      </c>
      <c r="C45" s="132">
        <v>52.747252747252745</v>
      </c>
      <c r="D45" s="132">
        <v>35.955056179775283</v>
      </c>
      <c r="E45" s="132">
        <v>14.285714285714286</v>
      </c>
      <c r="F45" s="132">
        <v>28.089887640449437</v>
      </c>
      <c r="G45" s="131">
        <v>99</v>
      </c>
    </row>
    <row r="46" spans="1:7" x14ac:dyDescent="0.25">
      <c r="A46" s="131" t="s">
        <v>24</v>
      </c>
      <c r="B46" s="132">
        <v>72.928176795580114</v>
      </c>
      <c r="C46" s="132">
        <v>40.449438202247194</v>
      </c>
      <c r="D46" s="132">
        <v>35.428571428571431</v>
      </c>
      <c r="E46" s="132">
        <v>14.772727272727273</v>
      </c>
      <c r="F46" s="132">
        <v>33.146067415730336</v>
      </c>
      <c r="G46" s="131">
        <v>185</v>
      </c>
    </row>
    <row r="48" spans="1:7" x14ac:dyDescent="0.25">
      <c r="A48" s="104" t="s">
        <v>467</v>
      </c>
    </row>
    <row r="50" spans="1:7" ht="14" x14ac:dyDescent="0.3">
      <c r="A50" s="133" t="s">
        <v>158</v>
      </c>
      <c r="B50" s="134" t="s">
        <v>468</v>
      </c>
      <c r="C50" s="134" t="s">
        <v>469</v>
      </c>
      <c r="D50" s="134" t="s">
        <v>470</v>
      </c>
      <c r="E50" s="134" t="s">
        <v>471</v>
      </c>
      <c r="F50" s="134" t="s">
        <v>472</v>
      </c>
      <c r="G50" s="128" t="s">
        <v>421</v>
      </c>
    </row>
    <row r="51" spans="1:7" x14ac:dyDescent="0.25">
      <c r="A51" s="113" t="s">
        <v>74</v>
      </c>
      <c r="B51" s="132">
        <v>73.323170731707322</v>
      </c>
      <c r="C51" s="132">
        <v>48.037676609105183</v>
      </c>
      <c r="D51" s="132">
        <v>36.876006441223829</v>
      </c>
      <c r="E51" s="132">
        <v>17.19242902208202</v>
      </c>
      <c r="F51" s="132">
        <v>35.555555555555557</v>
      </c>
      <c r="G51" s="131">
        <v>676</v>
      </c>
    </row>
    <row r="52" spans="1:7" x14ac:dyDescent="0.25">
      <c r="A52" s="110" t="s">
        <v>75</v>
      </c>
      <c r="B52" s="132">
        <v>70.422535211267601</v>
      </c>
      <c r="C52" s="132">
        <v>43.935538592027143</v>
      </c>
      <c r="D52" s="132">
        <v>34.307824591573514</v>
      </c>
      <c r="E52" s="132">
        <v>16.1864406779661</v>
      </c>
      <c r="F52" s="132">
        <v>35.404255319148938</v>
      </c>
      <c r="G52" s="131">
        <v>1238</v>
      </c>
    </row>
    <row r="53" spans="1:7" x14ac:dyDescent="0.25">
      <c r="A53" s="110" t="s">
        <v>76</v>
      </c>
      <c r="B53" s="132">
        <v>70.913663034367147</v>
      </c>
      <c r="C53" s="132">
        <v>48.936170212765958</v>
      </c>
      <c r="D53" s="132">
        <v>35.553633217993081</v>
      </c>
      <c r="E53" s="132">
        <v>15.47008547008547</v>
      </c>
      <c r="F53" s="132">
        <v>30.341880341880341</v>
      </c>
      <c r="G53" s="131">
        <v>1223</v>
      </c>
    </row>
    <row r="54" spans="1:7" x14ac:dyDescent="0.25">
      <c r="A54" s="110" t="s">
        <v>77</v>
      </c>
      <c r="B54" s="132">
        <v>70.473684210526315</v>
      </c>
      <c r="C54" s="132">
        <v>45.478865703584802</v>
      </c>
      <c r="D54" s="132">
        <v>37.263385613845323</v>
      </c>
      <c r="E54" s="132">
        <v>16.077170418006432</v>
      </c>
      <c r="F54" s="132">
        <v>34.698275862068968</v>
      </c>
      <c r="G54" s="131">
        <v>1950</v>
      </c>
    </row>
    <row r="55" spans="1:7" x14ac:dyDescent="0.25">
      <c r="A55" s="110" t="s">
        <v>78</v>
      </c>
      <c r="B55" s="132">
        <v>69.351951306838529</v>
      </c>
      <c r="C55" s="132">
        <v>48.573518653986831</v>
      </c>
      <c r="D55" s="132">
        <v>39.437661857195707</v>
      </c>
      <c r="E55" s="132">
        <v>14.259664478482859</v>
      </c>
      <c r="F55" s="132">
        <v>35.988308366824988</v>
      </c>
      <c r="G55" s="131">
        <v>2870</v>
      </c>
    </row>
    <row r="56" spans="1:7" x14ac:dyDescent="0.25">
      <c r="A56" s="110" t="s">
        <v>79</v>
      </c>
      <c r="B56" s="132">
        <v>69.955509029049992</v>
      </c>
      <c r="C56" s="132">
        <v>45.216701902748412</v>
      </c>
      <c r="D56" s="132">
        <v>41.719745222929937</v>
      </c>
      <c r="E56" s="132">
        <v>16.679841897233203</v>
      </c>
      <c r="F56" s="132">
        <v>34.08071748878924</v>
      </c>
      <c r="G56" s="131">
        <v>3899</v>
      </c>
    </row>
    <row r="58" spans="1:7" ht="14" x14ac:dyDescent="0.3">
      <c r="A58" s="128" t="s">
        <v>159</v>
      </c>
      <c r="B58" s="132">
        <v>70.233362143474508</v>
      </c>
      <c r="C58" s="132">
        <v>46.475654772367726</v>
      </c>
      <c r="D58" s="132">
        <v>38.774422735346356</v>
      </c>
      <c r="E58" s="132">
        <v>15.851409502063756</v>
      </c>
      <c r="F58" s="132">
        <v>34.474865745224051</v>
      </c>
      <c r="G58" s="131">
        <v>11856</v>
      </c>
    </row>
    <row r="61" spans="1:7" x14ac:dyDescent="0.25">
      <c r="A61" s="104" t="s">
        <v>467</v>
      </c>
    </row>
    <row r="63" spans="1:7" x14ac:dyDescent="0.25">
      <c r="A63" s="104" t="s">
        <v>468</v>
      </c>
      <c r="B63" s="104" t="s">
        <v>473</v>
      </c>
      <c r="C63" s="104">
        <v>70.2</v>
      </c>
    </row>
    <row r="64" spans="1:7" x14ac:dyDescent="0.25">
      <c r="A64" s="104" t="s">
        <v>469</v>
      </c>
      <c r="B64" s="104" t="s">
        <v>474</v>
      </c>
      <c r="C64" s="104">
        <v>46.5</v>
      </c>
    </row>
    <row r="65" spans="1:3" x14ac:dyDescent="0.25">
      <c r="A65" s="104" t="s">
        <v>470</v>
      </c>
      <c r="B65" s="104" t="s">
        <v>475</v>
      </c>
      <c r="C65" s="104">
        <v>38.799999999999997</v>
      </c>
    </row>
    <row r="66" spans="1:3" x14ac:dyDescent="0.25">
      <c r="A66" s="104" t="s">
        <v>471</v>
      </c>
      <c r="B66" s="104" t="s">
        <v>476</v>
      </c>
      <c r="C66" s="104">
        <v>15.9</v>
      </c>
    </row>
    <row r="67" spans="1:3" x14ac:dyDescent="0.25">
      <c r="A67" s="104" t="s">
        <v>472</v>
      </c>
      <c r="B67" s="104" t="s">
        <v>477</v>
      </c>
      <c r="C67" s="104">
        <v>34.5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A6" sqref="A6"/>
    </sheetView>
  </sheetViews>
  <sheetFormatPr defaultColWidth="8.7109375" defaultRowHeight="13.5" x14ac:dyDescent="0.25"/>
  <cols>
    <col min="1" max="1" width="37.78515625" style="105" customWidth="1"/>
    <col min="2" max="16384" width="8.7109375" style="105"/>
  </cols>
  <sheetData>
    <row r="1" spans="1:15" x14ac:dyDescent="0.25">
      <c r="A1" s="135" t="s">
        <v>478</v>
      </c>
    </row>
    <row r="2" spans="1:15" x14ac:dyDescent="0.25">
      <c r="A2" s="104" t="s">
        <v>466</v>
      </c>
    </row>
    <row r="3" spans="1:15" x14ac:dyDescent="0.25">
      <c r="A3" s="104"/>
    </row>
    <row r="4" spans="1:15" x14ac:dyDescent="0.25">
      <c r="A4" s="104" t="s">
        <v>467</v>
      </c>
    </row>
    <row r="6" spans="1:15" s="104" customFormat="1" ht="14" x14ac:dyDescent="0.3">
      <c r="A6" s="128" t="s">
        <v>157</v>
      </c>
      <c r="B6" s="129" t="s">
        <v>479</v>
      </c>
      <c r="C6" s="129" t="s">
        <v>480</v>
      </c>
      <c r="D6" s="129" t="s">
        <v>481</v>
      </c>
      <c r="E6" s="129" t="s">
        <v>482</v>
      </c>
      <c r="F6" s="129" t="s">
        <v>483</v>
      </c>
      <c r="G6" s="129" t="s">
        <v>484</v>
      </c>
      <c r="H6" s="129" t="s">
        <v>485</v>
      </c>
      <c r="I6" s="129" t="s">
        <v>486</v>
      </c>
      <c r="J6" s="129" t="s">
        <v>487</v>
      </c>
      <c r="K6" s="129" t="s">
        <v>488</v>
      </c>
      <c r="L6" s="129" t="s">
        <v>489</v>
      </c>
      <c r="M6" s="129" t="s">
        <v>490</v>
      </c>
      <c r="N6" s="129" t="s">
        <v>491</v>
      </c>
      <c r="O6" s="130" t="s">
        <v>421</v>
      </c>
    </row>
    <row r="7" spans="1:15" x14ac:dyDescent="0.25">
      <c r="A7" s="131" t="s">
        <v>42</v>
      </c>
      <c r="B7" s="132">
        <v>27.027027027027028</v>
      </c>
      <c r="C7" s="132">
        <v>24.107142857142858</v>
      </c>
      <c r="D7" s="132">
        <v>18.75</v>
      </c>
      <c r="E7" s="132">
        <v>21.428571428571427</v>
      </c>
      <c r="F7" s="132">
        <v>11.504424778761061</v>
      </c>
      <c r="G7" s="132">
        <v>23.893805309734514</v>
      </c>
      <c r="H7" s="132">
        <v>33.035714285714285</v>
      </c>
      <c r="I7" s="132">
        <v>66.666666666666671</v>
      </c>
      <c r="J7" s="132">
        <v>39.823008849557525</v>
      </c>
      <c r="K7" s="132">
        <v>23.008849557522122</v>
      </c>
      <c r="L7" s="132">
        <v>19.642857142857142</v>
      </c>
      <c r="M7" s="132">
        <v>8.8495575221238933</v>
      </c>
      <c r="N7" s="132">
        <v>21.428571428571427</v>
      </c>
      <c r="O7" s="131">
        <v>119</v>
      </c>
    </row>
    <row r="8" spans="1:15" x14ac:dyDescent="0.25">
      <c r="A8" s="131" t="s">
        <v>43</v>
      </c>
      <c r="B8" s="132">
        <v>34.915773353751916</v>
      </c>
      <c r="C8" s="132">
        <v>21.966205837173579</v>
      </c>
      <c r="D8" s="132">
        <v>20.833333333333332</v>
      </c>
      <c r="E8" s="132">
        <v>28.549382716049383</v>
      </c>
      <c r="F8" s="132">
        <v>14.506172839506172</v>
      </c>
      <c r="G8" s="132">
        <v>30.662557781201848</v>
      </c>
      <c r="H8" s="132">
        <v>33.54037267080745</v>
      </c>
      <c r="I8" s="132">
        <v>45.186335403726709</v>
      </c>
      <c r="J8" s="132">
        <v>41.885625965996908</v>
      </c>
      <c r="K8" s="132">
        <v>25.038880248833593</v>
      </c>
      <c r="L8" s="132">
        <v>26.283048211508554</v>
      </c>
      <c r="M8" s="132">
        <v>21.150855365474339</v>
      </c>
      <c r="N8" s="132">
        <v>13.93188854489164</v>
      </c>
      <c r="O8" s="131">
        <v>667</v>
      </c>
    </row>
    <row r="9" spans="1:15" x14ac:dyDescent="0.25">
      <c r="A9" s="131" t="s">
        <v>44</v>
      </c>
      <c r="B9" s="132">
        <v>40.372670807453417</v>
      </c>
      <c r="C9" s="132">
        <v>29.375</v>
      </c>
      <c r="D9" s="132">
        <v>22.151898734177216</v>
      </c>
      <c r="E9" s="132">
        <v>31.055900621118013</v>
      </c>
      <c r="F9" s="132">
        <v>21.875</v>
      </c>
      <c r="G9" s="132">
        <v>34.591194968553459</v>
      </c>
      <c r="H9" s="132">
        <v>28.930817610062892</v>
      </c>
      <c r="I9" s="132">
        <v>38.364779874213838</v>
      </c>
      <c r="J9" s="132">
        <v>28.481012658227847</v>
      </c>
      <c r="K9" s="132">
        <v>20.754716981132077</v>
      </c>
      <c r="L9" s="132">
        <v>35.443037974683541</v>
      </c>
      <c r="M9" s="132">
        <v>11.949685534591195</v>
      </c>
      <c r="N9" s="132">
        <v>16.875</v>
      </c>
      <c r="O9" s="131">
        <v>165</v>
      </c>
    </row>
    <row r="10" spans="1:15" x14ac:dyDescent="0.25">
      <c r="A10" s="131" t="s">
        <v>68</v>
      </c>
      <c r="B10" s="132">
        <v>26.202321724709783</v>
      </c>
      <c r="C10" s="132">
        <v>18.407960199004975</v>
      </c>
      <c r="D10" s="132">
        <v>13.388429752066116</v>
      </c>
      <c r="E10" s="132">
        <v>18.286655683690281</v>
      </c>
      <c r="F10" s="132">
        <v>8.4858569051580695</v>
      </c>
      <c r="G10" s="132">
        <v>17.133443163097198</v>
      </c>
      <c r="H10" s="132">
        <v>32.328308207705192</v>
      </c>
      <c r="I10" s="132">
        <v>51.070840197693578</v>
      </c>
      <c r="J10" s="132">
        <v>45.304777594728172</v>
      </c>
      <c r="K10" s="132">
        <v>27.694859038142621</v>
      </c>
      <c r="L10" s="132">
        <v>17.986798679867988</v>
      </c>
      <c r="M10" s="132">
        <v>11.570247933884298</v>
      </c>
      <c r="N10" s="132">
        <v>15.980230642504118</v>
      </c>
      <c r="O10" s="131">
        <v>624</v>
      </c>
    </row>
    <row r="11" spans="1:15" x14ac:dyDescent="0.25">
      <c r="A11" s="131" t="s">
        <v>2</v>
      </c>
      <c r="B11" s="132">
        <v>35.416666666666664</v>
      </c>
      <c r="C11" s="132">
        <v>35.416666666666664</v>
      </c>
      <c r="D11" s="132">
        <v>21.276595744680851</v>
      </c>
      <c r="E11" s="132">
        <v>29.896907216494846</v>
      </c>
      <c r="F11" s="132">
        <v>21.50537634408602</v>
      </c>
      <c r="G11" s="132">
        <v>39.795918367346935</v>
      </c>
      <c r="H11" s="132">
        <v>41.05263157894737</v>
      </c>
      <c r="I11" s="132">
        <v>46.875</v>
      </c>
      <c r="J11" s="132">
        <v>32.631578947368418</v>
      </c>
      <c r="K11" s="132">
        <v>26.315789473684209</v>
      </c>
      <c r="L11" s="132">
        <v>25.263157894736842</v>
      </c>
      <c r="M11" s="132">
        <v>8.3333333333333339</v>
      </c>
      <c r="N11" s="132">
        <v>26.804123711340207</v>
      </c>
      <c r="O11" s="131">
        <v>99</v>
      </c>
    </row>
    <row r="12" spans="1:15" x14ac:dyDescent="0.25">
      <c r="A12" s="131" t="s">
        <v>3</v>
      </c>
      <c r="B12" s="132">
        <v>38.96551724137931</v>
      </c>
      <c r="C12" s="132">
        <v>32.638888888888886</v>
      </c>
      <c r="D12" s="132">
        <v>20.774647887323944</v>
      </c>
      <c r="E12" s="132">
        <v>30.927835051546392</v>
      </c>
      <c r="F12" s="132">
        <v>20.701754385964911</v>
      </c>
      <c r="G12" s="132">
        <v>36.713286713286713</v>
      </c>
      <c r="H12" s="132">
        <v>34.265734265734267</v>
      </c>
      <c r="I12" s="132">
        <v>34.615384615384613</v>
      </c>
      <c r="J12" s="132">
        <v>36.013986013986013</v>
      </c>
      <c r="K12" s="132">
        <v>20</v>
      </c>
      <c r="L12" s="132">
        <v>28.571428571428573</v>
      </c>
      <c r="M12" s="132">
        <v>13.937282229965156</v>
      </c>
      <c r="N12" s="132">
        <v>19.310344827586206</v>
      </c>
      <c r="O12" s="131">
        <v>301</v>
      </c>
    </row>
    <row r="13" spans="1:15" x14ac:dyDescent="0.25">
      <c r="A13" s="131" t="s">
        <v>4</v>
      </c>
      <c r="B13" s="132">
        <v>34.956521739130437</v>
      </c>
      <c r="C13" s="132">
        <v>26.970227670753065</v>
      </c>
      <c r="D13" s="132">
        <v>15.575221238938052</v>
      </c>
      <c r="E13" s="132">
        <v>19.652173913043477</v>
      </c>
      <c r="F13" s="132">
        <v>10.896309314586995</v>
      </c>
      <c r="G13" s="132">
        <v>21.164021164021165</v>
      </c>
      <c r="H13" s="132">
        <v>32.508833922261481</v>
      </c>
      <c r="I13" s="132">
        <v>63.020833333333336</v>
      </c>
      <c r="J13" s="132">
        <v>46.006944444444443</v>
      </c>
      <c r="K13" s="132">
        <v>27.495621716287214</v>
      </c>
      <c r="L13" s="132">
        <v>13.859649122807017</v>
      </c>
      <c r="M13" s="132">
        <v>7.73286467486819</v>
      </c>
      <c r="N13" s="132">
        <v>18.416523235800344</v>
      </c>
      <c r="O13" s="131">
        <v>600</v>
      </c>
    </row>
    <row r="14" spans="1:15" x14ac:dyDescent="0.25">
      <c r="A14" s="131" t="s">
        <v>46</v>
      </c>
      <c r="B14" s="132">
        <v>45.833333333333336</v>
      </c>
      <c r="C14" s="132">
        <v>38.620689655172413</v>
      </c>
      <c r="D14" s="132">
        <v>21.830985915492956</v>
      </c>
      <c r="E14" s="132">
        <v>26.573426573426573</v>
      </c>
      <c r="F14" s="132">
        <v>19.014084507042252</v>
      </c>
      <c r="G14" s="132">
        <v>30.714285714285715</v>
      </c>
      <c r="H14" s="132">
        <v>34.285714285714285</v>
      </c>
      <c r="I14" s="132">
        <v>42.25352112676056</v>
      </c>
      <c r="J14" s="132">
        <v>44.680851063829785</v>
      </c>
      <c r="K14" s="132">
        <v>17.391304347826086</v>
      </c>
      <c r="L14" s="132">
        <v>28.571428571428573</v>
      </c>
      <c r="M14" s="132">
        <v>11.594202898550725</v>
      </c>
      <c r="N14" s="132">
        <v>19.014084507042252</v>
      </c>
      <c r="O14" s="131">
        <v>148</v>
      </c>
    </row>
    <row r="15" spans="1:15" x14ac:dyDescent="0.25">
      <c r="A15" s="131" t="s">
        <v>5</v>
      </c>
      <c r="B15" s="132">
        <v>38.072669826224327</v>
      </c>
      <c r="C15" s="132">
        <v>30.303030303030305</v>
      </c>
      <c r="D15" s="132">
        <v>17.092651757188499</v>
      </c>
      <c r="E15" s="132">
        <v>27.258320126782884</v>
      </c>
      <c r="F15" s="132">
        <v>14.467408585055644</v>
      </c>
      <c r="G15" s="132">
        <v>28.730158730158731</v>
      </c>
      <c r="H15" s="132">
        <v>33.6</v>
      </c>
      <c r="I15" s="132">
        <v>45.555555555555557</v>
      </c>
      <c r="J15" s="132">
        <v>35.453100158982515</v>
      </c>
      <c r="K15" s="132">
        <v>22.539682539682541</v>
      </c>
      <c r="L15" s="132">
        <v>23.49206349206349</v>
      </c>
      <c r="M15" s="132">
        <v>14.06003159557662</v>
      </c>
      <c r="N15" s="132">
        <v>14.944356120826709</v>
      </c>
      <c r="O15" s="131">
        <v>650</v>
      </c>
    </row>
    <row r="16" spans="1:15" x14ac:dyDescent="0.25">
      <c r="A16" s="131" t="s">
        <v>48</v>
      </c>
      <c r="B16" s="132">
        <v>38.345864661654133</v>
      </c>
      <c r="C16" s="132">
        <v>33.333333333333336</v>
      </c>
      <c r="D16" s="132">
        <v>23.4375</v>
      </c>
      <c r="E16" s="132">
        <v>36.153846153846153</v>
      </c>
      <c r="F16" s="132">
        <v>22.307692307692307</v>
      </c>
      <c r="G16" s="132">
        <v>31.297709923664122</v>
      </c>
      <c r="H16" s="132">
        <v>32.03125</v>
      </c>
      <c r="I16" s="132">
        <v>54.330708661417326</v>
      </c>
      <c r="J16" s="132">
        <v>52.307692307692307</v>
      </c>
      <c r="K16" s="132">
        <v>23.4375</v>
      </c>
      <c r="L16" s="132">
        <v>23.255813953488371</v>
      </c>
      <c r="M16" s="132">
        <v>16.03053435114504</v>
      </c>
      <c r="N16" s="132">
        <v>20.155038759689923</v>
      </c>
      <c r="O16" s="131">
        <v>135</v>
      </c>
    </row>
    <row r="17" spans="1:15" x14ac:dyDescent="0.25">
      <c r="A17" s="131" t="s">
        <v>49</v>
      </c>
      <c r="B17" s="132">
        <v>48.484848484848484</v>
      </c>
      <c r="C17" s="132">
        <v>44.444444444444443</v>
      </c>
      <c r="D17" s="132">
        <v>45.360824742268044</v>
      </c>
      <c r="E17" s="132">
        <v>56.565656565656568</v>
      </c>
      <c r="F17" s="132">
        <v>40.816326530612244</v>
      </c>
      <c r="G17" s="132">
        <v>56.435643564356432</v>
      </c>
      <c r="H17" s="132">
        <v>32.653061224489797</v>
      </c>
      <c r="I17" s="132">
        <v>22.680412371134022</v>
      </c>
      <c r="J17" s="132">
        <v>30.612244897959183</v>
      </c>
      <c r="K17" s="132">
        <v>11.224489795918368</v>
      </c>
      <c r="L17" s="132">
        <v>47.916666666666664</v>
      </c>
      <c r="M17" s="132">
        <v>17.346938775510203</v>
      </c>
      <c r="N17" s="132">
        <v>18</v>
      </c>
      <c r="O17" s="131">
        <v>105</v>
      </c>
    </row>
    <row r="18" spans="1:15" x14ac:dyDescent="0.25">
      <c r="A18" s="131" t="s">
        <v>50</v>
      </c>
      <c r="B18" s="132">
        <v>38.333333333333336</v>
      </c>
      <c r="C18" s="132">
        <v>35.35911602209945</v>
      </c>
      <c r="D18" s="132">
        <v>27.624309392265193</v>
      </c>
      <c r="E18" s="132">
        <v>28.176795580110497</v>
      </c>
      <c r="F18" s="132">
        <v>19.672131147540984</v>
      </c>
      <c r="G18" s="132">
        <v>29.281767955801104</v>
      </c>
      <c r="H18" s="132">
        <v>34.444444444444443</v>
      </c>
      <c r="I18" s="132">
        <v>52.486187845303867</v>
      </c>
      <c r="J18" s="132">
        <v>38.674033149171272</v>
      </c>
      <c r="K18" s="132">
        <v>19.88950276243094</v>
      </c>
      <c r="L18" s="132">
        <v>31.693989071038253</v>
      </c>
      <c r="M18" s="132">
        <v>6.666666666666667</v>
      </c>
      <c r="N18" s="132">
        <v>17.032967032967033</v>
      </c>
      <c r="O18" s="131">
        <v>194</v>
      </c>
    </row>
    <row r="19" spans="1:15" x14ac:dyDescent="0.25">
      <c r="A19" s="131" t="s">
        <v>69</v>
      </c>
      <c r="B19" s="132">
        <v>31.547619047619047</v>
      </c>
      <c r="C19" s="132">
        <v>27.492447129909365</v>
      </c>
      <c r="D19" s="132">
        <v>16.513761467889907</v>
      </c>
      <c r="E19" s="132">
        <v>21.021021021021021</v>
      </c>
      <c r="F19" s="132">
        <v>12.121212121212121</v>
      </c>
      <c r="G19" s="132">
        <v>28.09667673716012</v>
      </c>
      <c r="H19" s="132">
        <v>34.250764525993887</v>
      </c>
      <c r="I19" s="132">
        <v>68.484848484848484</v>
      </c>
      <c r="J19" s="132">
        <v>44.036697247706421</v>
      </c>
      <c r="K19" s="132">
        <v>22.118380062305295</v>
      </c>
      <c r="L19" s="132">
        <v>15.596330275229358</v>
      </c>
      <c r="M19" s="132">
        <v>8.9230769230769234</v>
      </c>
      <c r="N19" s="132">
        <v>18.844984802431611</v>
      </c>
      <c r="O19" s="131">
        <v>350</v>
      </c>
    </row>
    <row r="20" spans="1:15" x14ac:dyDescent="0.25">
      <c r="A20" s="131" t="s">
        <v>6</v>
      </c>
      <c r="B20" s="132">
        <v>26.415094339622641</v>
      </c>
      <c r="C20" s="132">
        <v>20.82191780821918</v>
      </c>
      <c r="D20" s="132">
        <v>12.154696132596685</v>
      </c>
      <c r="E20" s="132">
        <v>16.531165311653115</v>
      </c>
      <c r="F20" s="132">
        <v>8.7671232876712324</v>
      </c>
      <c r="G20" s="132">
        <v>17.166212534059945</v>
      </c>
      <c r="H20" s="132">
        <v>40.720221606648202</v>
      </c>
      <c r="I20" s="132">
        <v>69.836956521739125</v>
      </c>
      <c r="J20" s="132">
        <v>51.790633608815426</v>
      </c>
      <c r="K20" s="132">
        <v>25.761772853185594</v>
      </c>
      <c r="L20" s="132">
        <v>11.813186813186814</v>
      </c>
      <c r="M20" s="132">
        <v>7.397260273972603</v>
      </c>
      <c r="N20" s="132">
        <v>19.565217391304348</v>
      </c>
      <c r="O20" s="131">
        <v>389</v>
      </c>
    </row>
    <row r="21" spans="1:15" x14ac:dyDescent="0.25">
      <c r="A21" s="131" t="s">
        <v>70</v>
      </c>
      <c r="B21" s="132">
        <v>32.900432900432904</v>
      </c>
      <c r="C21" s="132">
        <v>33.478260869565219</v>
      </c>
      <c r="D21" s="132">
        <v>16.228070175438596</v>
      </c>
      <c r="E21" s="132">
        <v>16.956521739130434</v>
      </c>
      <c r="F21" s="132">
        <v>12.173913043478262</v>
      </c>
      <c r="G21" s="132">
        <v>20.869565217391305</v>
      </c>
      <c r="H21" s="132">
        <v>31.25</v>
      </c>
      <c r="I21" s="132">
        <v>68.260869565217391</v>
      </c>
      <c r="J21" s="132">
        <v>53.539823008849559</v>
      </c>
      <c r="K21" s="132">
        <v>23.555555555555557</v>
      </c>
      <c r="L21" s="132">
        <v>19.650655021834062</v>
      </c>
      <c r="M21" s="132">
        <v>9.7345132743362832</v>
      </c>
      <c r="N21" s="132">
        <v>26.406926406926406</v>
      </c>
      <c r="O21" s="131">
        <v>239</v>
      </c>
    </row>
    <row r="22" spans="1:15" x14ac:dyDescent="0.25">
      <c r="A22" s="131" t="s">
        <v>7</v>
      </c>
      <c r="B22" s="132">
        <v>45.731707317073173</v>
      </c>
      <c r="C22" s="132">
        <v>41.97530864197531</v>
      </c>
      <c r="D22" s="132">
        <v>31.677018633540374</v>
      </c>
      <c r="E22" s="132">
        <v>39.506172839506171</v>
      </c>
      <c r="F22" s="132">
        <v>29.559748427672957</v>
      </c>
      <c r="G22" s="132">
        <v>38.75</v>
      </c>
      <c r="H22" s="132">
        <v>30.379746835443036</v>
      </c>
      <c r="I22" s="132">
        <v>42.5</v>
      </c>
      <c r="J22" s="132">
        <v>45.283018867924525</v>
      </c>
      <c r="K22" s="132">
        <v>21.019108280254777</v>
      </c>
      <c r="L22" s="132">
        <v>34.177215189873415</v>
      </c>
      <c r="M22" s="132">
        <v>16.455696202531644</v>
      </c>
      <c r="N22" s="132">
        <v>20.38216560509554</v>
      </c>
      <c r="O22" s="131">
        <v>168</v>
      </c>
    </row>
    <row r="23" spans="1:15" x14ac:dyDescent="0.25">
      <c r="A23" s="131" t="s">
        <v>22</v>
      </c>
      <c r="B23" s="132">
        <v>29.940119760479043</v>
      </c>
      <c r="C23" s="132">
        <v>26.219512195121951</v>
      </c>
      <c r="D23" s="132">
        <v>13.855421686746988</v>
      </c>
      <c r="E23" s="132">
        <v>25.730994152046783</v>
      </c>
      <c r="F23" s="132">
        <v>14.457831325301205</v>
      </c>
      <c r="G23" s="132">
        <v>29.411764705882351</v>
      </c>
      <c r="H23" s="132">
        <v>29.696969696969695</v>
      </c>
      <c r="I23" s="132">
        <v>56.80473372781065</v>
      </c>
      <c r="J23" s="132">
        <v>44.047619047619051</v>
      </c>
      <c r="K23" s="132">
        <v>21.818181818181817</v>
      </c>
      <c r="L23" s="132">
        <v>21.556886227544911</v>
      </c>
      <c r="M23" s="132">
        <v>9.6969696969696972</v>
      </c>
      <c r="N23" s="132">
        <v>22.754491017964071</v>
      </c>
      <c r="O23" s="131">
        <v>177</v>
      </c>
    </row>
    <row r="24" spans="1:15" x14ac:dyDescent="0.25">
      <c r="A24" s="131" t="s">
        <v>8</v>
      </c>
      <c r="B24" s="132">
        <v>30.232558139534884</v>
      </c>
      <c r="C24" s="132">
        <v>26.418786692759294</v>
      </c>
      <c r="D24" s="132">
        <v>12.745098039215685</v>
      </c>
      <c r="E24" s="132">
        <v>18.446601941747574</v>
      </c>
      <c r="F24" s="132">
        <v>10.700389105058365</v>
      </c>
      <c r="G24" s="132">
        <v>23.151750972762645</v>
      </c>
      <c r="H24" s="132">
        <v>40.0390625</v>
      </c>
      <c r="I24" s="132">
        <v>61.121856866537719</v>
      </c>
      <c r="J24" s="132">
        <v>48.249027237354085</v>
      </c>
      <c r="K24" s="132">
        <v>26.264591439688715</v>
      </c>
      <c r="L24" s="132">
        <v>16.9921875</v>
      </c>
      <c r="M24" s="132">
        <v>8.3657587548638137</v>
      </c>
      <c r="N24" s="132">
        <v>16.569200779727094</v>
      </c>
      <c r="O24" s="131">
        <v>533</v>
      </c>
    </row>
    <row r="25" spans="1:15" x14ac:dyDescent="0.25">
      <c r="A25" s="131" t="s">
        <v>9</v>
      </c>
      <c r="B25" s="132">
        <v>39.215686274509807</v>
      </c>
      <c r="C25" s="132">
        <v>32.015810276679844</v>
      </c>
      <c r="D25" s="132">
        <v>20.238095238095237</v>
      </c>
      <c r="E25" s="132">
        <v>34.251968503937007</v>
      </c>
      <c r="F25" s="132">
        <v>18.650793650793652</v>
      </c>
      <c r="G25" s="132">
        <v>29.803921568627452</v>
      </c>
      <c r="H25" s="132">
        <v>37.698412698412696</v>
      </c>
      <c r="I25" s="132">
        <v>34.523809523809526</v>
      </c>
      <c r="J25" s="132">
        <v>33.992094861660078</v>
      </c>
      <c r="K25" s="132">
        <v>20.158102766798418</v>
      </c>
      <c r="L25" s="132">
        <v>30.8</v>
      </c>
      <c r="M25" s="132">
        <v>14.229249011857707</v>
      </c>
      <c r="N25" s="132">
        <v>17.509727626459146</v>
      </c>
      <c r="O25" s="131">
        <v>262</v>
      </c>
    </row>
    <row r="26" spans="1:15" x14ac:dyDescent="0.25">
      <c r="A26" s="131" t="s">
        <v>54</v>
      </c>
      <c r="B26" s="132">
        <v>41.717791411042946</v>
      </c>
      <c r="C26" s="132">
        <v>35.802469135802468</v>
      </c>
      <c r="D26" s="132">
        <v>20.625</v>
      </c>
      <c r="E26" s="132">
        <v>32.919254658385093</v>
      </c>
      <c r="F26" s="132">
        <v>20.496894409937887</v>
      </c>
      <c r="G26" s="132">
        <v>30.434782608695652</v>
      </c>
      <c r="H26" s="132">
        <v>27.950310559006212</v>
      </c>
      <c r="I26" s="132">
        <v>46.625766871165645</v>
      </c>
      <c r="J26" s="132">
        <v>45.398773006134967</v>
      </c>
      <c r="K26" s="132">
        <v>28.571428571428573</v>
      </c>
      <c r="L26" s="132">
        <v>22.641509433962263</v>
      </c>
      <c r="M26" s="132">
        <v>10.062893081761006</v>
      </c>
      <c r="N26" s="132">
        <v>23.602484472049689</v>
      </c>
      <c r="O26" s="131">
        <v>168</v>
      </c>
    </row>
    <row r="27" spans="1:15" x14ac:dyDescent="0.25">
      <c r="A27" s="131" t="s">
        <v>71</v>
      </c>
      <c r="B27" s="132">
        <v>35.56085918854415</v>
      </c>
      <c r="C27" s="132">
        <v>28.780487804878049</v>
      </c>
      <c r="D27" s="132">
        <v>17.892156862745097</v>
      </c>
      <c r="E27" s="132">
        <v>24.578313253012048</v>
      </c>
      <c r="F27" s="132">
        <v>17.114914425427873</v>
      </c>
      <c r="G27" s="132">
        <v>26.65036674816626</v>
      </c>
      <c r="H27" s="132">
        <v>29.095354523227385</v>
      </c>
      <c r="I27" s="132">
        <v>50.485436893203882</v>
      </c>
      <c r="J27" s="132">
        <v>44.117647058823529</v>
      </c>
      <c r="K27" s="132">
        <v>20.588235294117649</v>
      </c>
      <c r="L27" s="132">
        <v>20.631067961165048</v>
      </c>
      <c r="M27" s="132">
        <v>9.2233009708737868</v>
      </c>
      <c r="N27" s="132">
        <v>17.675544794188863</v>
      </c>
      <c r="O27" s="131">
        <v>437</v>
      </c>
    </row>
    <row r="28" spans="1:15" x14ac:dyDescent="0.25">
      <c r="A28" s="131" t="s">
        <v>10</v>
      </c>
      <c r="B28" s="132">
        <v>40</v>
      </c>
      <c r="C28" s="132">
        <v>30.373831775700936</v>
      </c>
      <c r="D28" s="132">
        <v>25</v>
      </c>
      <c r="E28" s="132">
        <v>34.418604651162788</v>
      </c>
      <c r="F28" s="132">
        <v>16.279069767441861</v>
      </c>
      <c r="G28" s="132">
        <v>40.930232558139537</v>
      </c>
      <c r="H28" s="132">
        <v>20.379146919431278</v>
      </c>
      <c r="I28" s="132">
        <v>49.763033175355453</v>
      </c>
      <c r="J28" s="132">
        <v>34.433962264150942</v>
      </c>
      <c r="K28" s="132">
        <v>17.061611374407583</v>
      </c>
      <c r="L28" s="132">
        <v>32.242990654205606</v>
      </c>
      <c r="M28" s="132">
        <v>9.9526066350710902</v>
      </c>
      <c r="N28" s="132">
        <v>17.61904761904762</v>
      </c>
      <c r="O28" s="131">
        <v>219</v>
      </c>
    </row>
    <row r="29" spans="1:15" x14ac:dyDescent="0.25">
      <c r="A29" s="131" t="s">
        <v>56</v>
      </c>
      <c r="B29" s="132">
        <v>37.5</v>
      </c>
      <c r="C29" s="132">
        <v>31.213872832369944</v>
      </c>
      <c r="D29" s="132">
        <v>28.160919540229884</v>
      </c>
      <c r="E29" s="132">
        <v>36.571428571428569</v>
      </c>
      <c r="F29" s="132">
        <v>19.540229885057471</v>
      </c>
      <c r="G29" s="132">
        <v>39.306358381502889</v>
      </c>
      <c r="H29" s="132">
        <v>28.823529411764707</v>
      </c>
      <c r="I29" s="132">
        <v>37.931034482758619</v>
      </c>
      <c r="J29" s="132">
        <v>36.93181818181818</v>
      </c>
      <c r="K29" s="132">
        <v>17.816091954022987</v>
      </c>
      <c r="L29" s="132">
        <v>33.908045977011497</v>
      </c>
      <c r="M29" s="132">
        <v>7.4712643678160919</v>
      </c>
      <c r="N29" s="132">
        <v>18.96551724137931</v>
      </c>
      <c r="O29" s="131">
        <v>179</v>
      </c>
    </row>
    <row r="30" spans="1:15" x14ac:dyDescent="0.25">
      <c r="A30" s="131" t="s">
        <v>11</v>
      </c>
      <c r="B30" s="132">
        <v>32.432432432432435</v>
      </c>
      <c r="C30" s="132">
        <v>29.44</v>
      </c>
      <c r="D30" s="132">
        <v>18.357487922705314</v>
      </c>
      <c r="E30" s="132">
        <v>25.23961661341853</v>
      </c>
      <c r="F30" s="132">
        <v>14.308681672025724</v>
      </c>
      <c r="G30" s="132">
        <v>24</v>
      </c>
      <c r="H30" s="132">
        <v>27.184466019417474</v>
      </c>
      <c r="I30" s="132">
        <v>48.32</v>
      </c>
      <c r="J30" s="132">
        <v>43.130990415335461</v>
      </c>
      <c r="K30" s="132">
        <v>25</v>
      </c>
      <c r="L30" s="132">
        <v>19.645732689210949</v>
      </c>
      <c r="M30" s="132">
        <v>12.70096463022508</v>
      </c>
      <c r="N30" s="132">
        <v>14.790996784565916</v>
      </c>
      <c r="O30" s="131">
        <v>639</v>
      </c>
    </row>
    <row r="31" spans="1:15" x14ac:dyDescent="0.25">
      <c r="A31" s="131" t="s">
        <v>58</v>
      </c>
      <c r="B31" s="132">
        <v>44.642857142857146</v>
      </c>
      <c r="C31" s="132">
        <v>32.432432432432435</v>
      </c>
      <c r="D31" s="132">
        <v>33.333333333333336</v>
      </c>
      <c r="E31" s="132">
        <v>33.035714285714285</v>
      </c>
      <c r="F31" s="132">
        <v>26.126126126126128</v>
      </c>
      <c r="G31" s="132">
        <v>39.285714285714285</v>
      </c>
      <c r="H31" s="132">
        <v>29.72972972972973</v>
      </c>
      <c r="I31" s="132">
        <v>46.846846846846844</v>
      </c>
      <c r="J31" s="132">
        <v>45.045045045045043</v>
      </c>
      <c r="K31" s="132">
        <v>26.785714285714285</v>
      </c>
      <c r="L31" s="132">
        <v>28.828828828828829</v>
      </c>
      <c r="M31" s="132">
        <v>7.1428571428571432</v>
      </c>
      <c r="N31" s="132">
        <v>29.09090909090909</v>
      </c>
      <c r="O31" s="131">
        <v>114</v>
      </c>
    </row>
    <row r="32" spans="1:15" x14ac:dyDescent="0.25">
      <c r="A32" s="131" t="s">
        <v>59</v>
      </c>
      <c r="B32" s="132">
        <v>29.927007299270073</v>
      </c>
      <c r="C32" s="132">
        <v>28.260869565217391</v>
      </c>
      <c r="D32" s="132">
        <v>16.911764705882351</v>
      </c>
      <c r="E32" s="132">
        <v>23.741007194244606</v>
      </c>
      <c r="F32" s="132">
        <v>16.058394160583941</v>
      </c>
      <c r="G32" s="132">
        <v>25.179856115107913</v>
      </c>
      <c r="H32" s="132">
        <v>27.407407407407408</v>
      </c>
      <c r="I32" s="132">
        <v>57.246376811594203</v>
      </c>
      <c r="J32" s="132">
        <v>43.382352941176471</v>
      </c>
      <c r="K32" s="132">
        <v>22.058823529411764</v>
      </c>
      <c r="L32" s="132">
        <v>17.777777777777779</v>
      </c>
      <c r="M32" s="132">
        <v>8.0882352941176467</v>
      </c>
      <c r="N32" s="132">
        <v>30.882352941176471</v>
      </c>
      <c r="O32" s="131">
        <v>143</v>
      </c>
    </row>
    <row r="33" spans="1:15" x14ac:dyDescent="0.25">
      <c r="A33" s="131" t="s">
        <v>60</v>
      </c>
      <c r="B33" s="132">
        <v>49.640287769784173</v>
      </c>
      <c r="C33" s="132">
        <v>43.884892086330936</v>
      </c>
      <c r="D33" s="132">
        <v>30.434782608695652</v>
      </c>
      <c r="E33" s="132">
        <v>37.410071942446045</v>
      </c>
      <c r="F33" s="132">
        <v>20.863309352517987</v>
      </c>
      <c r="G33" s="132">
        <v>38.571428571428569</v>
      </c>
      <c r="H33" s="132">
        <v>30.147058823529413</v>
      </c>
      <c r="I33" s="132">
        <v>35.251798561151077</v>
      </c>
      <c r="J33" s="132">
        <v>32.374100719424462</v>
      </c>
      <c r="K33" s="132">
        <v>21.167883211678831</v>
      </c>
      <c r="L33" s="132">
        <v>30.434782608695652</v>
      </c>
      <c r="M33" s="132">
        <v>7.2463768115942031</v>
      </c>
      <c r="N33" s="132">
        <v>19.852941176470587</v>
      </c>
      <c r="O33" s="131">
        <v>144</v>
      </c>
    </row>
    <row r="34" spans="1:15" x14ac:dyDescent="0.25">
      <c r="A34" s="131" t="s">
        <v>12</v>
      </c>
      <c r="B34" s="132">
        <v>41.085271317829459</v>
      </c>
      <c r="C34" s="132">
        <v>40.799999999999997</v>
      </c>
      <c r="D34" s="132">
        <v>20.8</v>
      </c>
      <c r="E34" s="132">
        <v>32.03125</v>
      </c>
      <c r="F34" s="132">
        <v>19.53125</v>
      </c>
      <c r="G34" s="132">
        <v>33.59375</v>
      </c>
      <c r="H34" s="132">
        <v>35.772357723577237</v>
      </c>
      <c r="I34" s="132">
        <v>53.846153846153847</v>
      </c>
      <c r="J34" s="132">
        <v>44.53125</v>
      </c>
      <c r="K34" s="132">
        <v>24</v>
      </c>
      <c r="L34" s="132">
        <v>21.259842519685041</v>
      </c>
      <c r="M34" s="132">
        <v>11.023622047244094</v>
      </c>
      <c r="N34" s="132">
        <v>28.125</v>
      </c>
      <c r="O34" s="131">
        <v>135</v>
      </c>
    </row>
    <row r="35" spans="1:15" x14ac:dyDescent="0.25">
      <c r="A35" s="131" t="s">
        <v>61</v>
      </c>
      <c r="B35" s="132">
        <v>54.583333333333336</v>
      </c>
      <c r="C35" s="132">
        <v>36.25</v>
      </c>
      <c r="D35" s="132">
        <v>23.305084745762713</v>
      </c>
      <c r="E35" s="132">
        <v>31.25</v>
      </c>
      <c r="F35" s="132">
        <v>19.831223628691983</v>
      </c>
      <c r="G35" s="132">
        <v>31.25</v>
      </c>
      <c r="H35" s="132">
        <v>29.11392405063291</v>
      </c>
      <c r="I35" s="132">
        <v>27.310924369747898</v>
      </c>
      <c r="J35" s="132">
        <v>36.864406779661017</v>
      </c>
      <c r="K35" s="132">
        <v>18.9873417721519</v>
      </c>
      <c r="L35" s="132">
        <v>32.773109243697476</v>
      </c>
      <c r="M35" s="132">
        <v>12.916666666666666</v>
      </c>
      <c r="N35" s="132">
        <v>15.06276150627615</v>
      </c>
      <c r="O35" s="131">
        <v>248</v>
      </c>
    </row>
    <row r="36" spans="1:15" x14ac:dyDescent="0.25">
      <c r="A36" s="131" t="s">
        <v>62</v>
      </c>
      <c r="B36" s="132">
        <v>40.74074074074074</v>
      </c>
      <c r="C36" s="132">
        <v>34.545454545454547</v>
      </c>
      <c r="D36" s="132">
        <v>26.851851851851851</v>
      </c>
      <c r="E36" s="132">
        <v>29.09090909090909</v>
      </c>
      <c r="F36" s="132">
        <v>21.296296296296298</v>
      </c>
      <c r="G36" s="132">
        <v>32.110091743119263</v>
      </c>
      <c r="H36" s="132">
        <v>48.598130841121495</v>
      </c>
      <c r="I36" s="132">
        <v>52.777777777777779</v>
      </c>
      <c r="J36" s="132">
        <v>36.697247706422019</v>
      </c>
      <c r="K36" s="132">
        <v>34.862385321100916</v>
      </c>
      <c r="L36" s="132">
        <v>32.407407407407405</v>
      </c>
      <c r="M36" s="132">
        <v>8.4112149532710276</v>
      </c>
      <c r="N36" s="132">
        <v>30</v>
      </c>
      <c r="O36" s="131">
        <v>115</v>
      </c>
    </row>
    <row r="37" spans="1:15" x14ac:dyDescent="0.25">
      <c r="A37" s="131" t="s">
        <v>23</v>
      </c>
      <c r="B37" s="132">
        <v>21.301775147928993</v>
      </c>
      <c r="C37" s="132">
        <v>22.089552238805972</v>
      </c>
      <c r="D37" s="132">
        <v>16.816816816816818</v>
      </c>
      <c r="E37" s="132">
        <v>22.551928783382788</v>
      </c>
      <c r="F37" s="132">
        <v>9.8507462686567155</v>
      </c>
      <c r="G37" s="132">
        <v>26.627218934911241</v>
      </c>
      <c r="H37" s="132">
        <v>31.818181818181817</v>
      </c>
      <c r="I37" s="132">
        <v>69.321533923303832</v>
      </c>
      <c r="J37" s="132">
        <v>50.447761194029852</v>
      </c>
      <c r="K37" s="132">
        <v>20.303030303030305</v>
      </c>
      <c r="L37" s="132">
        <v>16.467065868263472</v>
      </c>
      <c r="M37" s="132">
        <v>9.3655589123867067</v>
      </c>
      <c r="N37" s="132">
        <v>18.862275449101798</v>
      </c>
      <c r="O37" s="131">
        <v>348</v>
      </c>
    </row>
    <row r="38" spans="1:15" x14ac:dyDescent="0.25">
      <c r="A38" s="131" t="s">
        <v>13</v>
      </c>
      <c r="B38" s="132">
        <v>43.339960238568587</v>
      </c>
      <c r="C38" s="132">
        <v>31.863727454909821</v>
      </c>
      <c r="D38" s="132">
        <v>14.65863453815261</v>
      </c>
      <c r="E38" s="132">
        <v>20.119521912350599</v>
      </c>
      <c r="F38" s="132">
        <v>9.0361445783132535</v>
      </c>
      <c r="G38" s="132">
        <v>20.039682539682541</v>
      </c>
      <c r="H38" s="132">
        <v>40.122199592668025</v>
      </c>
      <c r="I38" s="132">
        <v>62.449799196787147</v>
      </c>
      <c r="J38" s="132">
        <v>52.323232323232325</v>
      </c>
      <c r="K38" s="132">
        <v>29.327902240325866</v>
      </c>
      <c r="L38" s="132">
        <v>14.228456913827655</v>
      </c>
      <c r="M38" s="132">
        <v>10.060362173038229</v>
      </c>
      <c r="N38" s="132">
        <v>19.8</v>
      </c>
      <c r="O38" s="131">
        <v>525</v>
      </c>
    </row>
    <row r="39" spans="1:15" x14ac:dyDescent="0.25">
      <c r="A39" s="131" t="s">
        <v>14</v>
      </c>
      <c r="B39" s="132">
        <v>33.116883116883116</v>
      </c>
      <c r="C39" s="132">
        <v>22.077922077922079</v>
      </c>
      <c r="D39" s="132">
        <v>20</v>
      </c>
      <c r="E39" s="132">
        <v>27.631578947368421</v>
      </c>
      <c r="F39" s="132">
        <v>20.394736842105264</v>
      </c>
      <c r="G39" s="132">
        <v>36.666666666666664</v>
      </c>
      <c r="H39" s="132">
        <v>35.374149659863946</v>
      </c>
      <c r="I39" s="132">
        <v>46</v>
      </c>
      <c r="J39" s="132">
        <v>41.333333333333336</v>
      </c>
      <c r="K39" s="132">
        <v>23.841059602649008</v>
      </c>
      <c r="L39" s="132">
        <v>20.52980132450331</v>
      </c>
      <c r="M39" s="132">
        <v>9.8684210526315788</v>
      </c>
      <c r="N39" s="132">
        <v>26.797385620915033</v>
      </c>
      <c r="O39" s="131">
        <v>158</v>
      </c>
    </row>
    <row r="40" spans="1:15" x14ac:dyDescent="0.25">
      <c r="A40" s="131" t="s">
        <v>64</v>
      </c>
      <c r="B40" s="132">
        <v>42.5</v>
      </c>
      <c r="C40" s="132">
        <v>36.645962732919251</v>
      </c>
      <c r="D40" s="132">
        <v>25.625</v>
      </c>
      <c r="E40" s="132">
        <v>38.650306748466257</v>
      </c>
      <c r="F40" s="132">
        <v>23.456790123456791</v>
      </c>
      <c r="G40" s="132">
        <v>40.243902439024389</v>
      </c>
      <c r="H40" s="132">
        <v>30.625</v>
      </c>
      <c r="I40" s="132">
        <v>37.654320987654323</v>
      </c>
      <c r="J40" s="132">
        <v>40.993788819875775</v>
      </c>
      <c r="K40" s="132">
        <v>21.875</v>
      </c>
      <c r="L40" s="132">
        <v>38.036809815950917</v>
      </c>
      <c r="M40" s="132">
        <v>12.5</v>
      </c>
      <c r="N40" s="132">
        <v>22.641509433962263</v>
      </c>
      <c r="O40" s="131">
        <v>167</v>
      </c>
    </row>
    <row r="41" spans="1:15" x14ac:dyDescent="0.25">
      <c r="A41" s="131" t="s">
        <v>65</v>
      </c>
      <c r="B41" s="132">
        <v>36.68639053254438</v>
      </c>
      <c r="C41" s="132">
        <v>31.8796992481203</v>
      </c>
      <c r="D41" s="132">
        <v>17.937219730941703</v>
      </c>
      <c r="E41" s="132">
        <v>23.922734026745914</v>
      </c>
      <c r="F41" s="132">
        <v>16.890881913303438</v>
      </c>
      <c r="G41" s="132">
        <v>22.089552238805972</v>
      </c>
      <c r="H41" s="132">
        <v>34.087481146304675</v>
      </c>
      <c r="I41" s="132">
        <v>44.873699851411587</v>
      </c>
      <c r="J41" s="132">
        <v>39.673105497771175</v>
      </c>
      <c r="K41" s="132">
        <v>28.912071535022356</v>
      </c>
      <c r="L41" s="132">
        <v>23.838080959520241</v>
      </c>
      <c r="M41" s="132">
        <v>13.813813813813814</v>
      </c>
      <c r="N41" s="132">
        <v>13.561847988077496</v>
      </c>
      <c r="O41" s="131">
        <v>692</v>
      </c>
    </row>
    <row r="42" spans="1:15" x14ac:dyDescent="0.25">
      <c r="A42" s="131" t="s">
        <v>66</v>
      </c>
      <c r="B42" s="132">
        <v>32.828282828282831</v>
      </c>
      <c r="C42" s="132">
        <v>31.979695431472081</v>
      </c>
      <c r="D42" s="132">
        <v>18.274111675126903</v>
      </c>
      <c r="E42" s="132">
        <v>24.747474747474747</v>
      </c>
      <c r="F42" s="132">
        <v>15.306122448979592</v>
      </c>
      <c r="G42" s="132">
        <v>23.350253807106601</v>
      </c>
      <c r="H42" s="132">
        <v>35.051546391752581</v>
      </c>
      <c r="I42" s="132">
        <v>51.776649746192895</v>
      </c>
      <c r="J42" s="132">
        <v>48.205128205128204</v>
      </c>
      <c r="K42" s="132">
        <v>20.512820512820515</v>
      </c>
      <c r="L42" s="132">
        <v>22.279792746113991</v>
      </c>
      <c r="M42" s="132">
        <v>12.435233160621761</v>
      </c>
      <c r="N42" s="132">
        <v>19.597989949748744</v>
      </c>
      <c r="O42" s="131">
        <v>202</v>
      </c>
    </row>
    <row r="43" spans="1:15" x14ac:dyDescent="0.25">
      <c r="A43" s="131" t="s">
        <v>15</v>
      </c>
      <c r="B43" s="132">
        <v>36.065573770491802</v>
      </c>
      <c r="C43" s="132">
        <v>24.302134646962234</v>
      </c>
      <c r="D43" s="132">
        <v>17.269736842105264</v>
      </c>
      <c r="E43" s="132">
        <v>19.047619047619047</v>
      </c>
      <c r="F43" s="132">
        <v>12.520593080724877</v>
      </c>
      <c r="G43" s="132">
        <v>21.639344262295083</v>
      </c>
      <c r="H43" s="132">
        <v>29.256198347107439</v>
      </c>
      <c r="I43" s="132">
        <v>54.380165289256198</v>
      </c>
      <c r="J43" s="132">
        <v>45.454545454545453</v>
      </c>
      <c r="K43" s="132">
        <v>24.750830564784053</v>
      </c>
      <c r="L43" s="132">
        <v>24.462809917355372</v>
      </c>
      <c r="M43" s="132">
        <v>15.789473684210526</v>
      </c>
      <c r="N43" s="132">
        <v>11.716171617161717</v>
      </c>
      <c r="O43" s="131">
        <v>627</v>
      </c>
    </row>
    <row r="44" spans="1:15" x14ac:dyDescent="0.25">
      <c r="A44" s="131" t="s">
        <v>16</v>
      </c>
      <c r="B44" s="132">
        <v>34.666666666666664</v>
      </c>
      <c r="C44" s="132">
        <v>29.649595687331537</v>
      </c>
      <c r="D44" s="132">
        <v>17.78975741239892</v>
      </c>
      <c r="E44" s="132">
        <v>31.117021276595743</v>
      </c>
      <c r="F44" s="132">
        <v>18.108108108108109</v>
      </c>
      <c r="G44" s="132">
        <v>36.29032258064516</v>
      </c>
      <c r="H44" s="132">
        <v>33.879781420765028</v>
      </c>
      <c r="I44" s="132">
        <v>51.761517615176153</v>
      </c>
      <c r="J44" s="132">
        <v>40.921409214092144</v>
      </c>
      <c r="K44" s="132">
        <v>19.891008174386922</v>
      </c>
      <c r="L44" s="132">
        <v>27.989130434782609</v>
      </c>
      <c r="M44" s="132">
        <v>12.5</v>
      </c>
      <c r="N44" s="132">
        <v>14.324324324324325</v>
      </c>
      <c r="O44" s="131">
        <v>387</v>
      </c>
    </row>
    <row r="45" spans="1:15" x14ac:dyDescent="0.25">
      <c r="A45" s="131" t="s">
        <v>17</v>
      </c>
      <c r="B45" s="132">
        <v>37.89473684210526</v>
      </c>
      <c r="C45" s="132">
        <v>38.70967741935484</v>
      </c>
      <c r="D45" s="132">
        <v>24.210526315789473</v>
      </c>
      <c r="E45" s="132">
        <v>32.291666666666664</v>
      </c>
      <c r="F45" s="132">
        <v>22.105263157894736</v>
      </c>
      <c r="G45" s="132">
        <v>35.106382978723403</v>
      </c>
      <c r="H45" s="132">
        <v>29.032258064516128</v>
      </c>
      <c r="I45" s="132">
        <v>46.236559139784944</v>
      </c>
      <c r="J45" s="132">
        <v>32.258064516129032</v>
      </c>
      <c r="K45" s="132">
        <v>18.681318681318682</v>
      </c>
      <c r="L45" s="132">
        <v>27.659574468085108</v>
      </c>
      <c r="M45" s="132">
        <v>5.3191489361702127</v>
      </c>
      <c r="N45" s="132">
        <v>18.681318681318682</v>
      </c>
      <c r="O45" s="131">
        <v>99</v>
      </c>
    </row>
    <row r="46" spans="1:15" x14ac:dyDescent="0.25">
      <c r="A46" s="131" t="s">
        <v>24</v>
      </c>
      <c r="B46" s="132">
        <v>30.726256983240223</v>
      </c>
      <c r="C46" s="132">
        <v>33.333333333333336</v>
      </c>
      <c r="D46" s="132">
        <v>22.988505747126435</v>
      </c>
      <c r="E46" s="132">
        <v>25.142857142857142</v>
      </c>
      <c r="F46" s="132">
        <v>12.921348314606741</v>
      </c>
      <c r="G46" s="132">
        <v>28.977272727272727</v>
      </c>
      <c r="H46" s="132">
        <v>29.239766081871345</v>
      </c>
      <c r="I46" s="132">
        <v>56.179775280898873</v>
      </c>
      <c r="J46" s="132">
        <v>38.06818181818182</v>
      </c>
      <c r="K46" s="132">
        <v>23.295454545454547</v>
      </c>
      <c r="L46" s="132">
        <v>23.121387283236995</v>
      </c>
      <c r="M46" s="132">
        <v>12.716763005780347</v>
      </c>
      <c r="N46" s="132">
        <v>19.186046511627907</v>
      </c>
      <c r="O46" s="131">
        <v>185</v>
      </c>
    </row>
    <row r="48" spans="1:15" x14ac:dyDescent="0.25">
      <c r="A48" s="104" t="s">
        <v>467</v>
      </c>
    </row>
    <row r="50" spans="1:15" ht="14" x14ac:dyDescent="0.3">
      <c r="A50" s="133" t="s">
        <v>158</v>
      </c>
      <c r="B50" s="129" t="s">
        <v>479</v>
      </c>
      <c r="C50" s="129" t="s">
        <v>480</v>
      </c>
      <c r="D50" s="129" t="s">
        <v>481</v>
      </c>
      <c r="E50" s="129" t="s">
        <v>482</v>
      </c>
      <c r="F50" s="129" t="s">
        <v>483</v>
      </c>
      <c r="G50" s="129" t="s">
        <v>484</v>
      </c>
      <c r="H50" s="129" t="s">
        <v>485</v>
      </c>
      <c r="I50" s="129" t="s">
        <v>486</v>
      </c>
      <c r="J50" s="129" t="s">
        <v>487</v>
      </c>
      <c r="K50" s="129" t="s">
        <v>488</v>
      </c>
      <c r="L50" s="129" t="s">
        <v>489</v>
      </c>
      <c r="M50" s="129" t="s">
        <v>490</v>
      </c>
      <c r="N50" s="129" t="s">
        <v>491</v>
      </c>
      <c r="O50" s="130" t="s">
        <v>421</v>
      </c>
    </row>
    <row r="51" spans="1:15" x14ac:dyDescent="0.25">
      <c r="A51" s="113" t="s">
        <v>74</v>
      </c>
      <c r="B51" s="132">
        <v>43.29738058551618</v>
      </c>
      <c r="C51" s="132">
        <v>38.425925925925924</v>
      </c>
      <c r="D51" s="132">
        <v>30.3125</v>
      </c>
      <c r="E51" s="132">
        <v>36.294027565084228</v>
      </c>
      <c r="F51" s="132">
        <v>25.155279503105589</v>
      </c>
      <c r="G51" s="132">
        <v>40.061162079510702</v>
      </c>
      <c r="H51" s="132">
        <v>35</v>
      </c>
      <c r="I51" s="132">
        <v>41.614906832298139</v>
      </c>
      <c r="J51" s="132">
        <v>35.038759689922479</v>
      </c>
      <c r="K51" s="132">
        <v>23.364485981308412</v>
      </c>
      <c r="L51" s="132">
        <v>31.931464174454828</v>
      </c>
      <c r="M51" s="132">
        <v>8.8372093023255811</v>
      </c>
      <c r="N51" s="132">
        <v>23.757763975155278</v>
      </c>
      <c r="O51" s="131">
        <v>676</v>
      </c>
    </row>
    <row r="52" spans="1:15" x14ac:dyDescent="0.25">
      <c r="A52" s="110" t="s">
        <v>75</v>
      </c>
      <c r="B52" s="132">
        <v>36.057287278854254</v>
      </c>
      <c r="C52" s="132">
        <v>32.345469940728194</v>
      </c>
      <c r="D52" s="132">
        <v>20.30716723549488</v>
      </c>
      <c r="E52" s="132">
        <v>28.211586901763223</v>
      </c>
      <c r="F52" s="132">
        <v>17.468354430379748</v>
      </c>
      <c r="G52" s="132">
        <v>31.060606060606062</v>
      </c>
      <c r="H52" s="132">
        <v>30.927835051546392</v>
      </c>
      <c r="I52" s="132">
        <v>50.545759865659107</v>
      </c>
      <c r="J52" s="132">
        <v>40.254237288135592</v>
      </c>
      <c r="K52" s="132">
        <v>21.776259607173355</v>
      </c>
      <c r="L52" s="132">
        <v>25.979557069846678</v>
      </c>
      <c r="M52" s="132">
        <v>10.854700854700855</v>
      </c>
      <c r="N52" s="132">
        <v>22.297872340425531</v>
      </c>
      <c r="O52" s="131">
        <v>1238</v>
      </c>
    </row>
    <row r="53" spans="1:15" x14ac:dyDescent="0.25">
      <c r="A53" s="110" t="s">
        <v>76</v>
      </c>
      <c r="B53" s="132">
        <v>39.342881213142377</v>
      </c>
      <c r="C53" s="132">
        <v>32.793867120954005</v>
      </c>
      <c r="D53" s="132">
        <v>25.513698630136986</v>
      </c>
      <c r="E53" s="132">
        <v>33.616298811544993</v>
      </c>
      <c r="F53" s="132">
        <v>20.833333333333332</v>
      </c>
      <c r="G53" s="132">
        <v>35.549872122762146</v>
      </c>
      <c r="H53" s="132">
        <v>29.386343993085568</v>
      </c>
      <c r="I53" s="132">
        <v>47.003424657534246</v>
      </c>
      <c r="J53" s="132">
        <v>41.346973572037513</v>
      </c>
      <c r="K53" s="132">
        <v>21.28755364806867</v>
      </c>
      <c r="L53" s="132">
        <v>28.974358974358974</v>
      </c>
      <c r="M53" s="132">
        <v>10.711225364181663</v>
      </c>
      <c r="N53" s="132">
        <v>20.462328767123289</v>
      </c>
      <c r="O53" s="131">
        <v>1223</v>
      </c>
    </row>
    <row r="54" spans="1:15" x14ac:dyDescent="0.25">
      <c r="A54" s="110" t="s">
        <v>77</v>
      </c>
      <c r="B54" s="132">
        <v>35.116525423728817</v>
      </c>
      <c r="C54" s="132">
        <v>30.256136606189969</v>
      </c>
      <c r="D54" s="132">
        <v>18.739903069466884</v>
      </c>
      <c r="E54" s="132">
        <v>25.809877854487521</v>
      </c>
      <c r="F54" s="132">
        <v>15.227882037533512</v>
      </c>
      <c r="G54" s="132">
        <v>28.396377197655834</v>
      </c>
      <c r="H54" s="132">
        <v>33.351351351351354</v>
      </c>
      <c r="I54" s="132">
        <v>51.869658119658119</v>
      </c>
      <c r="J54" s="132">
        <v>43.272335844994615</v>
      </c>
      <c r="K54" s="132">
        <v>20.801733477789817</v>
      </c>
      <c r="L54" s="132">
        <v>23.196986006458559</v>
      </c>
      <c r="M54" s="132">
        <v>11.482479784366577</v>
      </c>
      <c r="N54" s="132">
        <v>19.265566790846194</v>
      </c>
      <c r="O54" s="131">
        <v>1950</v>
      </c>
    </row>
    <row r="55" spans="1:15" x14ac:dyDescent="0.25">
      <c r="A55" s="110" t="s">
        <v>78</v>
      </c>
      <c r="B55" s="132">
        <v>34.481508339376362</v>
      </c>
      <c r="C55" s="132">
        <v>27.549523110785032</v>
      </c>
      <c r="D55" s="132">
        <v>15.075562108367121</v>
      </c>
      <c r="E55" s="132">
        <v>21.410396219556524</v>
      </c>
      <c r="F55" s="132">
        <v>12.151248164464024</v>
      </c>
      <c r="G55" s="132">
        <v>23.682284040995608</v>
      </c>
      <c r="H55" s="132">
        <v>36.094674556213015</v>
      </c>
      <c r="I55" s="132">
        <v>60.094925155166116</v>
      </c>
      <c r="J55" s="132">
        <v>47.393538913362704</v>
      </c>
      <c r="K55" s="132">
        <v>25.304315750645518</v>
      </c>
      <c r="L55" s="132">
        <v>17.180616740088105</v>
      </c>
      <c r="M55" s="132">
        <v>9.1042584434654916</v>
      </c>
      <c r="N55" s="132">
        <v>17.820699708454811</v>
      </c>
      <c r="O55" s="131">
        <v>2870</v>
      </c>
    </row>
    <row r="56" spans="1:15" x14ac:dyDescent="0.25">
      <c r="A56" s="110" t="s">
        <v>79</v>
      </c>
      <c r="B56" s="132">
        <v>34.148264984227133</v>
      </c>
      <c r="C56" s="132">
        <v>26.137566137566136</v>
      </c>
      <c r="D56" s="132">
        <v>17.527137940164152</v>
      </c>
      <c r="E56" s="132">
        <v>23.800738007380073</v>
      </c>
      <c r="F56" s="132">
        <v>13.61228813559322</v>
      </c>
      <c r="G56" s="132">
        <v>24.109733579530467</v>
      </c>
      <c r="H56" s="132">
        <v>31.71641791044776</v>
      </c>
      <c r="I56" s="132">
        <v>48.123678646934458</v>
      </c>
      <c r="J56" s="132">
        <v>41.748085555848959</v>
      </c>
      <c r="K56" s="132">
        <v>25.683205094189439</v>
      </c>
      <c r="L56" s="132">
        <v>22.667020148462353</v>
      </c>
      <c r="M56" s="132">
        <v>14.879534021710352</v>
      </c>
      <c r="N56" s="132">
        <v>14.14969584765935</v>
      </c>
      <c r="O56" s="131">
        <v>3899</v>
      </c>
    </row>
    <row r="58" spans="1:15" ht="14" x14ac:dyDescent="0.3">
      <c r="A58" s="128" t="s">
        <v>159</v>
      </c>
      <c r="B58" s="129" t="s">
        <v>479</v>
      </c>
      <c r="C58" s="129" t="s">
        <v>480</v>
      </c>
      <c r="D58" s="129" t="s">
        <v>481</v>
      </c>
      <c r="E58" s="129" t="s">
        <v>482</v>
      </c>
      <c r="F58" s="129" t="s">
        <v>483</v>
      </c>
      <c r="G58" s="129" t="s">
        <v>484</v>
      </c>
      <c r="H58" s="129" t="s">
        <v>485</v>
      </c>
      <c r="I58" s="129" t="s">
        <v>486</v>
      </c>
      <c r="J58" s="129" t="s">
        <v>487</v>
      </c>
      <c r="K58" s="129" t="s">
        <v>488</v>
      </c>
      <c r="L58" s="129" t="s">
        <v>489</v>
      </c>
      <c r="M58" s="129" t="s">
        <v>490</v>
      </c>
      <c r="N58" s="129" t="s">
        <v>491</v>
      </c>
      <c r="O58" s="130" t="s">
        <v>421</v>
      </c>
    </row>
    <row r="59" spans="1:15" x14ac:dyDescent="0.25">
      <c r="B59" s="132">
        <v>35.64019872744705</v>
      </c>
      <c r="C59" s="132">
        <v>29.18387068435386</v>
      </c>
      <c r="D59" s="132">
        <v>18.972366910920808</v>
      </c>
      <c r="E59" s="132">
        <v>25.737991266375545</v>
      </c>
      <c r="F59" s="132">
        <v>15.329815303430079</v>
      </c>
      <c r="G59" s="132">
        <v>27.525186158563294</v>
      </c>
      <c r="H59" s="132">
        <v>32.901393449897931</v>
      </c>
      <c r="I59" s="132">
        <v>51.38620810668538</v>
      </c>
      <c r="J59" s="132">
        <v>42.772939209993844</v>
      </c>
      <c r="K59" s="132">
        <v>23.805732484076433</v>
      </c>
      <c r="L59" s="132">
        <v>22.954144620811288</v>
      </c>
      <c r="M59" s="132">
        <v>11.748103721996825</v>
      </c>
      <c r="N59" s="132">
        <v>17.908875427969448</v>
      </c>
      <c r="O59" s="131">
        <v>11856</v>
      </c>
    </row>
    <row r="61" spans="1:15" x14ac:dyDescent="0.25">
      <c r="A61" s="104" t="s">
        <v>467</v>
      </c>
    </row>
    <row r="62" spans="1:15" ht="14" x14ac:dyDescent="0.3">
      <c r="A62" s="128" t="s">
        <v>159</v>
      </c>
    </row>
    <row r="63" spans="1:15" ht="14" x14ac:dyDescent="0.3">
      <c r="A63" s="129" t="s">
        <v>479</v>
      </c>
      <c r="B63" s="104" t="s">
        <v>492</v>
      </c>
      <c r="C63" s="134">
        <v>35.64019872744705</v>
      </c>
    </row>
    <row r="64" spans="1:15" ht="14" x14ac:dyDescent="0.3">
      <c r="A64" s="129" t="s">
        <v>480</v>
      </c>
      <c r="B64" s="104" t="s">
        <v>493</v>
      </c>
      <c r="C64" s="134">
        <v>29.18387068435386</v>
      </c>
    </row>
    <row r="65" spans="1:3" ht="14" x14ac:dyDescent="0.3">
      <c r="A65" s="129" t="s">
        <v>481</v>
      </c>
      <c r="B65" s="104" t="s">
        <v>494</v>
      </c>
      <c r="C65" s="134">
        <v>18.972366910920808</v>
      </c>
    </row>
    <row r="66" spans="1:3" ht="14" x14ac:dyDescent="0.3">
      <c r="A66" s="129" t="s">
        <v>482</v>
      </c>
      <c r="B66" s="104" t="s">
        <v>495</v>
      </c>
      <c r="C66" s="134">
        <v>25.737991266375545</v>
      </c>
    </row>
    <row r="67" spans="1:3" ht="14" x14ac:dyDescent="0.3">
      <c r="A67" s="129" t="s">
        <v>483</v>
      </c>
      <c r="B67" s="104" t="s">
        <v>496</v>
      </c>
      <c r="C67" s="134">
        <v>15.329815303430079</v>
      </c>
    </row>
    <row r="68" spans="1:3" ht="14" x14ac:dyDescent="0.3">
      <c r="A68" s="129" t="s">
        <v>484</v>
      </c>
      <c r="B68" s="104" t="s">
        <v>497</v>
      </c>
      <c r="C68" s="134">
        <v>27.525186158563294</v>
      </c>
    </row>
    <row r="69" spans="1:3" ht="14" x14ac:dyDescent="0.3">
      <c r="A69" s="129" t="s">
        <v>485</v>
      </c>
      <c r="B69" s="104" t="s">
        <v>498</v>
      </c>
      <c r="C69" s="134">
        <v>32.901393449897931</v>
      </c>
    </row>
    <row r="70" spans="1:3" ht="14" x14ac:dyDescent="0.3">
      <c r="A70" s="129" t="s">
        <v>486</v>
      </c>
      <c r="B70" s="104" t="s">
        <v>499</v>
      </c>
      <c r="C70" s="134">
        <v>51.38620810668538</v>
      </c>
    </row>
    <row r="71" spans="1:3" ht="14" x14ac:dyDescent="0.3">
      <c r="A71" s="129" t="s">
        <v>487</v>
      </c>
      <c r="B71" s="104" t="s">
        <v>500</v>
      </c>
      <c r="C71" s="134">
        <v>42.772939209993844</v>
      </c>
    </row>
    <row r="72" spans="1:3" ht="14" x14ac:dyDescent="0.3">
      <c r="A72" s="129" t="s">
        <v>488</v>
      </c>
      <c r="B72" s="104" t="s">
        <v>501</v>
      </c>
      <c r="C72" s="134">
        <v>23.805732484076433</v>
      </c>
    </row>
    <row r="73" spans="1:3" ht="14" x14ac:dyDescent="0.3">
      <c r="A73" s="129" t="s">
        <v>489</v>
      </c>
      <c r="B73" s="104" t="s">
        <v>502</v>
      </c>
      <c r="C73" s="134">
        <v>22.954144620811288</v>
      </c>
    </row>
    <row r="74" spans="1:3" ht="14" x14ac:dyDescent="0.3">
      <c r="A74" s="129" t="s">
        <v>490</v>
      </c>
      <c r="B74" s="104" t="s">
        <v>503</v>
      </c>
      <c r="C74" s="134">
        <v>11.748103721996825</v>
      </c>
    </row>
    <row r="75" spans="1:3" ht="14" x14ac:dyDescent="0.3">
      <c r="A75" s="129" t="s">
        <v>491</v>
      </c>
      <c r="B75" s="104" t="s">
        <v>504</v>
      </c>
      <c r="C75" s="134">
        <v>17.908875427969448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A6" sqref="A6"/>
    </sheetView>
  </sheetViews>
  <sheetFormatPr defaultColWidth="8.7109375" defaultRowHeight="13.5" x14ac:dyDescent="0.25"/>
  <cols>
    <col min="1" max="1" width="27" style="105" customWidth="1"/>
    <col min="2" max="16384" width="8.7109375" style="105"/>
  </cols>
  <sheetData>
    <row r="1" spans="1:7" x14ac:dyDescent="0.25">
      <c r="A1" s="135" t="s">
        <v>505</v>
      </c>
    </row>
    <row r="2" spans="1:7" x14ac:dyDescent="0.25">
      <c r="A2" s="104" t="s">
        <v>466</v>
      </c>
    </row>
    <row r="3" spans="1:7" x14ac:dyDescent="0.25">
      <c r="A3" s="104"/>
    </row>
    <row r="4" spans="1:7" x14ac:dyDescent="0.25">
      <c r="A4" s="104" t="s">
        <v>755</v>
      </c>
    </row>
    <row r="6" spans="1:7" ht="14" x14ac:dyDescent="0.3">
      <c r="A6" s="128" t="s">
        <v>157</v>
      </c>
      <c r="B6" s="129" t="s">
        <v>506</v>
      </c>
      <c r="C6" s="129" t="s">
        <v>507</v>
      </c>
      <c r="D6" s="129" t="s">
        <v>508</v>
      </c>
      <c r="E6" s="129" t="s">
        <v>509</v>
      </c>
      <c r="F6" s="129" t="s">
        <v>510</v>
      </c>
      <c r="G6" s="130" t="s">
        <v>421</v>
      </c>
    </row>
    <row r="7" spans="1:7" x14ac:dyDescent="0.25">
      <c r="A7" s="131" t="s">
        <v>42</v>
      </c>
      <c r="B7" s="132">
        <v>4.4247787610619467</v>
      </c>
      <c r="C7" s="132">
        <v>52.212389380530972</v>
      </c>
      <c r="D7" s="132">
        <v>36.283185840707965</v>
      </c>
      <c r="E7" s="132">
        <v>13.274336283185841</v>
      </c>
      <c r="F7" s="132">
        <v>11.504424778761061</v>
      </c>
      <c r="G7" s="131">
        <v>119</v>
      </c>
    </row>
    <row r="8" spans="1:7" x14ac:dyDescent="0.25">
      <c r="A8" s="131" t="s">
        <v>43</v>
      </c>
      <c r="B8" s="132">
        <v>35.65891472868217</v>
      </c>
      <c r="C8" s="132">
        <v>43.230769230769234</v>
      </c>
      <c r="D8" s="132">
        <v>26.120556414219475</v>
      </c>
      <c r="E8" s="132">
        <v>28.703703703703702</v>
      </c>
      <c r="F8" s="132">
        <v>18.39258114374034</v>
      </c>
      <c r="G8" s="131">
        <v>667</v>
      </c>
    </row>
    <row r="9" spans="1:7" x14ac:dyDescent="0.25">
      <c r="A9" s="131" t="s">
        <v>44</v>
      </c>
      <c r="B9" s="132">
        <v>44.936708860759495</v>
      </c>
      <c r="C9" s="132">
        <v>47.5</v>
      </c>
      <c r="D9" s="132">
        <v>46.875</v>
      </c>
      <c r="E9" s="132">
        <v>16.25</v>
      </c>
      <c r="F9" s="132">
        <v>9.316770186335404</v>
      </c>
      <c r="G9" s="131">
        <v>165</v>
      </c>
    </row>
    <row r="10" spans="1:7" x14ac:dyDescent="0.25">
      <c r="A10" s="131" t="s">
        <v>68</v>
      </c>
      <c r="B10" s="132">
        <v>10.082644628099173</v>
      </c>
      <c r="C10" s="132">
        <v>38.741721854304636</v>
      </c>
      <c r="D10" s="132">
        <v>14.096185737976782</v>
      </c>
      <c r="E10" s="132">
        <v>35.867768595041319</v>
      </c>
      <c r="F10" s="132">
        <v>32.172470978441126</v>
      </c>
      <c r="G10" s="131">
        <v>624</v>
      </c>
    </row>
    <row r="11" spans="1:7" x14ac:dyDescent="0.25">
      <c r="A11" s="131" t="s">
        <v>2</v>
      </c>
      <c r="B11" s="132">
        <v>73.19587628865979</v>
      </c>
      <c r="C11" s="132">
        <v>50</v>
      </c>
      <c r="D11" s="132">
        <v>59.183673469387756</v>
      </c>
      <c r="E11" s="132">
        <v>12.371134020618557</v>
      </c>
      <c r="F11" s="132">
        <v>10.309278350515465</v>
      </c>
      <c r="G11" s="131">
        <v>99</v>
      </c>
    </row>
    <row r="12" spans="1:7" x14ac:dyDescent="0.25">
      <c r="A12" s="131" t="s">
        <v>3</v>
      </c>
      <c r="B12" s="132">
        <v>43.150684931506852</v>
      </c>
      <c r="C12" s="132">
        <v>54.513888888888886</v>
      </c>
      <c r="D12" s="132">
        <v>44.557823129251702</v>
      </c>
      <c r="E12" s="132">
        <v>17.346938775510203</v>
      </c>
      <c r="F12" s="132">
        <v>16.780821917808218</v>
      </c>
      <c r="G12" s="131">
        <v>301</v>
      </c>
    </row>
    <row r="13" spans="1:7" x14ac:dyDescent="0.25">
      <c r="A13" s="131" t="s">
        <v>4</v>
      </c>
      <c r="B13" s="132">
        <v>11.149825783972126</v>
      </c>
      <c r="C13" s="132">
        <v>39.024390243902438</v>
      </c>
      <c r="D13" s="132">
        <v>17.482517482517483</v>
      </c>
      <c r="E13" s="132">
        <v>24.125874125874127</v>
      </c>
      <c r="F13" s="132">
        <v>11.324041811846691</v>
      </c>
      <c r="G13" s="131">
        <v>600</v>
      </c>
    </row>
    <row r="14" spans="1:7" x14ac:dyDescent="0.25">
      <c r="A14" s="131" t="s">
        <v>46</v>
      </c>
      <c r="B14" s="132">
        <v>50.349650349650346</v>
      </c>
      <c r="C14" s="132">
        <v>56.643356643356647</v>
      </c>
      <c r="D14" s="132">
        <v>38.46153846153846</v>
      </c>
      <c r="E14" s="132">
        <v>24.305555555555557</v>
      </c>
      <c r="F14" s="132">
        <v>7.746478873239437</v>
      </c>
      <c r="G14" s="131">
        <v>148</v>
      </c>
    </row>
    <row r="15" spans="1:7" x14ac:dyDescent="0.25">
      <c r="A15" s="131" t="s">
        <v>5</v>
      </c>
      <c r="B15" s="132">
        <v>20.673076923076923</v>
      </c>
      <c r="C15" s="132">
        <v>45.12</v>
      </c>
      <c r="D15" s="132">
        <v>20.287539936102238</v>
      </c>
      <c r="E15" s="132">
        <v>23.51046698872786</v>
      </c>
      <c r="F15" s="132">
        <v>9.615384615384615</v>
      </c>
      <c r="G15" s="131">
        <v>650</v>
      </c>
    </row>
    <row r="16" spans="1:7" x14ac:dyDescent="0.25">
      <c r="A16" s="131" t="s">
        <v>48</v>
      </c>
      <c r="B16" s="132">
        <v>21.969696969696969</v>
      </c>
      <c r="C16" s="132">
        <v>46.875</v>
      </c>
      <c r="D16" s="132">
        <v>30.708661417322833</v>
      </c>
      <c r="E16" s="132">
        <v>38.582677165354333</v>
      </c>
      <c r="F16" s="132">
        <v>27.34375</v>
      </c>
      <c r="G16" s="131">
        <v>135</v>
      </c>
    </row>
    <row r="17" spans="1:7" x14ac:dyDescent="0.25">
      <c r="A17" s="131" t="s">
        <v>49</v>
      </c>
      <c r="B17" s="132">
        <v>59.574468085106382</v>
      </c>
      <c r="C17" s="132">
        <v>71.276595744680847</v>
      </c>
      <c r="D17" s="132">
        <v>48.421052631578945</v>
      </c>
      <c r="E17" s="132">
        <v>12.76595744680851</v>
      </c>
      <c r="F17" s="132">
        <v>8.3333333333333339</v>
      </c>
      <c r="G17" s="131">
        <v>105</v>
      </c>
    </row>
    <row r="18" spans="1:7" x14ac:dyDescent="0.25">
      <c r="A18" s="131" t="s">
        <v>50</v>
      </c>
      <c r="B18" s="132">
        <v>31.521739130434781</v>
      </c>
      <c r="C18" s="132">
        <v>43.646408839779006</v>
      </c>
      <c r="D18" s="132">
        <v>35.714285714285715</v>
      </c>
      <c r="E18" s="132">
        <v>25.555555555555557</v>
      </c>
      <c r="F18" s="132">
        <v>18.232044198895029</v>
      </c>
      <c r="G18" s="131">
        <v>194</v>
      </c>
    </row>
    <row r="19" spans="1:7" x14ac:dyDescent="0.25">
      <c r="A19" s="131" t="s">
        <v>69</v>
      </c>
      <c r="B19" s="132">
        <v>6.5671641791044779</v>
      </c>
      <c r="C19" s="132">
        <v>32.132132132132135</v>
      </c>
      <c r="D19" s="132">
        <v>20.606060606060606</v>
      </c>
      <c r="E19" s="132">
        <v>15.19756838905775</v>
      </c>
      <c r="F19" s="132">
        <v>9.8159509202453989</v>
      </c>
      <c r="G19" s="131">
        <v>350</v>
      </c>
    </row>
    <row r="20" spans="1:7" x14ac:dyDescent="0.25">
      <c r="A20" s="131" t="s">
        <v>6</v>
      </c>
      <c r="B20" s="132">
        <v>4.8128342245989302</v>
      </c>
      <c r="C20" s="132">
        <v>40.37433155080214</v>
      </c>
      <c r="D20" s="132">
        <v>18.579234972677597</v>
      </c>
      <c r="E20" s="132">
        <v>29.427792915531334</v>
      </c>
      <c r="F20" s="132">
        <v>22.343324250681199</v>
      </c>
      <c r="G20" s="131">
        <v>389</v>
      </c>
    </row>
    <row r="21" spans="1:7" x14ac:dyDescent="0.25">
      <c r="A21" s="131" t="s">
        <v>70</v>
      </c>
      <c r="B21" s="132">
        <v>17.467248908296945</v>
      </c>
      <c r="C21" s="132">
        <v>39.565217391304351</v>
      </c>
      <c r="D21" s="132">
        <v>19.196428571428573</v>
      </c>
      <c r="E21" s="132">
        <v>9.3333333333333339</v>
      </c>
      <c r="F21" s="132">
        <v>6.8493150684931505</v>
      </c>
      <c r="G21" s="131">
        <v>239</v>
      </c>
    </row>
    <row r="22" spans="1:7" x14ac:dyDescent="0.25">
      <c r="A22" s="131" t="s">
        <v>7</v>
      </c>
      <c r="B22" s="132">
        <v>55.151515151515149</v>
      </c>
      <c r="C22" s="132">
        <v>50.920245398773005</v>
      </c>
      <c r="D22" s="132">
        <v>38.888888888888886</v>
      </c>
      <c r="E22" s="132">
        <v>32.098765432098766</v>
      </c>
      <c r="F22" s="132">
        <v>18.012422360248447</v>
      </c>
      <c r="G22" s="131">
        <v>168</v>
      </c>
    </row>
    <row r="23" spans="1:7" x14ac:dyDescent="0.25">
      <c r="A23" s="131" t="s">
        <v>22</v>
      </c>
      <c r="B23" s="132">
        <v>35.151515151515149</v>
      </c>
      <c r="C23" s="132">
        <v>39.634146341463413</v>
      </c>
      <c r="D23" s="132">
        <v>32.31707317073171</v>
      </c>
      <c r="E23" s="132">
        <v>8.536585365853659</v>
      </c>
      <c r="F23" s="132">
        <v>7.9754601226993866</v>
      </c>
      <c r="G23" s="131">
        <v>177</v>
      </c>
    </row>
    <row r="24" spans="1:7" x14ac:dyDescent="0.25">
      <c r="A24" s="131" t="s">
        <v>8</v>
      </c>
      <c r="B24" s="132">
        <v>16.377649325626205</v>
      </c>
      <c r="C24" s="132">
        <v>37.28155339805825</v>
      </c>
      <c r="D24" s="132">
        <v>17.087378640776699</v>
      </c>
      <c r="E24" s="132">
        <v>27.131782945736433</v>
      </c>
      <c r="F24" s="132">
        <v>14.481409001956948</v>
      </c>
      <c r="G24" s="131">
        <v>533</v>
      </c>
    </row>
    <row r="25" spans="1:7" x14ac:dyDescent="0.25">
      <c r="A25" s="131" t="s">
        <v>9</v>
      </c>
      <c r="B25" s="132">
        <v>36.111111111111114</v>
      </c>
      <c r="C25" s="132">
        <v>45.634920634920633</v>
      </c>
      <c r="D25" s="132">
        <v>37.200000000000003</v>
      </c>
      <c r="E25" s="132">
        <v>18.03921568627451</v>
      </c>
      <c r="F25" s="132">
        <v>7.8431372549019605</v>
      </c>
      <c r="G25" s="131">
        <v>262</v>
      </c>
    </row>
    <row r="26" spans="1:7" x14ac:dyDescent="0.25">
      <c r="A26" s="131" t="s">
        <v>54</v>
      </c>
      <c r="B26" s="132">
        <v>35.849056603773583</v>
      </c>
      <c r="C26" s="132">
        <v>34.591194968553459</v>
      </c>
      <c r="D26" s="132">
        <v>19.620253164556964</v>
      </c>
      <c r="E26" s="132">
        <v>27.215189873417721</v>
      </c>
      <c r="F26" s="132">
        <v>22.929936305732483</v>
      </c>
      <c r="G26" s="131">
        <v>168</v>
      </c>
    </row>
    <row r="27" spans="1:7" x14ac:dyDescent="0.25">
      <c r="A27" s="131" t="s">
        <v>71</v>
      </c>
      <c r="B27" s="132">
        <v>12.01923076923077</v>
      </c>
      <c r="C27" s="132">
        <v>43.414634146341463</v>
      </c>
      <c r="D27" s="132">
        <v>23.891625615763548</v>
      </c>
      <c r="E27" s="132">
        <v>21.03960396039604</v>
      </c>
      <c r="F27" s="132">
        <v>6.9306930693069306</v>
      </c>
      <c r="G27" s="131">
        <v>437</v>
      </c>
    </row>
    <row r="28" spans="1:7" x14ac:dyDescent="0.25">
      <c r="A28" s="131" t="s">
        <v>10</v>
      </c>
      <c r="B28" s="132">
        <v>39.150943396226417</v>
      </c>
      <c r="C28" s="132">
        <v>56.132075471698116</v>
      </c>
      <c r="D28" s="132">
        <v>25.714285714285715</v>
      </c>
      <c r="E28" s="132">
        <v>35.545023696682463</v>
      </c>
      <c r="F28" s="132">
        <v>37.61904761904762</v>
      </c>
      <c r="G28" s="131">
        <v>219</v>
      </c>
    </row>
    <row r="29" spans="1:7" x14ac:dyDescent="0.25">
      <c r="A29" s="131" t="s">
        <v>56</v>
      </c>
      <c r="B29" s="132">
        <v>29.885057471264368</v>
      </c>
      <c r="C29" s="132">
        <v>38.728323699421964</v>
      </c>
      <c r="D29" s="132">
        <v>26.285714285714285</v>
      </c>
      <c r="E29" s="132">
        <v>17.714285714285715</v>
      </c>
      <c r="F29" s="132">
        <v>13.714285714285714</v>
      </c>
      <c r="G29" s="131">
        <v>179</v>
      </c>
    </row>
    <row r="30" spans="1:7" x14ac:dyDescent="0.25">
      <c r="A30" s="131" t="s">
        <v>11</v>
      </c>
      <c r="B30" s="132">
        <v>17.384370015948964</v>
      </c>
      <c r="C30" s="132">
        <v>44.372990353697752</v>
      </c>
      <c r="D30" s="132">
        <v>17.684887459807072</v>
      </c>
      <c r="E30" s="132">
        <v>23.642172523961662</v>
      </c>
      <c r="F30" s="132">
        <v>7.717041800643087</v>
      </c>
      <c r="G30" s="131">
        <v>639</v>
      </c>
    </row>
    <row r="31" spans="1:7" x14ac:dyDescent="0.25">
      <c r="A31" s="131" t="s">
        <v>58</v>
      </c>
      <c r="B31" s="132">
        <v>31.818181818181817</v>
      </c>
      <c r="C31" s="132">
        <v>36.036036036036037</v>
      </c>
      <c r="D31" s="132">
        <v>20.535714285714285</v>
      </c>
      <c r="E31" s="132">
        <v>27.678571428571427</v>
      </c>
      <c r="F31" s="132">
        <v>29.464285714285715</v>
      </c>
      <c r="G31" s="131">
        <v>114</v>
      </c>
    </row>
    <row r="32" spans="1:7" x14ac:dyDescent="0.25">
      <c r="A32" s="131" t="s">
        <v>59</v>
      </c>
      <c r="B32" s="132">
        <v>20.289855072463769</v>
      </c>
      <c r="C32" s="132">
        <v>39.705882352941174</v>
      </c>
      <c r="D32" s="132">
        <v>29.411764705882351</v>
      </c>
      <c r="E32" s="132">
        <v>24.626865671641792</v>
      </c>
      <c r="F32" s="132">
        <v>20.149253731343283</v>
      </c>
      <c r="G32" s="131">
        <v>143</v>
      </c>
    </row>
    <row r="33" spans="1:7" x14ac:dyDescent="0.25">
      <c r="A33" s="131" t="s">
        <v>60</v>
      </c>
      <c r="B33" s="132">
        <v>55.970149253731343</v>
      </c>
      <c r="C33" s="132">
        <v>47.794117647058826</v>
      </c>
      <c r="D33" s="132">
        <v>44.852941176470587</v>
      </c>
      <c r="E33" s="132">
        <v>8.7591240875912408</v>
      </c>
      <c r="F33" s="132">
        <v>8.0882352941176467</v>
      </c>
      <c r="G33" s="131">
        <v>144</v>
      </c>
    </row>
    <row r="34" spans="1:7" x14ac:dyDescent="0.25">
      <c r="A34" s="131" t="s">
        <v>12</v>
      </c>
      <c r="B34" s="132">
        <v>34.848484848484851</v>
      </c>
      <c r="C34" s="132">
        <v>40.769230769230766</v>
      </c>
      <c r="D34" s="132">
        <v>30</v>
      </c>
      <c r="E34" s="132">
        <v>11.627906976744185</v>
      </c>
      <c r="F34" s="132">
        <v>6.1538461538461542</v>
      </c>
      <c r="G34" s="131">
        <v>135</v>
      </c>
    </row>
    <row r="35" spans="1:7" x14ac:dyDescent="0.25">
      <c r="A35" s="131" t="s">
        <v>61</v>
      </c>
      <c r="B35" s="132">
        <v>41.49377593360996</v>
      </c>
      <c r="C35" s="132">
        <v>43.983402489626556</v>
      </c>
      <c r="D35" s="132">
        <v>40.585774058577407</v>
      </c>
      <c r="E35" s="132">
        <v>14.225941422594142</v>
      </c>
      <c r="F35" s="132">
        <v>9.5435684647302903</v>
      </c>
      <c r="G35" s="131">
        <v>248</v>
      </c>
    </row>
    <row r="36" spans="1:7" x14ac:dyDescent="0.25">
      <c r="A36" s="131" t="s">
        <v>62</v>
      </c>
      <c r="B36" s="132">
        <v>39.252336448598129</v>
      </c>
      <c r="C36" s="132">
        <v>46.728971962616825</v>
      </c>
      <c r="D36" s="132">
        <v>40.566037735849058</v>
      </c>
      <c r="E36" s="132">
        <v>18.867924528301888</v>
      </c>
      <c r="F36" s="132">
        <v>18.691588785046729</v>
      </c>
      <c r="G36" s="131">
        <v>115</v>
      </c>
    </row>
    <row r="37" spans="1:7" x14ac:dyDescent="0.25">
      <c r="A37" s="131" t="s">
        <v>23</v>
      </c>
      <c r="B37" s="132">
        <v>9.2537313432835813</v>
      </c>
      <c r="C37" s="132">
        <v>31.831831831831831</v>
      </c>
      <c r="D37" s="132">
        <v>20.783132530120483</v>
      </c>
      <c r="E37" s="132">
        <v>15.963855421686747</v>
      </c>
      <c r="F37" s="132">
        <v>13.636363636363637</v>
      </c>
      <c r="G37" s="131">
        <v>348</v>
      </c>
    </row>
    <row r="38" spans="1:7" x14ac:dyDescent="0.25">
      <c r="A38" s="131" t="s">
        <v>13</v>
      </c>
      <c r="B38" s="132">
        <v>10.317460317460318</v>
      </c>
      <c r="C38" s="132">
        <v>44.11177644710579</v>
      </c>
      <c r="D38" s="132">
        <v>18.825910931174089</v>
      </c>
      <c r="E38" s="132">
        <v>15.8</v>
      </c>
      <c r="F38" s="132">
        <v>5.2631578947368425</v>
      </c>
      <c r="G38" s="131">
        <v>525</v>
      </c>
    </row>
    <row r="39" spans="1:7" x14ac:dyDescent="0.25">
      <c r="A39" s="131" t="s">
        <v>14</v>
      </c>
      <c r="B39" s="132">
        <v>49.668874172185433</v>
      </c>
      <c r="C39" s="132">
        <v>52.287581699346404</v>
      </c>
      <c r="D39" s="132">
        <v>41.44736842105263</v>
      </c>
      <c r="E39" s="132">
        <v>17.105263157894736</v>
      </c>
      <c r="F39" s="132">
        <v>14.379084967320262</v>
      </c>
      <c r="G39" s="131">
        <v>158</v>
      </c>
    </row>
    <row r="40" spans="1:7" x14ac:dyDescent="0.25">
      <c r="A40" s="131" t="s">
        <v>64</v>
      </c>
      <c r="B40" s="132">
        <v>36.585365853658537</v>
      </c>
      <c r="C40" s="132">
        <v>46.060606060606062</v>
      </c>
      <c r="D40" s="132">
        <v>30.061349693251532</v>
      </c>
      <c r="E40" s="132">
        <v>23.780487804878049</v>
      </c>
      <c r="F40" s="132">
        <v>22.085889570552148</v>
      </c>
      <c r="G40" s="131">
        <v>167</v>
      </c>
    </row>
    <row r="41" spans="1:7" x14ac:dyDescent="0.25">
      <c r="A41" s="131" t="s">
        <v>65</v>
      </c>
      <c r="B41" s="132">
        <v>25.975975975975977</v>
      </c>
      <c r="C41" s="132">
        <v>42.342342342342342</v>
      </c>
      <c r="D41" s="132">
        <v>22.255639097744361</v>
      </c>
      <c r="E41" s="132">
        <v>24.887556221889056</v>
      </c>
      <c r="F41" s="132">
        <v>9.6822995461422092</v>
      </c>
      <c r="G41" s="131">
        <v>692</v>
      </c>
    </row>
    <row r="42" spans="1:7" x14ac:dyDescent="0.25">
      <c r="A42" s="131" t="s">
        <v>66</v>
      </c>
      <c r="B42" s="132">
        <v>23.834196891191709</v>
      </c>
      <c r="C42" s="132">
        <v>46.907216494845358</v>
      </c>
      <c r="D42" s="132">
        <v>30.569948186528496</v>
      </c>
      <c r="E42" s="132">
        <v>26.94300518134715</v>
      </c>
      <c r="F42" s="132">
        <v>21.761658031088082</v>
      </c>
      <c r="G42" s="131">
        <v>202</v>
      </c>
    </row>
    <row r="43" spans="1:7" x14ac:dyDescent="0.25">
      <c r="A43" s="131" t="s">
        <v>15</v>
      </c>
      <c r="B43" s="132">
        <v>14.662273476112027</v>
      </c>
      <c r="C43" s="132">
        <v>46.699669966996701</v>
      </c>
      <c r="D43" s="132">
        <v>19.900497512437809</v>
      </c>
      <c r="E43" s="132">
        <v>26.490066225165563</v>
      </c>
      <c r="F43" s="132">
        <v>18.451400329489292</v>
      </c>
      <c r="G43" s="131">
        <v>627</v>
      </c>
    </row>
    <row r="44" spans="1:7" x14ac:dyDescent="0.25">
      <c r="A44" s="131" t="s">
        <v>16</v>
      </c>
      <c r="B44" s="132">
        <v>24.73404255319149</v>
      </c>
      <c r="C44" s="132">
        <v>49.326145552560646</v>
      </c>
      <c r="D44" s="132">
        <v>20.54054054054054</v>
      </c>
      <c r="E44" s="132">
        <v>62.4</v>
      </c>
      <c r="F44" s="132">
        <v>60.053619302949059</v>
      </c>
      <c r="G44" s="131">
        <v>387</v>
      </c>
    </row>
    <row r="45" spans="1:7" x14ac:dyDescent="0.25">
      <c r="A45" s="131" t="s">
        <v>17</v>
      </c>
      <c r="B45" s="132">
        <v>28.421052631578949</v>
      </c>
      <c r="C45" s="132">
        <v>39.361702127659576</v>
      </c>
      <c r="D45" s="132">
        <v>48.936170212765958</v>
      </c>
      <c r="E45" s="132">
        <v>5.4347826086956523</v>
      </c>
      <c r="F45" s="132">
        <v>6.4516129032258061</v>
      </c>
      <c r="G45" s="131">
        <v>99</v>
      </c>
    </row>
    <row r="46" spans="1:7" x14ac:dyDescent="0.25">
      <c r="A46" s="131" t="s">
        <v>24</v>
      </c>
      <c r="B46" s="132">
        <v>37.640449438202246</v>
      </c>
      <c r="C46" s="132">
        <v>59.659090909090907</v>
      </c>
      <c r="D46" s="132">
        <v>25.142857142857142</v>
      </c>
      <c r="E46" s="132">
        <v>25</v>
      </c>
      <c r="F46" s="132">
        <v>23.59550561797753</v>
      </c>
      <c r="G46" s="131">
        <v>185</v>
      </c>
    </row>
    <row r="48" spans="1:7" x14ac:dyDescent="0.25">
      <c r="A48" s="104" t="s">
        <v>467</v>
      </c>
    </row>
    <row r="50" spans="1:7" ht="14" x14ac:dyDescent="0.3">
      <c r="A50" s="133" t="s">
        <v>158</v>
      </c>
      <c r="B50" s="129" t="s">
        <v>506</v>
      </c>
      <c r="C50" s="129" t="s">
        <v>507</v>
      </c>
      <c r="D50" s="129" t="s">
        <v>508</v>
      </c>
      <c r="E50" s="129" t="s">
        <v>509</v>
      </c>
      <c r="F50" s="129" t="s">
        <v>510</v>
      </c>
      <c r="G50" s="130" t="s">
        <v>421</v>
      </c>
    </row>
    <row r="51" spans="1:7" x14ac:dyDescent="0.25">
      <c r="A51" s="113" t="s">
        <v>74</v>
      </c>
      <c r="B51" s="132">
        <v>48.037676609105183</v>
      </c>
      <c r="C51" s="132">
        <v>48.125</v>
      </c>
      <c r="D51" s="132">
        <v>43.213728549141969</v>
      </c>
      <c r="E51" s="132">
        <v>14.420062695924765</v>
      </c>
      <c r="F51" s="132">
        <v>13.728549141965679</v>
      </c>
      <c r="G51" s="131">
        <v>676</v>
      </c>
    </row>
    <row r="52" spans="1:7" x14ac:dyDescent="0.25">
      <c r="A52" s="110" t="s">
        <v>75</v>
      </c>
      <c r="B52" s="132">
        <v>34.285714285714285</v>
      </c>
      <c r="C52" s="132">
        <v>47.976391231028671</v>
      </c>
      <c r="D52" s="132">
        <v>33.38968723584108</v>
      </c>
      <c r="E52" s="132">
        <v>18.765849535080303</v>
      </c>
      <c r="F52" s="132">
        <v>13.947590870667794</v>
      </c>
      <c r="G52" s="131">
        <v>1238</v>
      </c>
    </row>
    <row r="53" spans="1:7" x14ac:dyDescent="0.25">
      <c r="A53" s="110" t="s">
        <v>76</v>
      </c>
      <c r="B53" s="132">
        <v>37.743850720949958</v>
      </c>
      <c r="C53" s="132">
        <v>46.37062339880444</v>
      </c>
      <c r="D53" s="132">
        <v>30.993150684931507</v>
      </c>
      <c r="E53" s="132">
        <v>27.592116538131961</v>
      </c>
      <c r="F53" s="132">
        <v>22.10796915167095</v>
      </c>
      <c r="G53" s="131">
        <v>1223</v>
      </c>
    </row>
    <row r="54" spans="1:7" x14ac:dyDescent="0.25">
      <c r="A54" s="110" t="s">
        <v>77</v>
      </c>
      <c r="B54" s="132">
        <v>24.294086307938198</v>
      </c>
      <c r="C54" s="132">
        <v>41.3148049171566</v>
      </c>
      <c r="D54" s="132">
        <v>30.075187969924812</v>
      </c>
      <c r="E54" s="132">
        <v>16.443492233529728</v>
      </c>
      <c r="F54" s="132">
        <v>12.176724137931034</v>
      </c>
      <c r="G54" s="131">
        <v>1950</v>
      </c>
    </row>
    <row r="55" spans="1:7" x14ac:dyDescent="0.25">
      <c r="A55" s="110" t="s">
        <v>78</v>
      </c>
      <c r="B55" s="132">
        <v>13.070238957277335</v>
      </c>
      <c r="C55" s="132">
        <v>41.873177842565596</v>
      </c>
      <c r="D55" s="132">
        <v>19.177075679647317</v>
      </c>
      <c r="E55" s="132">
        <v>28.649835345773877</v>
      </c>
      <c r="F55" s="132">
        <v>18.332108743570902</v>
      </c>
      <c r="G55" s="131">
        <v>2870</v>
      </c>
    </row>
    <row r="56" spans="1:7" x14ac:dyDescent="0.25">
      <c r="A56" s="110" t="s">
        <v>79</v>
      </c>
      <c r="B56" s="132">
        <v>20.959194488606254</v>
      </c>
      <c r="C56" s="132">
        <v>43.413729128014843</v>
      </c>
      <c r="D56" s="132">
        <v>20.154009559214021</v>
      </c>
      <c r="E56" s="132">
        <v>27.128082736674621</v>
      </c>
      <c r="F56" s="132">
        <v>15.860786397449521</v>
      </c>
      <c r="G56" s="131">
        <v>3899</v>
      </c>
    </row>
    <row r="57" spans="1:7" x14ac:dyDescent="0.25">
      <c r="A57" s="131"/>
    </row>
    <row r="58" spans="1:7" ht="14" x14ac:dyDescent="0.3">
      <c r="A58" s="128" t="s">
        <v>159</v>
      </c>
      <c r="B58" s="129" t="s">
        <v>506</v>
      </c>
      <c r="C58" s="129" t="s">
        <v>507</v>
      </c>
      <c r="D58" s="129" t="s">
        <v>508</v>
      </c>
      <c r="E58" s="129" t="s">
        <v>509</v>
      </c>
      <c r="F58" s="129" t="s">
        <v>510</v>
      </c>
      <c r="G58" s="130" t="s">
        <v>421</v>
      </c>
    </row>
    <row r="59" spans="1:7" x14ac:dyDescent="0.25">
      <c r="B59" s="132">
        <v>24.231543918031353</v>
      </c>
      <c r="C59" s="132">
        <v>43.741765480895914</v>
      </c>
      <c r="D59" s="132">
        <v>25.348263092928935</v>
      </c>
      <c r="E59" s="132">
        <v>24.20107403820759</v>
      </c>
      <c r="F59" s="132">
        <v>16.174005117797581</v>
      </c>
      <c r="G59" s="131">
        <v>11856</v>
      </c>
    </row>
    <row r="61" spans="1:7" x14ac:dyDescent="0.25">
      <c r="A61" s="104" t="s">
        <v>467</v>
      </c>
    </row>
    <row r="62" spans="1:7" ht="14" x14ac:dyDescent="0.3">
      <c r="A62" s="129" t="s">
        <v>506</v>
      </c>
      <c r="B62" s="104" t="s">
        <v>511</v>
      </c>
      <c r="C62" s="134">
        <v>24.231543918031353</v>
      </c>
    </row>
    <row r="63" spans="1:7" ht="14" x14ac:dyDescent="0.3">
      <c r="A63" s="129" t="s">
        <v>507</v>
      </c>
      <c r="B63" s="104" t="s">
        <v>512</v>
      </c>
      <c r="C63" s="134">
        <v>43.741765480895914</v>
      </c>
    </row>
    <row r="64" spans="1:7" ht="14" x14ac:dyDescent="0.3">
      <c r="A64" s="129" t="s">
        <v>508</v>
      </c>
      <c r="B64" s="104" t="s">
        <v>513</v>
      </c>
      <c r="C64" s="134">
        <v>25.348263092928935</v>
      </c>
    </row>
    <row r="65" spans="1:3" ht="14" x14ac:dyDescent="0.3">
      <c r="A65" s="129" t="s">
        <v>509</v>
      </c>
      <c r="B65" s="104" t="s">
        <v>514</v>
      </c>
      <c r="C65" s="134">
        <v>24.20107403820759</v>
      </c>
    </row>
    <row r="66" spans="1:3" ht="14" x14ac:dyDescent="0.3">
      <c r="A66" s="129" t="s">
        <v>510</v>
      </c>
      <c r="B66" s="104" t="s">
        <v>515</v>
      </c>
      <c r="C66" s="134">
        <v>16.174005117797581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workbookViewId="0">
      <selection activeCell="A6" sqref="A6"/>
    </sheetView>
  </sheetViews>
  <sheetFormatPr defaultColWidth="8.7109375" defaultRowHeight="13.5" x14ac:dyDescent="0.25"/>
  <cols>
    <col min="1" max="1" width="23.85546875" style="105" customWidth="1"/>
    <col min="2" max="16384" width="8.7109375" style="105"/>
  </cols>
  <sheetData>
    <row r="1" spans="1:19" x14ac:dyDescent="0.25">
      <c r="A1" s="135" t="s">
        <v>516</v>
      </c>
    </row>
    <row r="3" spans="1:19" x14ac:dyDescent="0.25">
      <c r="A3" s="104" t="s">
        <v>517</v>
      </c>
    </row>
    <row r="5" spans="1:19" ht="14" x14ac:dyDescent="0.3">
      <c r="A5" s="126" t="s">
        <v>435</v>
      </c>
    </row>
    <row r="6" spans="1:19" ht="14" x14ac:dyDescent="0.3">
      <c r="A6" s="128" t="s">
        <v>157</v>
      </c>
      <c r="B6" s="129" t="s">
        <v>518</v>
      </c>
      <c r="C6" s="129" t="s">
        <v>519</v>
      </c>
      <c r="D6" s="129" t="s">
        <v>520</v>
      </c>
      <c r="E6" s="129" t="s">
        <v>521</v>
      </c>
      <c r="F6" s="129" t="s">
        <v>522</v>
      </c>
      <c r="G6" s="129" t="s">
        <v>523</v>
      </c>
      <c r="H6" s="129" t="s">
        <v>524</v>
      </c>
      <c r="I6" s="129" t="s">
        <v>525</v>
      </c>
      <c r="J6" s="129" t="s">
        <v>526</v>
      </c>
      <c r="K6" s="129" t="s">
        <v>527</v>
      </c>
      <c r="L6" s="129" t="s">
        <v>528</v>
      </c>
      <c r="M6" s="129" t="s">
        <v>529</v>
      </c>
      <c r="N6" s="129" t="s">
        <v>530</v>
      </c>
      <c r="O6" s="129" t="s">
        <v>531</v>
      </c>
      <c r="P6" s="129" t="s">
        <v>532</v>
      </c>
      <c r="Q6" s="129" t="s">
        <v>533</v>
      </c>
      <c r="R6" s="129" t="s">
        <v>534</v>
      </c>
      <c r="S6" s="130" t="s">
        <v>421</v>
      </c>
    </row>
    <row r="7" spans="1:19" x14ac:dyDescent="0.25">
      <c r="A7" s="131" t="s">
        <v>42</v>
      </c>
      <c r="B7" s="132">
        <v>22.807017543859651</v>
      </c>
      <c r="C7" s="132">
        <v>35.714285714285715</v>
      </c>
      <c r="D7" s="132">
        <v>4.5045045045045047</v>
      </c>
      <c r="E7" s="132">
        <v>6.25</v>
      </c>
      <c r="F7" s="132">
        <v>23.893805309734514</v>
      </c>
      <c r="G7" s="132">
        <v>7.9646017699115044</v>
      </c>
      <c r="H7" s="132">
        <v>23.423423423423422</v>
      </c>
      <c r="I7" s="132">
        <v>26.785714285714285</v>
      </c>
      <c r="J7" s="132">
        <v>31.25</v>
      </c>
      <c r="K7" s="132">
        <v>42.857142857142854</v>
      </c>
      <c r="L7" s="132">
        <v>29.20353982300885</v>
      </c>
      <c r="M7" s="132">
        <v>37.5</v>
      </c>
      <c r="N7" s="132">
        <v>29.20353982300885</v>
      </c>
      <c r="O7" s="132">
        <v>15.178571428571429</v>
      </c>
      <c r="P7" s="132">
        <v>9.0090090090090094</v>
      </c>
      <c r="Q7" s="132">
        <v>41.071428571428569</v>
      </c>
      <c r="R7" s="132">
        <v>2.6315789473684212</v>
      </c>
      <c r="S7" s="131">
        <v>119</v>
      </c>
    </row>
    <row r="8" spans="1:19" x14ac:dyDescent="0.25">
      <c r="A8" s="131" t="s">
        <v>43</v>
      </c>
      <c r="B8" s="132">
        <v>12.678288431061807</v>
      </c>
      <c r="C8" s="132">
        <v>25.914149443561207</v>
      </c>
      <c r="D8" s="132">
        <v>3.215434083601286</v>
      </c>
      <c r="E8" s="132">
        <v>9.5846645367412133</v>
      </c>
      <c r="F8" s="132">
        <v>34.394904458598724</v>
      </c>
      <c r="G8" s="132">
        <v>7.5562700964630229</v>
      </c>
      <c r="H8" s="132">
        <v>16.134185303514379</v>
      </c>
      <c r="I8" s="132">
        <v>23.642172523961662</v>
      </c>
      <c r="J8" s="132">
        <v>41.545893719806763</v>
      </c>
      <c r="K8" s="132">
        <v>46.964856230031948</v>
      </c>
      <c r="L8" s="132">
        <v>32.747603833865817</v>
      </c>
      <c r="M8" s="132">
        <v>38.862559241706158</v>
      </c>
      <c r="N8" s="132">
        <v>11.736334405144694</v>
      </c>
      <c r="O8" s="132">
        <v>13.570274636510501</v>
      </c>
      <c r="P8" s="132">
        <v>4.1867954911433172</v>
      </c>
      <c r="Q8" s="132">
        <v>30.830670926517573</v>
      </c>
      <c r="R8" s="132">
        <v>6.0301507537688446</v>
      </c>
      <c r="S8" s="131">
        <v>667</v>
      </c>
    </row>
    <row r="9" spans="1:19" x14ac:dyDescent="0.25">
      <c r="A9" s="131" t="s">
        <v>44</v>
      </c>
      <c r="B9" s="132">
        <v>20.754716981132077</v>
      </c>
      <c r="C9" s="132">
        <v>31.446540880503143</v>
      </c>
      <c r="D9" s="132">
        <v>2.6143790849673203</v>
      </c>
      <c r="E9" s="132">
        <v>8.387096774193548</v>
      </c>
      <c r="F9" s="132">
        <v>11.842105263157896</v>
      </c>
      <c r="G9" s="132">
        <v>8.4415584415584419</v>
      </c>
      <c r="H9" s="132">
        <v>22.077922077922079</v>
      </c>
      <c r="I9" s="132">
        <v>21.568627450980394</v>
      </c>
      <c r="J9" s="132">
        <v>35.897435897435898</v>
      </c>
      <c r="K9" s="132">
        <v>40</v>
      </c>
      <c r="L9" s="132">
        <v>30.322580645161292</v>
      </c>
      <c r="M9" s="132">
        <v>34.615384615384613</v>
      </c>
      <c r="N9" s="132">
        <v>12.337662337662337</v>
      </c>
      <c r="O9" s="132">
        <v>13.636363636363637</v>
      </c>
      <c r="P9" s="132">
        <v>5.806451612903226</v>
      </c>
      <c r="Q9" s="132">
        <v>33.333333333333336</v>
      </c>
      <c r="R9" s="132">
        <v>3.278688524590164</v>
      </c>
      <c r="S9" s="131">
        <v>165</v>
      </c>
    </row>
    <row r="10" spans="1:19" x14ac:dyDescent="0.25">
      <c r="A10" s="131" t="s">
        <v>68</v>
      </c>
      <c r="B10" s="132">
        <v>9.5890410958904102</v>
      </c>
      <c r="C10" s="132">
        <v>19.415807560137456</v>
      </c>
      <c r="D10" s="132">
        <v>2.0725388601036268</v>
      </c>
      <c r="E10" s="132">
        <v>7.291666666666667</v>
      </c>
      <c r="F10" s="132">
        <v>35.897435897435898</v>
      </c>
      <c r="G10" s="132">
        <v>6.9324090121317159</v>
      </c>
      <c r="H10" s="132">
        <v>15.397923875432525</v>
      </c>
      <c r="I10" s="132">
        <v>18.956521739130434</v>
      </c>
      <c r="J10" s="132">
        <v>32.358003442340795</v>
      </c>
      <c r="K10" s="132">
        <v>46.99828473413379</v>
      </c>
      <c r="L10" s="132">
        <v>28.769497400346619</v>
      </c>
      <c r="M10" s="132">
        <v>31.732418524871356</v>
      </c>
      <c r="N10" s="132">
        <v>12.847222222222221</v>
      </c>
      <c r="O10" s="132">
        <v>12.326388888888889</v>
      </c>
      <c r="P10" s="132">
        <v>3.3043478260869565</v>
      </c>
      <c r="Q10" s="132">
        <v>28.694158075601376</v>
      </c>
      <c r="R10" s="132">
        <v>3.4934497816593888</v>
      </c>
      <c r="S10" s="131">
        <v>624</v>
      </c>
    </row>
    <row r="11" spans="1:19" x14ac:dyDescent="0.25">
      <c r="A11" s="131" t="s">
        <v>2</v>
      </c>
      <c r="B11" s="132">
        <v>26.881720430107528</v>
      </c>
      <c r="C11" s="132">
        <v>38.46153846153846</v>
      </c>
      <c r="D11" s="132">
        <v>2.2222222222222223</v>
      </c>
      <c r="E11" s="132">
        <v>6.5217391304347823</v>
      </c>
      <c r="F11" s="132">
        <v>23.076923076923077</v>
      </c>
      <c r="G11" s="132">
        <v>10.989010989010989</v>
      </c>
      <c r="H11" s="132">
        <v>27.173913043478262</v>
      </c>
      <c r="I11" s="132">
        <v>29.787234042553191</v>
      </c>
      <c r="J11" s="132">
        <v>22.826086956521738</v>
      </c>
      <c r="K11" s="132">
        <v>37.634408602150536</v>
      </c>
      <c r="L11" s="132">
        <v>25.806451612903224</v>
      </c>
      <c r="M11" s="132">
        <v>40.425531914893618</v>
      </c>
      <c r="N11" s="132">
        <v>16.129032258064516</v>
      </c>
      <c r="O11" s="132">
        <v>9.8901098901098905</v>
      </c>
      <c r="P11" s="132">
        <v>6.5934065934065931</v>
      </c>
      <c r="Q11" s="132">
        <v>49.462365591397848</v>
      </c>
      <c r="R11" s="132">
        <v>7.1428571428571432</v>
      </c>
      <c r="S11" s="131">
        <v>99</v>
      </c>
    </row>
    <row r="12" spans="1:19" x14ac:dyDescent="0.25">
      <c r="A12" s="131" t="s">
        <v>3</v>
      </c>
      <c r="B12" s="132">
        <v>22.535211267605632</v>
      </c>
      <c r="C12" s="132">
        <v>30.035335689045937</v>
      </c>
      <c r="D12" s="132">
        <v>3.5587188612099645</v>
      </c>
      <c r="E12" s="132">
        <v>9.8939929328621901</v>
      </c>
      <c r="F12" s="132">
        <v>31.338028169014084</v>
      </c>
      <c r="G12" s="132">
        <v>7.8571428571428568</v>
      </c>
      <c r="H12" s="132">
        <v>20.43010752688172</v>
      </c>
      <c r="I12" s="132">
        <v>31.071428571428573</v>
      </c>
      <c r="J12" s="132">
        <v>35.587188612099645</v>
      </c>
      <c r="K12" s="132">
        <v>44.718309859154928</v>
      </c>
      <c r="L12" s="132">
        <v>27.304964539007091</v>
      </c>
      <c r="M12" s="132">
        <v>38.380281690140848</v>
      </c>
      <c r="N12" s="132">
        <v>15.053763440860216</v>
      </c>
      <c r="O12" s="132">
        <v>12.056737588652481</v>
      </c>
      <c r="P12" s="132">
        <v>3.5714285714285716</v>
      </c>
      <c r="Q12" s="132">
        <v>38.028169014084504</v>
      </c>
      <c r="R12" s="132">
        <v>5.825242718446602</v>
      </c>
      <c r="S12" s="131">
        <v>301</v>
      </c>
    </row>
    <row r="13" spans="1:19" x14ac:dyDescent="0.25">
      <c r="A13" s="131" t="s">
        <v>4</v>
      </c>
      <c r="B13" s="132">
        <v>14.233576642335766</v>
      </c>
      <c r="C13" s="132">
        <v>25.274725274725274</v>
      </c>
      <c r="D13" s="132">
        <v>2.3809523809523809</v>
      </c>
      <c r="E13" s="132">
        <v>7.1297989031078615</v>
      </c>
      <c r="F13" s="132">
        <v>24.452554744525546</v>
      </c>
      <c r="G13" s="132">
        <v>14</v>
      </c>
      <c r="H13" s="132">
        <v>13.36996336996337</v>
      </c>
      <c r="I13" s="132">
        <v>23.09090909090909</v>
      </c>
      <c r="J13" s="132">
        <v>34.124087591240873</v>
      </c>
      <c r="K13" s="132">
        <v>51.175406871609404</v>
      </c>
      <c r="L13" s="132">
        <v>28.727272727272727</v>
      </c>
      <c r="M13" s="132">
        <v>28.832116788321169</v>
      </c>
      <c r="N13" s="132">
        <v>13.051470588235293</v>
      </c>
      <c r="O13" s="132">
        <v>13.443830570902394</v>
      </c>
      <c r="P13" s="132">
        <v>5.882352941176471</v>
      </c>
      <c r="Q13" s="132">
        <v>37.5</v>
      </c>
      <c r="R13" s="132">
        <v>5.2132701421800949</v>
      </c>
      <c r="S13" s="131">
        <v>600</v>
      </c>
    </row>
    <row r="14" spans="1:19" x14ac:dyDescent="0.25">
      <c r="A14" s="131" t="s">
        <v>46</v>
      </c>
      <c r="B14" s="132">
        <v>27.338129496402878</v>
      </c>
      <c r="C14" s="132">
        <v>39.855072463768117</v>
      </c>
      <c r="D14" s="132">
        <v>5.1851851851851851</v>
      </c>
      <c r="E14" s="132">
        <v>10.447761194029852</v>
      </c>
      <c r="F14" s="132">
        <v>22.627737226277372</v>
      </c>
      <c r="G14" s="132">
        <v>8.8888888888888893</v>
      </c>
      <c r="H14" s="132">
        <v>26.277372262773724</v>
      </c>
      <c r="I14" s="132">
        <v>34.558823529411768</v>
      </c>
      <c r="J14" s="132">
        <v>32.089552238805972</v>
      </c>
      <c r="K14" s="132">
        <v>48.550724637681157</v>
      </c>
      <c r="L14" s="132">
        <v>31.578947368421051</v>
      </c>
      <c r="M14" s="132">
        <v>52.205882352941174</v>
      </c>
      <c r="N14" s="132">
        <v>19.852941176470587</v>
      </c>
      <c r="O14" s="132">
        <v>18.518518518518519</v>
      </c>
      <c r="P14" s="132">
        <v>5.1851851851851851</v>
      </c>
      <c r="Q14" s="132">
        <v>47.445255474452551</v>
      </c>
      <c r="R14" s="132">
        <v>4.6511627906976747</v>
      </c>
      <c r="S14" s="131">
        <v>148</v>
      </c>
    </row>
    <row r="15" spans="1:19" x14ac:dyDescent="0.25">
      <c r="A15" s="131" t="s">
        <v>5</v>
      </c>
      <c r="B15" s="132">
        <v>13.464696223316913</v>
      </c>
      <c r="C15" s="132">
        <v>25.611745513866232</v>
      </c>
      <c r="D15" s="132">
        <v>1.9867549668874172</v>
      </c>
      <c r="E15" s="132">
        <v>6.6334991708126037</v>
      </c>
      <c r="F15" s="132">
        <v>35.73770491803279</v>
      </c>
      <c r="G15" s="132">
        <v>9.2105263157894743</v>
      </c>
      <c r="H15" s="132">
        <v>14.759535655058043</v>
      </c>
      <c r="I15" s="132">
        <v>21.85430463576159</v>
      </c>
      <c r="J15" s="132">
        <v>34.653465346534652</v>
      </c>
      <c r="K15" s="132">
        <v>44.951140065146582</v>
      </c>
      <c r="L15" s="132">
        <v>31.639344262295083</v>
      </c>
      <c r="M15" s="132">
        <v>33.16912972085386</v>
      </c>
      <c r="N15" s="132">
        <v>14.096185737976782</v>
      </c>
      <c r="O15" s="132">
        <v>14.545454545454545</v>
      </c>
      <c r="P15" s="132">
        <v>4.3117744610281923</v>
      </c>
      <c r="Q15" s="132">
        <v>37.41721854304636</v>
      </c>
      <c r="R15" s="132">
        <v>8.0568720379146921</v>
      </c>
      <c r="S15" s="131">
        <v>650</v>
      </c>
    </row>
    <row r="16" spans="1:19" x14ac:dyDescent="0.25">
      <c r="A16" s="131" t="s">
        <v>48</v>
      </c>
      <c r="B16" s="132">
        <v>29.23076923076923</v>
      </c>
      <c r="C16" s="132">
        <v>37.704918032786885</v>
      </c>
      <c r="D16" s="132">
        <v>4.1322314049586772</v>
      </c>
      <c r="E16" s="132">
        <v>5</v>
      </c>
      <c r="F16" s="132">
        <v>13.821138211382113</v>
      </c>
      <c r="G16" s="132">
        <v>12.903225806451612</v>
      </c>
      <c r="H16" s="132">
        <v>23.770491803278688</v>
      </c>
      <c r="I16" s="132">
        <v>34.959349593495936</v>
      </c>
      <c r="J16" s="132">
        <v>31.932773109243698</v>
      </c>
      <c r="K16" s="132">
        <v>43.442622950819676</v>
      </c>
      <c r="L16" s="132">
        <v>19.672131147540984</v>
      </c>
      <c r="M16" s="132">
        <v>37.398373983739837</v>
      </c>
      <c r="N16" s="132">
        <v>20.325203252032519</v>
      </c>
      <c r="O16" s="132">
        <v>13.445378151260504</v>
      </c>
      <c r="P16" s="132">
        <v>6.666666666666667</v>
      </c>
      <c r="Q16" s="132">
        <v>54.838709677419352</v>
      </c>
      <c r="R16" s="132">
        <v>2.9411764705882355</v>
      </c>
      <c r="S16" s="131">
        <v>135</v>
      </c>
    </row>
    <row r="17" spans="1:19" x14ac:dyDescent="0.25">
      <c r="A17" s="131" t="s">
        <v>49</v>
      </c>
      <c r="B17" s="132">
        <v>34.883720930232556</v>
      </c>
      <c r="C17" s="132">
        <v>51.807228915662648</v>
      </c>
      <c r="D17" s="132">
        <v>3.5714285714285716</v>
      </c>
      <c r="E17" s="132">
        <v>3.6144578313253013</v>
      </c>
      <c r="F17" s="132">
        <v>3.6144578313253013</v>
      </c>
      <c r="G17" s="132">
        <v>3.6585365853658538</v>
      </c>
      <c r="H17" s="132">
        <v>33.333333333333336</v>
      </c>
      <c r="I17" s="132">
        <v>41.860465116279073</v>
      </c>
      <c r="J17" s="132">
        <v>40.229885057471265</v>
      </c>
      <c r="K17" s="132">
        <v>46.511627906976742</v>
      </c>
      <c r="L17" s="132">
        <v>28.571428571428573</v>
      </c>
      <c r="M17" s="132">
        <v>45.348837209302324</v>
      </c>
      <c r="N17" s="132">
        <v>23.529411764705884</v>
      </c>
      <c r="O17" s="132">
        <v>15.662650602409638</v>
      </c>
      <c r="P17" s="132">
        <v>10.714285714285714</v>
      </c>
      <c r="Q17" s="132">
        <v>54.022988505747129</v>
      </c>
      <c r="R17" s="132">
        <v>0</v>
      </c>
      <c r="S17" s="131">
        <v>105</v>
      </c>
    </row>
    <row r="18" spans="1:19" x14ac:dyDescent="0.25">
      <c r="A18" s="131" t="s">
        <v>50</v>
      </c>
      <c r="B18" s="132">
        <v>28</v>
      </c>
      <c r="C18" s="132">
        <v>41.618497109826592</v>
      </c>
      <c r="D18" s="132">
        <v>2.3809523809523809</v>
      </c>
      <c r="E18" s="132">
        <v>4.1420118343195265</v>
      </c>
      <c r="F18" s="132">
        <v>23.952095808383234</v>
      </c>
      <c r="G18" s="132">
        <v>15.384615384615385</v>
      </c>
      <c r="H18" s="132">
        <v>26.785714285714285</v>
      </c>
      <c r="I18" s="132">
        <v>30</v>
      </c>
      <c r="J18" s="132">
        <v>27.058823529411764</v>
      </c>
      <c r="K18" s="132">
        <v>37.209302325581397</v>
      </c>
      <c r="L18" s="132">
        <v>27.218934911242602</v>
      </c>
      <c r="M18" s="132">
        <v>41.764705882352942</v>
      </c>
      <c r="N18" s="132">
        <v>14.201183431952662</v>
      </c>
      <c r="O18" s="132">
        <v>8.9820359281437128</v>
      </c>
      <c r="P18" s="132">
        <v>9.4117647058823533</v>
      </c>
      <c r="Q18" s="132">
        <v>47.674418604651166</v>
      </c>
      <c r="R18" s="132">
        <v>8.9285714285714288</v>
      </c>
      <c r="S18" s="131">
        <v>194</v>
      </c>
    </row>
    <row r="19" spans="1:19" x14ac:dyDescent="0.25">
      <c r="A19" s="131" t="s">
        <v>69</v>
      </c>
      <c r="B19" s="132">
        <v>21.913580246913579</v>
      </c>
      <c r="C19" s="132">
        <v>30.03095975232198</v>
      </c>
      <c r="D19" s="132">
        <v>1.910828025477707</v>
      </c>
      <c r="E19" s="132">
        <v>9.2356687898089174</v>
      </c>
      <c r="F19" s="132">
        <v>34.472049689440993</v>
      </c>
      <c r="G19" s="132">
        <v>8.125</v>
      </c>
      <c r="H19" s="132">
        <v>19.49685534591195</v>
      </c>
      <c r="I19" s="132">
        <v>23.676012461059191</v>
      </c>
      <c r="J19" s="132">
        <v>40.251572327044023</v>
      </c>
      <c r="K19" s="132">
        <v>38.699690402476783</v>
      </c>
      <c r="L19" s="132">
        <v>22.611464968152866</v>
      </c>
      <c r="M19" s="132">
        <v>32.710280373831779</v>
      </c>
      <c r="N19" s="132">
        <v>23.584905660377359</v>
      </c>
      <c r="O19" s="132">
        <v>16.403785488958992</v>
      </c>
      <c r="P19" s="132">
        <v>8.517350157728707</v>
      </c>
      <c r="Q19" s="132">
        <v>47.852760736196316</v>
      </c>
      <c r="R19" s="132">
        <v>4.395604395604396</v>
      </c>
      <c r="S19" s="131">
        <v>350</v>
      </c>
    </row>
    <row r="20" spans="1:19" x14ac:dyDescent="0.25">
      <c r="A20" s="131" t="s">
        <v>6</v>
      </c>
      <c r="B20" s="132">
        <v>14.3646408839779</v>
      </c>
      <c r="C20" s="132">
        <v>23.229461756373937</v>
      </c>
      <c r="D20" s="132">
        <v>0.85227272727272729</v>
      </c>
      <c r="E20" s="132">
        <v>8.5470085470085468</v>
      </c>
      <c r="F20" s="132">
        <v>33.144475920679888</v>
      </c>
      <c r="G20" s="132">
        <v>8.8319088319088319</v>
      </c>
      <c r="H20" s="132">
        <v>11.079545454545455</v>
      </c>
      <c r="I20" s="132">
        <v>17.897727272727273</v>
      </c>
      <c r="J20" s="132">
        <v>23.563218390804597</v>
      </c>
      <c r="K20" s="132">
        <v>45.530726256983243</v>
      </c>
      <c r="L20" s="132">
        <v>25.142857142857142</v>
      </c>
      <c r="M20" s="132">
        <v>28.125</v>
      </c>
      <c r="N20" s="132">
        <v>13.46704871060172</v>
      </c>
      <c r="O20" s="132">
        <v>10.02865329512894</v>
      </c>
      <c r="P20" s="132">
        <v>3.1791907514450868</v>
      </c>
      <c r="Q20" s="132">
        <v>35.977337110481585</v>
      </c>
      <c r="R20" s="132">
        <v>4.0650406504065044</v>
      </c>
      <c r="S20" s="131">
        <v>389</v>
      </c>
    </row>
    <row r="21" spans="1:19" x14ac:dyDescent="0.25">
      <c r="A21" s="131" t="s">
        <v>70</v>
      </c>
      <c r="B21" s="132">
        <v>23.720930232558139</v>
      </c>
      <c r="C21" s="132">
        <v>32.70142180094787</v>
      </c>
      <c r="D21" s="132">
        <v>1.4354066985645932</v>
      </c>
      <c r="E21" s="132">
        <v>3.755868544600939</v>
      </c>
      <c r="F21" s="132">
        <v>22.065727699530516</v>
      </c>
      <c r="G21" s="132">
        <v>12.616822429906541</v>
      </c>
      <c r="H21" s="132">
        <v>35.981308411214954</v>
      </c>
      <c r="I21" s="132">
        <v>25.238095238095237</v>
      </c>
      <c r="J21" s="132">
        <v>33.953488372093027</v>
      </c>
      <c r="K21" s="132">
        <v>45.370370370370374</v>
      </c>
      <c r="L21" s="132">
        <v>27.230046948356808</v>
      </c>
      <c r="M21" s="132">
        <v>46.009389671361504</v>
      </c>
      <c r="N21" s="132">
        <v>31.77570093457944</v>
      </c>
      <c r="O21" s="132">
        <v>14.691943127962086</v>
      </c>
      <c r="P21" s="132">
        <v>11.320754716981131</v>
      </c>
      <c r="Q21" s="132">
        <v>53.211009174311926</v>
      </c>
      <c r="R21" s="132">
        <v>9.8360655737704921</v>
      </c>
      <c r="S21" s="131">
        <v>239</v>
      </c>
    </row>
    <row r="22" spans="1:19" x14ac:dyDescent="0.25">
      <c r="A22" s="131" t="s">
        <v>7</v>
      </c>
      <c r="B22" s="132">
        <v>25.806451612903224</v>
      </c>
      <c r="C22" s="132">
        <v>40.259740259740262</v>
      </c>
      <c r="D22" s="132">
        <v>0</v>
      </c>
      <c r="E22" s="132">
        <v>4.6052631578947372</v>
      </c>
      <c r="F22" s="132">
        <v>17.880794701986755</v>
      </c>
      <c r="G22" s="132">
        <v>9.2105263157894743</v>
      </c>
      <c r="H22" s="132">
        <v>25.165562913907284</v>
      </c>
      <c r="I22" s="132">
        <v>27.814569536423843</v>
      </c>
      <c r="J22" s="132">
        <v>40.397350993377486</v>
      </c>
      <c r="K22" s="132">
        <v>45.098039215686278</v>
      </c>
      <c r="L22" s="132">
        <v>23.333333333333332</v>
      </c>
      <c r="M22" s="132">
        <v>48</v>
      </c>
      <c r="N22" s="132">
        <v>19.867549668874172</v>
      </c>
      <c r="O22" s="132">
        <v>14</v>
      </c>
      <c r="P22" s="132">
        <v>5.298013245033113</v>
      </c>
      <c r="Q22" s="132">
        <v>46.357615894039732</v>
      </c>
      <c r="R22" s="132">
        <v>5.3571428571428568</v>
      </c>
      <c r="S22" s="131">
        <v>168</v>
      </c>
    </row>
    <row r="23" spans="1:19" x14ac:dyDescent="0.25">
      <c r="A23" s="131" t="s">
        <v>22</v>
      </c>
      <c r="B23" s="132">
        <v>21.472392638036808</v>
      </c>
      <c r="C23" s="132">
        <v>38.364779874213838</v>
      </c>
      <c r="D23" s="132">
        <v>1.2578616352201257</v>
      </c>
      <c r="E23" s="132">
        <v>9.7560975609756095</v>
      </c>
      <c r="F23" s="132">
        <v>36.419753086419753</v>
      </c>
      <c r="G23" s="132">
        <v>4.3209876543209873</v>
      </c>
      <c r="H23" s="132">
        <v>29.878048780487806</v>
      </c>
      <c r="I23" s="132">
        <v>29.012345679012345</v>
      </c>
      <c r="J23" s="132">
        <v>29.012345679012345</v>
      </c>
      <c r="K23" s="132">
        <v>36.875</v>
      </c>
      <c r="L23" s="132">
        <v>23.602484472049689</v>
      </c>
      <c r="M23" s="132">
        <v>44.720496894409941</v>
      </c>
      <c r="N23" s="132">
        <v>33.333333333333336</v>
      </c>
      <c r="O23" s="132">
        <v>15</v>
      </c>
      <c r="P23" s="132">
        <v>4.375</v>
      </c>
      <c r="Q23" s="132">
        <v>50.943396226415096</v>
      </c>
      <c r="R23" s="132">
        <v>6.666666666666667</v>
      </c>
      <c r="S23" s="131">
        <v>177</v>
      </c>
    </row>
    <row r="24" spans="1:19" x14ac:dyDescent="0.25">
      <c r="A24" s="131" t="s">
        <v>8</v>
      </c>
      <c r="B24" s="132">
        <v>14.653465346534654</v>
      </c>
      <c r="C24" s="132">
        <v>22.645290581162325</v>
      </c>
      <c r="D24" s="132">
        <v>2.2312373225152129</v>
      </c>
      <c r="E24" s="132">
        <v>5.2313883299798789</v>
      </c>
      <c r="F24" s="132">
        <v>41.304347826086953</v>
      </c>
      <c r="G24" s="132">
        <v>10.379241516966069</v>
      </c>
      <c r="H24" s="132">
        <v>18.637274549098198</v>
      </c>
      <c r="I24" s="132">
        <v>24.063116370808679</v>
      </c>
      <c r="J24" s="132">
        <v>34.53815261044177</v>
      </c>
      <c r="K24" s="132">
        <v>48.588709677419352</v>
      </c>
      <c r="L24" s="132">
        <v>28.286852589641434</v>
      </c>
      <c r="M24" s="132">
        <v>30.417495029821072</v>
      </c>
      <c r="N24" s="132">
        <v>14.629258517034069</v>
      </c>
      <c r="O24" s="132">
        <v>12.224448897795591</v>
      </c>
      <c r="P24" s="132">
        <v>3.8696537678207741</v>
      </c>
      <c r="Q24" s="132">
        <v>35.685483870967744</v>
      </c>
      <c r="R24" s="132">
        <v>2.9411764705882355</v>
      </c>
      <c r="S24" s="131">
        <v>533</v>
      </c>
    </row>
    <row r="25" spans="1:19" x14ac:dyDescent="0.25">
      <c r="A25" s="131" t="s">
        <v>9</v>
      </c>
      <c r="B25" s="132">
        <v>17.670682730923694</v>
      </c>
      <c r="C25" s="132">
        <v>34.661354581673308</v>
      </c>
      <c r="D25" s="132">
        <v>1.6326530612244898</v>
      </c>
      <c r="E25" s="132">
        <v>6.5040650406504064</v>
      </c>
      <c r="F25" s="132">
        <v>25.714285714285715</v>
      </c>
      <c r="G25" s="132">
        <v>6.8825910931174086</v>
      </c>
      <c r="H25" s="132">
        <v>23.770491803278688</v>
      </c>
      <c r="I25" s="132">
        <v>26.315789473684209</v>
      </c>
      <c r="J25" s="132">
        <v>41.563786008230451</v>
      </c>
      <c r="K25" s="132">
        <v>38.524590163934427</v>
      </c>
      <c r="L25" s="132">
        <v>30.737704918032787</v>
      </c>
      <c r="M25" s="132">
        <v>36.178861788617887</v>
      </c>
      <c r="N25" s="132">
        <v>12.601626016260163</v>
      </c>
      <c r="O25" s="132">
        <v>15.510204081632653</v>
      </c>
      <c r="P25" s="132">
        <v>4.8780487804878048</v>
      </c>
      <c r="Q25" s="132">
        <v>38.211382113821138</v>
      </c>
      <c r="R25" s="132">
        <v>2.9702970297029703</v>
      </c>
      <c r="S25" s="131">
        <v>262</v>
      </c>
    </row>
    <row r="26" spans="1:19" x14ac:dyDescent="0.25">
      <c r="A26" s="131" t="s">
        <v>54</v>
      </c>
      <c r="B26" s="132">
        <v>13.333333333333334</v>
      </c>
      <c r="C26" s="132">
        <v>29.801324503311257</v>
      </c>
      <c r="D26" s="132">
        <v>0</v>
      </c>
      <c r="E26" s="132">
        <v>6.0402684563758386</v>
      </c>
      <c r="F26" s="132">
        <v>20.27027027027027</v>
      </c>
      <c r="G26" s="132">
        <v>4</v>
      </c>
      <c r="H26" s="132">
        <v>16.778523489932887</v>
      </c>
      <c r="I26" s="132">
        <v>22</v>
      </c>
      <c r="J26" s="132">
        <v>34.899328859060404</v>
      </c>
      <c r="K26" s="132">
        <v>33.333333333333336</v>
      </c>
      <c r="L26" s="132">
        <v>21.333333333333332</v>
      </c>
      <c r="M26" s="132">
        <v>33.333333333333336</v>
      </c>
      <c r="N26" s="132">
        <v>11.409395973154362</v>
      </c>
      <c r="O26" s="132">
        <v>10.738255033557047</v>
      </c>
      <c r="P26" s="132">
        <v>8.2191780821917817</v>
      </c>
      <c r="Q26" s="132">
        <v>33.783783783783782</v>
      </c>
      <c r="R26" s="132">
        <v>4.918032786885246</v>
      </c>
      <c r="S26" s="131">
        <v>168</v>
      </c>
    </row>
    <row r="27" spans="1:19" x14ac:dyDescent="0.25">
      <c r="A27" s="131" t="s">
        <v>71</v>
      </c>
      <c r="B27" s="132">
        <v>19.35483870967742</v>
      </c>
      <c r="C27" s="132">
        <v>27.25</v>
      </c>
      <c r="D27" s="132">
        <v>1.5151515151515151</v>
      </c>
      <c r="E27" s="132">
        <v>6.3131313131313131</v>
      </c>
      <c r="F27" s="132">
        <v>34.430379746835442</v>
      </c>
      <c r="G27" s="132">
        <v>12.121212121212121</v>
      </c>
      <c r="H27" s="132">
        <v>21.518987341772153</v>
      </c>
      <c r="I27" s="132">
        <v>25.062656641604011</v>
      </c>
      <c r="J27" s="132">
        <v>31.53846153846154</v>
      </c>
      <c r="K27" s="132">
        <v>40.101522842639596</v>
      </c>
      <c r="L27" s="132">
        <v>24.810126582278482</v>
      </c>
      <c r="M27" s="132">
        <v>35.5</v>
      </c>
      <c r="N27" s="132">
        <v>16.666666666666668</v>
      </c>
      <c r="O27" s="132">
        <v>10.406091370558375</v>
      </c>
      <c r="P27" s="132">
        <v>5.6122448979591839</v>
      </c>
      <c r="Q27" s="132">
        <v>43.718592964824118</v>
      </c>
      <c r="R27" s="132">
        <v>4.838709677419355</v>
      </c>
      <c r="S27" s="131">
        <v>437</v>
      </c>
    </row>
    <row r="28" spans="1:19" x14ac:dyDescent="0.25">
      <c r="A28" s="131" t="s">
        <v>10</v>
      </c>
      <c r="B28" s="132">
        <v>16.908212560386474</v>
      </c>
      <c r="C28" s="132">
        <v>32.692307692307693</v>
      </c>
      <c r="D28" s="132">
        <v>4.4117647058823533</v>
      </c>
      <c r="E28" s="132">
        <v>5.3140096618357484</v>
      </c>
      <c r="F28" s="132">
        <v>60.476190476190474</v>
      </c>
      <c r="G28" s="132">
        <v>3.883495145631068</v>
      </c>
      <c r="H28" s="132">
        <v>18.26923076923077</v>
      </c>
      <c r="I28" s="132">
        <v>25.238095238095237</v>
      </c>
      <c r="J28" s="132">
        <v>37.073170731707314</v>
      </c>
      <c r="K28" s="132">
        <v>48.803827751196174</v>
      </c>
      <c r="L28" s="132">
        <v>28.846153846153847</v>
      </c>
      <c r="M28" s="132">
        <v>44.285714285714285</v>
      </c>
      <c r="N28" s="132">
        <v>28.502415458937197</v>
      </c>
      <c r="O28" s="132">
        <v>12.682926829268293</v>
      </c>
      <c r="P28" s="132">
        <v>3.4146341463414633</v>
      </c>
      <c r="Q28" s="132">
        <v>51.207729468599034</v>
      </c>
      <c r="R28" s="132">
        <v>6.25</v>
      </c>
      <c r="S28" s="131">
        <v>219</v>
      </c>
    </row>
    <row r="29" spans="1:19" x14ac:dyDescent="0.25">
      <c r="A29" s="131" t="s">
        <v>56</v>
      </c>
      <c r="B29" s="132">
        <v>26.506024096385541</v>
      </c>
      <c r="C29" s="132">
        <v>32.926829268292686</v>
      </c>
      <c r="D29" s="132">
        <v>2.4844720496894408</v>
      </c>
      <c r="E29" s="132">
        <v>6.7901234567901234</v>
      </c>
      <c r="F29" s="132">
        <v>22.560975609756099</v>
      </c>
      <c r="G29" s="132">
        <v>9.5808383233532926</v>
      </c>
      <c r="H29" s="132">
        <v>28.313253012048193</v>
      </c>
      <c r="I29" s="132">
        <v>23.170731707317074</v>
      </c>
      <c r="J29" s="132">
        <v>39.024390243902438</v>
      </c>
      <c r="K29" s="132">
        <v>40.718562874251496</v>
      </c>
      <c r="L29" s="132">
        <v>23.926380368098158</v>
      </c>
      <c r="M29" s="132">
        <v>53.571428571428569</v>
      </c>
      <c r="N29" s="132">
        <v>28.571428571428573</v>
      </c>
      <c r="O29" s="132">
        <v>14.197530864197532</v>
      </c>
      <c r="P29" s="132">
        <v>7.9268292682926829</v>
      </c>
      <c r="Q29" s="132">
        <v>43.030303030303031</v>
      </c>
      <c r="R29" s="132">
        <v>8.6206896551724146</v>
      </c>
      <c r="S29" s="131">
        <v>179</v>
      </c>
    </row>
    <row r="30" spans="1:19" x14ac:dyDescent="0.25">
      <c r="A30" s="131" t="s">
        <v>11</v>
      </c>
      <c r="B30" s="132">
        <v>16.775244299674267</v>
      </c>
      <c r="C30" s="132">
        <v>24.95921696574225</v>
      </c>
      <c r="D30" s="132">
        <v>2.9459901800327333</v>
      </c>
      <c r="E30" s="132">
        <v>8.4019769357495875</v>
      </c>
      <c r="F30" s="132">
        <v>33.876221498371336</v>
      </c>
      <c r="G30" s="132">
        <v>10.947712418300654</v>
      </c>
      <c r="H30" s="132">
        <v>12.908496732026144</v>
      </c>
      <c r="I30" s="132">
        <v>19.249592169657422</v>
      </c>
      <c r="J30" s="132">
        <v>39.016393442622949</v>
      </c>
      <c r="K30" s="132">
        <v>47.299509001636665</v>
      </c>
      <c r="L30" s="132">
        <v>35.236541598694942</v>
      </c>
      <c r="M30" s="132">
        <v>29.26829268292683</v>
      </c>
      <c r="N30" s="132">
        <v>12.950819672131148</v>
      </c>
      <c r="O30" s="132">
        <v>17.021276595744681</v>
      </c>
      <c r="P30" s="132">
        <v>5.1495016611295679</v>
      </c>
      <c r="Q30" s="132">
        <v>35.099337748344368</v>
      </c>
      <c r="R30" s="132">
        <v>5.729166666666667</v>
      </c>
      <c r="S30" s="131">
        <v>639</v>
      </c>
    </row>
    <row r="31" spans="1:19" x14ac:dyDescent="0.25">
      <c r="A31" s="131" t="s">
        <v>58</v>
      </c>
      <c r="B31" s="132">
        <v>18.918918918918919</v>
      </c>
      <c r="C31" s="132">
        <v>36.936936936936938</v>
      </c>
      <c r="D31" s="132">
        <v>3.7383177570093458</v>
      </c>
      <c r="E31" s="132">
        <v>8.1818181818181817</v>
      </c>
      <c r="F31" s="132">
        <v>14.545454545454545</v>
      </c>
      <c r="G31" s="132">
        <v>4.5454545454545459</v>
      </c>
      <c r="H31" s="132">
        <v>30.63063063063063</v>
      </c>
      <c r="I31" s="132">
        <v>24.545454545454547</v>
      </c>
      <c r="J31" s="132">
        <v>23.148148148148149</v>
      </c>
      <c r="K31" s="132">
        <v>42.727272727272727</v>
      </c>
      <c r="L31" s="132">
        <v>27.027027027027028</v>
      </c>
      <c r="M31" s="132">
        <v>38.738738738738739</v>
      </c>
      <c r="N31" s="132">
        <v>15.315315315315315</v>
      </c>
      <c r="O31" s="132">
        <v>11.818181818181818</v>
      </c>
      <c r="P31" s="132">
        <v>1.834862385321101</v>
      </c>
      <c r="Q31" s="132">
        <v>42.342342342342342</v>
      </c>
      <c r="R31" s="132">
        <v>5</v>
      </c>
      <c r="S31" s="131">
        <v>114</v>
      </c>
    </row>
    <row r="32" spans="1:19" x14ac:dyDescent="0.25">
      <c r="A32" s="131" t="s">
        <v>59</v>
      </c>
      <c r="B32" s="132">
        <v>27.611940298507463</v>
      </c>
      <c r="C32" s="132">
        <v>37.313432835820898</v>
      </c>
      <c r="D32" s="132">
        <v>1.5037593984962405</v>
      </c>
      <c r="E32" s="132">
        <v>5.9701492537313436</v>
      </c>
      <c r="F32" s="132">
        <v>14.925373134328359</v>
      </c>
      <c r="G32" s="132">
        <v>10.526315789473685</v>
      </c>
      <c r="H32" s="132">
        <v>30.075187969924812</v>
      </c>
      <c r="I32" s="132">
        <v>21.212121212121211</v>
      </c>
      <c r="J32" s="132">
        <v>33.333333333333336</v>
      </c>
      <c r="K32" s="132">
        <v>44.029850746268657</v>
      </c>
      <c r="L32" s="132">
        <v>23.484848484848484</v>
      </c>
      <c r="M32" s="132">
        <v>46.616541353383461</v>
      </c>
      <c r="N32" s="132">
        <v>24.242424242424242</v>
      </c>
      <c r="O32" s="132">
        <v>11.538461538461538</v>
      </c>
      <c r="P32" s="132">
        <v>5.384615384615385</v>
      </c>
      <c r="Q32" s="132">
        <v>45.038167938931295</v>
      </c>
      <c r="R32" s="132">
        <v>0</v>
      </c>
      <c r="S32" s="131">
        <v>143</v>
      </c>
    </row>
    <row r="33" spans="1:19" x14ac:dyDescent="0.25">
      <c r="A33" s="131" t="s">
        <v>60</v>
      </c>
      <c r="B33" s="132">
        <v>28.030303030303031</v>
      </c>
      <c r="C33" s="132">
        <v>48.062015503875969</v>
      </c>
      <c r="D33" s="132">
        <v>1.5748031496062993</v>
      </c>
      <c r="E33" s="132">
        <v>10.236220472440944</v>
      </c>
      <c r="F33" s="132">
        <v>31.007751937984494</v>
      </c>
      <c r="G33" s="132">
        <v>11.811023622047244</v>
      </c>
      <c r="H33" s="132">
        <v>34.615384615384613</v>
      </c>
      <c r="I33" s="132">
        <v>35.877862595419849</v>
      </c>
      <c r="J33" s="132">
        <v>42.1875</v>
      </c>
      <c r="K33" s="132">
        <v>35.9375</v>
      </c>
      <c r="L33" s="132">
        <v>31.007751937984494</v>
      </c>
      <c r="M33" s="132">
        <v>38.167938931297712</v>
      </c>
      <c r="N33" s="132">
        <v>19.53125</v>
      </c>
      <c r="O33" s="132">
        <v>17.96875</v>
      </c>
      <c r="P33" s="132">
        <v>12.977099236641221</v>
      </c>
      <c r="Q33" s="132">
        <v>44.274809160305345</v>
      </c>
      <c r="R33" s="132">
        <v>4.8780487804878048</v>
      </c>
      <c r="S33" s="131">
        <v>144</v>
      </c>
    </row>
    <row r="34" spans="1:19" x14ac:dyDescent="0.25">
      <c r="A34" s="131" t="s">
        <v>12</v>
      </c>
      <c r="B34" s="132">
        <v>29.6</v>
      </c>
      <c r="C34" s="132">
        <v>34.146341463414636</v>
      </c>
      <c r="D34" s="132">
        <v>0.85470085470085466</v>
      </c>
      <c r="E34" s="132">
        <v>7.5630252100840334</v>
      </c>
      <c r="F34" s="132">
        <v>11.764705882352942</v>
      </c>
      <c r="G34" s="132">
        <v>9.9173553719008272</v>
      </c>
      <c r="H34" s="132">
        <v>26.612903225806452</v>
      </c>
      <c r="I34" s="132">
        <v>30.894308943089431</v>
      </c>
      <c r="J34" s="132">
        <v>28.925619834710744</v>
      </c>
      <c r="K34" s="132">
        <v>35.245901639344261</v>
      </c>
      <c r="L34" s="132">
        <v>26.446280991735538</v>
      </c>
      <c r="M34" s="132">
        <v>43.902439024390247</v>
      </c>
      <c r="N34" s="132">
        <v>19.166666666666668</v>
      </c>
      <c r="O34" s="132">
        <v>11.764705882352942</v>
      </c>
      <c r="P34" s="132">
        <v>9.4017094017094021</v>
      </c>
      <c r="Q34" s="132">
        <v>42.4</v>
      </c>
      <c r="R34" s="132">
        <v>0</v>
      </c>
      <c r="S34" s="131">
        <v>135</v>
      </c>
    </row>
    <row r="35" spans="1:19" x14ac:dyDescent="0.25">
      <c r="A35" s="131" t="s">
        <v>61</v>
      </c>
      <c r="B35" s="132">
        <v>15.879828326180258</v>
      </c>
      <c r="C35" s="132">
        <v>31.48936170212766</v>
      </c>
      <c r="D35" s="132">
        <v>2.5862068965517242</v>
      </c>
      <c r="E35" s="132">
        <v>7.3593073593073592</v>
      </c>
      <c r="F35" s="132">
        <v>16.450216450216452</v>
      </c>
      <c r="G35" s="132">
        <v>5.2173913043478262</v>
      </c>
      <c r="H35" s="132">
        <v>8.6580086580086579</v>
      </c>
      <c r="I35" s="132">
        <v>20.258620689655171</v>
      </c>
      <c r="J35" s="132">
        <v>33.905579399141629</v>
      </c>
      <c r="K35" s="132">
        <v>39.316239316239319</v>
      </c>
      <c r="L35" s="132">
        <v>25</v>
      </c>
      <c r="M35" s="132">
        <v>28.571428571428573</v>
      </c>
      <c r="N35" s="132">
        <v>9.606986899563319</v>
      </c>
      <c r="O35" s="132">
        <v>8.7719298245614041</v>
      </c>
      <c r="P35" s="132">
        <v>4.4052863436123344</v>
      </c>
      <c r="Q35" s="132">
        <v>32.608695652173914</v>
      </c>
      <c r="R35" s="132">
        <v>4.5977011494252871</v>
      </c>
      <c r="S35" s="131">
        <v>248</v>
      </c>
    </row>
    <row r="36" spans="1:19" x14ac:dyDescent="0.25">
      <c r="A36" s="131" t="s">
        <v>62</v>
      </c>
      <c r="B36" s="132">
        <v>31.73076923076923</v>
      </c>
      <c r="C36" s="132">
        <v>50.96153846153846</v>
      </c>
      <c r="D36" s="132">
        <v>1.9607843137254901</v>
      </c>
      <c r="E36" s="132">
        <v>7.6923076923076925</v>
      </c>
      <c r="F36" s="132">
        <v>16.50485436893204</v>
      </c>
      <c r="G36" s="132">
        <v>10.891089108910892</v>
      </c>
      <c r="H36" s="132">
        <v>30.097087378640776</v>
      </c>
      <c r="I36" s="132">
        <v>36.53846153846154</v>
      </c>
      <c r="J36" s="132">
        <v>33.009708737864081</v>
      </c>
      <c r="K36" s="132">
        <v>47.572815533980581</v>
      </c>
      <c r="L36" s="132">
        <v>25.96153846153846</v>
      </c>
      <c r="M36" s="132">
        <v>50.485436893203882</v>
      </c>
      <c r="N36" s="132">
        <v>19.23076923076923</v>
      </c>
      <c r="O36" s="132">
        <v>18.446601941747574</v>
      </c>
      <c r="P36" s="132">
        <v>6.8627450980392153</v>
      </c>
      <c r="Q36" s="132">
        <v>52.941176470588232</v>
      </c>
      <c r="R36" s="132">
        <v>14.814814814814815</v>
      </c>
      <c r="S36" s="131">
        <v>115</v>
      </c>
    </row>
    <row r="37" spans="1:19" x14ac:dyDescent="0.25">
      <c r="A37" s="131" t="s">
        <v>23</v>
      </c>
      <c r="B37" s="132">
        <v>25.835866261398177</v>
      </c>
      <c r="C37" s="132">
        <v>35.060975609756099</v>
      </c>
      <c r="D37" s="132">
        <v>5.8641975308641978</v>
      </c>
      <c r="E37" s="132">
        <v>7.3619631901840492</v>
      </c>
      <c r="F37" s="132">
        <v>41.337386018237083</v>
      </c>
      <c r="G37" s="132">
        <v>10.703363914373089</v>
      </c>
      <c r="H37" s="132">
        <v>13.803680981595091</v>
      </c>
      <c r="I37" s="132">
        <v>26.993865030674847</v>
      </c>
      <c r="J37" s="132">
        <v>36.196319018404907</v>
      </c>
      <c r="K37" s="132">
        <v>38.769230769230766</v>
      </c>
      <c r="L37" s="132">
        <v>28</v>
      </c>
      <c r="M37" s="132">
        <v>26.46153846153846</v>
      </c>
      <c r="N37" s="132">
        <v>28.134556574923547</v>
      </c>
      <c r="O37" s="132">
        <v>14.461538461538462</v>
      </c>
      <c r="P37" s="132">
        <v>3.7383177570093458</v>
      </c>
      <c r="Q37" s="132">
        <v>46.319018404907979</v>
      </c>
      <c r="R37" s="132">
        <v>4.9019607843137258</v>
      </c>
      <c r="S37" s="131">
        <v>348</v>
      </c>
    </row>
    <row r="38" spans="1:19" x14ac:dyDescent="0.25">
      <c r="A38" s="131" t="s">
        <v>13</v>
      </c>
      <c r="B38" s="132">
        <v>21.995926680244398</v>
      </c>
      <c r="C38" s="132">
        <v>26.954732510288064</v>
      </c>
      <c r="D38" s="132">
        <v>2.4640657084188913</v>
      </c>
      <c r="E38" s="132">
        <v>7.6288659793814437</v>
      </c>
      <c r="F38" s="132">
        <v>24.536082474226806</v>
      </c>
      <c r="G38" s="132">
        <v>9.6311475409836067</v>
      </c>
      <c r="H38" s="132">
        <v>21.604938271604937</v>
      </c>
      <c r="I38" s="132">
        <v>23.760330578512395</v>
      </c>
      <c r="J38" s="132">
        <v>29.218106995884774</v>
      </c>
      <c r="K38" s="132">
        <v>42.505133470225871</v>
      </c>
      <c r="L38" s="132">
        <v>26.584867075664622</v>
      </c>
      <c r="M38" s="132">
        <v>34.897959183673471</v>
      </c>
      <c r="N38" s="132">
        <v>16.155419222903884</v>
      </c>
      <c r="O38" s="132">
        <v>10.721649484536082</v>
      </c>
      <c r="P38" s="132">
        <v>5.7971014492753623</v>
      </c>
      <c r="Q38" s="132">
        <v>46.138211382113823</v>
      </c>
      <c r="R38" s="132">
        <v>2.7777777777777777</v>
      </c>
      <c r="S38" s="131">
        <v>525</v>
      </c>
    </row>
    <row r="39" spans="1:19" x14ac:dyDescent="0.25">
      <c r="A39" s="131" t="s">
        <v>14</v>
      </c>
      <c r="B39" s="132">
        <v>22.516556291390728</v>
      </c>
      <c r="C39" s="132">
        <v>37.086092715231786</v>
      </c>
      <c r="D39" s="132">
        <v>2.7027027027027026</v>
      </c>
      <c r="E39" s="132">
        <v>7.3825503355704694</v>
      </c>
      <c r="F39" s="132">
        <v>33.333333333333336</v>
      </c>
      <c r="G39" s="132">
        <v>8.053691275167786</v>
      </c>
      <c r="H39" s="132">
        <v>29.139072847682119</v>
      </c>
      <c r="I39" s="132">
        <v>30.201342281879196</v>
      </c>
      <c r="J39" s="132">
        <v>40.268456375838923</v>
      </c>
      <c r="K39" s="132">
        <v>44.370860927152314</v>
      </c>
      <c r="L39" s="132">
        <v>32</v>
      </c>
      <c r="M39" s="132">
        <v>38.666666666666664</v>
      </c>
      <c r="N39" s="132">
        <v>16.778523489932887</v>
      </c>
      <c r="O39" s="132">
        <v>16.326530612244898</v>
      </c>
      <c r="P39" s="132">
        <v>4.0816326530612246</v>
      </c>
      <c r="Q39" s="132">
        <v>43.624161073825505</v>
      </c>
      <c r="R39" s="132">
        <v>1.7857142857142858</v>
      </c>
      <c r="S39" s="131">
        <v>158</v>
      </c>
    </row>
    <row r="40" spans="1:19" x14ac:dyDescent="0.25">
      <c r="A40" s="131" t="s">
        <v>64</v>
      </c>
      <c r="B40" s="132">
        <v>34.591194968553459</v>
      </c>
      <c r="C40" s="132">
        <v>39.622641509433961</v>
      </c>
      <c r="D40" s="132">
        <v>1.910828025477707</v>
      </c>
      <c r="E40" s="132">
        <v>3.8216560509554141</v>
      </c>
      <c r="F40" s="132">
        <v>22.641509433962263</v>
      </c>
      <c r="G40" s="132">
        <v>7.0063694267515926</v>
      </c>
      <c r="H40" s="132">
        <v>35.031847133757964</v>
      </c>
      <c r="I40" s="132">
        <v>34.394904458598724</v>
      </c>
      <c r="J40" s="132">
        <v>36.305732484076437</v>
      </c>
      <c r="K40" s="132">
        <v>38.9937106918239</v>
      </c>
      <c r="L40" s="132">
        <v>24.203821656050955</v>
      </c>
      <c r="M40" s="132">
        <v>48.07692307692308</v>
      </c>
      <c r="N40" s="132">
        <v>30.379746835443036</v>
      </c>
      <c r="O40" s="132">
        <v>12.658227848101266</v>
      </c>
      <c r="P40" s="132">
        <v>6.962025316455696</v>
      </c>
      <c r="Q40" s="132">
        <v>52.531645569620252</v>
      </c>
      <c r="R40" s="132">
        <v>9.7560975609756095</v>
      </c>
      <c r="S40" s="131">
        <v>167</v>
      </c>
    </row>
    <row r="41" spans="1:19" x14ac:dyDescent="0.25">
      <c r="A41" s="131" t="s">
        <v>65</v>
      </c>
      <c r="B41" s="132">
        <v>13.476263399693721</v>
      </c>
      <c r="C41" s="132">
        <v>21.725731895223422</v>
      </c>
      <c r="D41" s="132">
        <v>1.3910355486862442</v>
      </c>
      <c r="E41" s="132">
        <v>7.6086956521739131</v>
      </c>
      <c r="F41" s="132">
        <v>32.921174652241113</v>
      </c>
      <c r="G41" s="132">
        <v>10.371517027863778</v>
      </c>
      <c r="H41" s="132">
        <v>14.108527131782946</v>
      </c>
      <c r="I41" s="132">
        <v>19.129082426127528</v>
      </c>
      <c r="J41" s="132">
        <v>28.771384136858476</v>
      </c>
      <c r="K41" s="132">
        <v>45.131375579598142</v>
      </c>
      <c r="L41" s="132">
        <v>28.68217054263566</v>
      </c>
      <c r="M41" s="132">
        <v>29.783950617283949</v>
      </c>
      <c r="N41" s="132">
        <v>10.852713178294573</v>
      </c>
      <c r="O41" s="132">
        <v>13.777089783281733</v>
      </c>
      <c r="P41" s="132">
        <v>3.2710280373831777</v>
      </c>
      <c r="Q41" s="132">
        <v>36.124031007751938</v>
      </c>
      <c r="R41" s="132">
        <v>4.4642857142857144</v>
      </c>
      <c r="S41" s="131">
        <v>692</v>
      </c>
    </row>
    <row r="42" spans="1:19" x14ac:dyDescent="0.25">
      <c r="A42" s="131" t="s">
        <v>66</v>
      </c>
      <c r="B42" s="132">
        <v>25.789473684210527</v>
      </c>
      <c r="C42" s="132">
        <v>28.49462365591398</v>
      </c>
      <c r="D42" s="132">
        <v>3.225806451612903</v>
      </c>
      <c r="E42" s="132">
        <v>9.94475138121547</v>
      </c>
      <c r="F42" s="132">
        <v>24.864864864864863</v>
      </c>
      <c r="G42" s="132">
        <v>5.9782608695652177</v>
      </c>
      <c r="H42" s="132">
        <v>17.486338797814209</v>
      </c>
      <c r="I42" s="132">
        <v>25.268817204301076</v>
      </c>
      <c r="J42" s="132">
        <v>33.152173913043477</v>
      </c>
      <c r="K42" s="132">
        <v>41.578947368421055</v>
      </c>
      <c r="L42" s="132">
        <v>23.204419889502763</v>
      </c>
      <c r="M42" s="132">
        <v>25.683060109289617</v>
      </c>
      <c r="N42" s="132">
        <v>15.846994535519126</v>
      </c>
      <c r="O42" s="132">
        <v>11.475409836065573</v>
      </c>
      <c r="P42" s="132">
        <v>7.1428571428571432</v>
      </c>
      <c r="Q42" s="132">
        <v>40.322580645161288</v>
      </c>
      <c r="R42" s="132">
        <v>0</v>
      </c>
      <c r="S42" s="131">
        <v>202</v>
      </c>
    </row>
    <row r="43" spans="1:19" x14ac:dyDescent="0.25">
      <c r="A43" s="131" t="s">
        <v>15</v>
      </c>
      <c r="B43" s="132">
        <v>13.117546848381602</v>
      </c>
      <c r="C43" s="132">
        <v>21.53846153846154</v>
      </c>
      <c r="D43" s="132">
        <v>2.4013722126929675</v>
      </c>
      <c r="E43" s="132">
        <v>5.8319039451114927</v>
      </c>
      <c r="F43" s="132">
        <v>35.555555555555557</v>
      </c>
      <c r="G43" s="132">
        <v>9.2307692307692299</v>
      </c>
      <c r="H43" s="132">
        <v>16.156462585034014</v>
      </c>
      <c r="I43" s="132">
        <v>18.088737201365188</v>
      </c>
      <c r="J43" s="132">
        <v>31.972789115646258</v>
      </c>
      <c r="K43" s="132">
        <v>49.493243243243242</v>
      </c>
      <c r="L43" s="132">
        <v>32.653061224489797</v>
      </c>
      <c r="M43" s="132">
        <v>29.342327150084316</v>
      </c>
      <c r="N43" s="132">
        <v>10.238907849829351</v>
      </c>
      <c r="O43" s="132">
        <v>16.952054794520549</v>
      </c>
      <c r="P43" s="132">
        <v>5.1369863013698627</v>
      </c>
      <c r="Q43" s="132">
        <v>35.593220338983052</v>
      </c>
      <c r="R43" s="132">
        <v>3.1914893617021276</v>
      </c>
      <c r="S43" s="131">
        <v>627</v>
      </c>
    </row>
    <row r="44" spans="1:19" x14ac:dyDescent="0.25">
      <c r="A44" s="131" t="s">
        <v>16</v>
      </c>
      <c r="B44" s="132">
        <v>18.888888888888889</v>
      </c>
      <c r="C44" s="132">
        <v>30.277777777777779</v>
      </c>
      <c r="D44" s="132">
        <v>3.6312849162011172</v>
      </c>
      <c r="E44" s="132">
        <v>5.8988764044943824</v>
      </c>
      <c r="F44" s="132">
        <v>62.125340599455043</v>
      </c>
      <c r="G44" s="132">
        <v>10.92436974789916</v>
      </c>
      <c r="H44" s="132">
        <v>20.055710306406684</v>
      </c>
      <c r="I44" s="132">
        <v>20</v>
      </c>
      <c r="J44" s="132">
        <v>39.275766016713092</v>
      </c>
      <c r="K44" s="132">
        <v>42.737430167597765</v>
      </c>
      <c r="L44" s="132">
        <v>29.247910863509748</v>
      </c>
      <c r="M44" s="132">
        <v>33.147632311977716</v>
      </c>
      <c r="N44" s="132">
        <v>17.548746518105851</v>
      </c>
      <c r="O44" s="132">
        <v>18.715083798882681</v>
      </c>
      <c r="P44" s="132">
        <v>6.4066852367688023</v>
      </c>
      <c r="Q44" s="132">
        <v>42.382271468144047</v>
      </c>
      <c r="R44" s="132">
        <v>8.9108910891089117</v>
      </c>
      <c r="S44" s="131">
        <v>387</v>
      </c>
    </row>
    <row r="45" spans="1:19" x14ac:dyDescent="0.25">
      <c r="A45" s="131" t="s">
        <v>17</v>
      </c>
      <c r="B45" s="132">
        <v>35.483870967741936</v>
      </c>
      <c r="C45" s="132">
        <v>44.565217391304351</v>
      </c>
      <c r="D45" s="132">
        <v>4.4444444444444446</v>
      </c>
      <c r="E45" s="132">
        <v>4.395604395604396</v>
      </c>
      <c r="F45" s="132">
        <v>29.670329670329672</v>
      </c>
      <c r="G45" s="132">
        <v>4.395604395604396</v>
      </c>
      <c r="H45" s="132">
        <v>31.868131868131869</v>
      </c>
      <c r="I45" s="132">
        <v>27.777777777777779</v>
      </c>
      <c r="J45" s="132">
        <v>36.666666666666664</v>
      </c>
      <c r="K45" s="132">
        <v>50.537634408602152</v>
      </c>
      <c r="L45" s="132">
        <v>29.670329670329672</v>
      </c>
      <c r="M45" s="132">
        <v>49.450549450549453</v>
      </c>
      <c r="N45" s="132">
        <v>38.043478260869563</v>
      </c>
      <c r="O45" s="132">
        <v>15.730337078651685</v>
      </c>
      <c r="P45" s="132">
        <v>10.869565217391305</v>
      </c>
      <c r="Q45" s="132">
        <v>46.739130434782609</v>
      </c>
      <c r="R45" s="132">
        <v>8.3333333333333339</v>
      </c>
      <c r="S45" s="131">
        <v>99</v>
      </c>
    </row>
    <row r="46" spans="1:19" x14ac:dyDescent="0.25">
      <c r="A46" s="131" t="s">
        <v>24</v>
      </c>
      <c r="B46" s="132">
        <v>25.862068965517242</v>
      </c>
      <c r="C46" s="132">
        <v>36.68639053254438</v>
      </c>
      <c r="D46" s="132">
        <v>5.882352941176471</v>
      </c>
      <c r="E46" s="132">
        <v>7.60233918128655</v>
      </c>
      <c r="F46" s="132">
        <v>49.710982658959537</v>
      </c>
      <c r="G46" s="132">
        <v>5.8139534883720927</v>
      </c>
      <c r="H46" s="132">
        <v>30.813953488372093</v>
      </c>
      <c r="I46" s="132">
        <v>20.930232558139537</v>
      </c>
      <c r="J46" s="132">
        <v>37.058823529411768</v>
      </c>
      <c r="K46" s="132">
        <v>46.470588235294116</v>
      </c>
      <c r="L46" s="132">
        <v>30.4093567251462</v>
      </c>
      <c r="M46" s="132">
        <v>52.906976744186046</v>
      </c>
      <c r="N46" s="132">
        <v>33.139534883720927</v>
      </c>
      <c r="O46" s="132">
        <v>18.71345029239766</v>
      </c>
      <c r="P46" s="132">
        <v>2.9411764705882355</v>
      </c>
      <c r="Q46" s="132">
        <v>56.395348837209305</v>
      </c>
      <c r="R46" s="132">
        <v>5.1282051282051286</v>
      </c>
      <c r="S46" s="131">
        <v>185</v>
      </c>
    </row>
    <row r="49" spans="1:19" x14ac:dyDescent="0.25">
      <c r="A49" s="104" t="s">
        <v>517</v>
      </c>
    </row>
    <row r="51" spans="1:19" ht="14" x14ac:dyDescent="0.3">
      <c r="A51" s="133" t="s">
        <v>158</v>
      </c>
      <c r="B51" s="129" t="s">
        <v>518</v>
      </c>
      <c r="C51" s="129" t="s">
        <v>519</v>
      </c>
      <c r="D51" s="129" t="s">
        <v>520</v>
      </c>
      <c r="E51" s="129" t="s">
        <v>521</v>
      </c>
      <c r="F51" s="129" t="s">
        <v>522</v>
      </c>
      <c r="G51" s="129" t="s">
        <v>523</v>
      </c>
      <c r="H51" s="129" t="s">
        <v>524</v>
      </c>
      <c r="I51" s="129" t="s">
        <v>525</v>
      </c>
      <c r="J51" s="129" t="s">
        <v>526</v>
      </c>
      <c r="K51" s="129" t="s">
        <v>527</v>
      </c>
      <c r="L51" s="129" t="s">
        <v>528</v>
      </c>
      <c r="M51" s="129" t="s">
        <v>529</v>
      </c>
      <c r="N51" s="129" t="s">
        <v>530</v>
      </c>
      <c r="O51" s="129" t="s">
        <v>531</v>
      </c>
      <c r="P51" s="129" t="s">
        <v>532</v>
      </c>
      <c r="Q51" s="129" t="s">
        <v>533</v>
      </c>
      <c r="R51" s="129" t="s">
        <v>534</v>
      </c>
      <c r="S51" s="130" t="s">
        <v>421</v>
      </c>
    </row>
    <row r="52" spans="1:19" x14ac:dyDescent="0.25">
      <c r="A52" s="113" t="s">
        <v>74</v>
      </c>
      <c r="B52" s="132">
        <v>28.917609046849758</v>
      </c>
      <c r="C52" s="132">
        <v>45.081967213114751</v>
      </c>
      <c r="D52" s="132">
        <v>2.8333333333333335</v>
      </c>
      <c r="E52" s="132">
        <v>7.0840197693574956</v>
      </c>
      <c r="F52" s="132">
        <v>20.428336079077429</v>
      </c>
      <c r="G52" s="132">
        <v>7.9734219269102988</v>
      </c>
      <c r="H52" s="132">
        <v>31.433224755700326</v>
      </c>
      <c r="I52" s="132">
        <v>32.68292682926829</v>
      </c>
      <c r="J52" s="132">
        <v>33.223684210526315</v>
      </c>
      <c r="K52" s="132">
        <v>43.066884176182711</v>
      </c>
      <c r="L52" s="132">
        <v>28.104575163398692</v>
      </c>
      <c r="M52" s="132">
        <v>43.344155844155843</v>
      </c>
      <c r="N52" s="132">
        <v>21.533442088091356</v>
      </c>
      <c r="O52" s="132">
        <v>15.066225165562914</v>
      </c>
      <c r="P52" s="132">
        <v>8.3743842364532028</v>
      </c>
      <c r="Q52" s="132">
        <v>47.88961038961039</v>
      </c>
      <c r="R52" s="132">
        <v>6.4864864864864868</v>
      </c>
      <c r="S52" s="131">
        <v>676</v>
      </c>
    </row>
    <row r="53" spans="1:19" x14ac:dyDescent="0.25">
      <c r="A53" s="110" t="s">
        <v>75</v>
      </c>
      <c r="B53" s="132">
        <v>26.243567753001717</v>
      </c>
      <c r="C53" s="132">
        <v>36.805555555555557</v>
      </c>
      <c r="D53" s="132">
        <v>2.9100529100529102</v>
      </c>
      <c r="E53" s="132">
        <v>7.5109170305676853</v>
      </c>
      <c r="F53" s="132">
        <v>25.261324041811847</v>
      </c>
      <c r="G53" s="132">
        <v>7.504363001745201</v>
      </c>
      <c r="H53" s="132">
        <v>28.323197219808861</v>
      </c>
      <c r="I53" s="132">
        <v>27.225130890052355</v>
      </c>
      <c r="J53" s="132">
        <v>33.245844269466318</v>
      </c>
      <c r="K53" s="132">
        <v>41.688424717145345</v>
      </c>
      <c r="L53" s="132">
        <v>27.408056042031525</v>
      </c>
      <c r="M53" s="132">
        <v>45.383275261324044</v>
      </c>
      <c r="N53" s="132">
        <v>25.459317585301836</v>
      </c>
      <c r="O53" s="132">
        <v>14.76274165202109</v>
      </c>
      <c r="P53" s="132">
        <v>5.8149779735682818</v>
      </c>
      <c r="Q53" s="132">
        <v>46.736292428198432</v>
      </c>
      <c r="R53" s="132">
        <v>3.7900874635568513</v>
      </c>
      <c r="S53" s="131">
        <v>1238</v>
      </c>
    </row>
    <row r="54" spans="1:19" x14ac:dyDescent="0.25">
      <c r="A54" s="110" t="s">
        <v>76</v>
      </c>
      <c r="B54" s="132">
        <v>22.975352112676056</v>
      </c>
      <c r="C54" s="132">
        <v>35.822222222222223</v>
      </c>
      <c r="D54" s="132">
        <v>2.4545454545454546</v>
      </c>
      <c r="E54" s="132">
        <v>5.5855855855855854</v>
      </c>
      <c r="F54" s="132">
        <v>29.506726457399104</v>
      </c>
      <c r="G54" s="132">
        <v>8.9365504915102765</v>
      </c>
      <c r="H54" s="132">
        <v>23.813786929274844</v>
      </c>
      <c r="I54" s="132">
        <v>27.345844504021446</v>
      </c>
      <c r="J54" s="132">
        <v>35.888187556357082</v>
      </c>
      <c r="K54" s="132">
        <v>42.095914742451157</v>
      </c>
      <c r="L54" s="132">
        <v>25.583482944344702</v>
      </c>
      <c r="M54" s="132">
        <v>42.742653606411395</v>
      </c>
      <c r="N54" s="132">
        <v>20.432043204320433</v>
      </c>
      <c r="O54" s="132">
        <v>12.806539509536785</v>
      </c>
      <c r="P54" s="132">
        <v>6.4253393665158374</v>
      </c>
      <c r="Q54" s="132">
        <v>45.796064400715565</v>
      </c>
      <c r="R54" s="132">
        <v>5.9459459459459456</v>
      </c>
      <c r="S54" s="131">
        <v>1223</v>
      </c>
    </row>
    <row r="55" spans="1:19" x14ac:dyDescent="0.25">
      <c r="A55" s="110" t="s">
        <v>77</v>
      </c>
      <c r="B55" s="132">
        <v>21.984649122807017</v>
      </c>
      <c r="C55" s="132">
        <v>31.920748486516235</v>
      </c>
      <c r="D55" s="132">
        <v>3.0150753768844223</v>
      </c>
      <c r="E55" s="132">
        <v>7.8037904124860651</v>
      </c>
      <c r="F55" s="132">
        <v>29.297954671088998</v>
      </c>
      <c r="G55" s="132">
        <v>8.3240843507214208</v>
      </c>
      <c r="H55" s="132">
        <v>19.554317548746518</v>
      </c>
      <c r="I55" s="132">
        <v>25.693673695893452</v>
      </c>
      <c r="J55" s="132">
        <v>36.666666666666664</v>
      </c>
      <c r="K55" s="132">
        <v>40.803964757709252</v>
      </c>
      <c r="L55" s="132">
        <v>26.353992183137912</v>
      </c>
      <c r="M55" s="132">
        <v>33.277870216306155</v>
      </c>
      <c r="N55" s="132">
        <v>19.988864142538976</v>
      </c>
      <c r="O55" s="132">
        <v>13.5678391959799</v>
      </c>
      <c r="P55" s="132">
        <v>6.0504201680672267</v>
      </c>
      <c r="Q55" s="132">
        <v>42.676211453744493</v>
      </c>
      <c r="R55" s="132">
        <v>4.5454545454545459</v>
      </c>
      <c r="S55" s="131">
        <v>1950</v>
      </c>
    </row>
    <row r="56" spans="1:19" x14ac:dyDescent="0.25">
      <c r="A56" s="110" t="s">
        <v>78</v>
      </c>
      <c r="B56" s="132">
        <v>17.128935532233882</v>
      </c>
      <c r="C56" s="132">
        <v>25.766174801362087</v>
      </c>
      <c r="D56" s="132">
        <v>2.2044849866970733</v>
      </c>
      <c r="E56" s="132">
        <v>6.7654884074496389</v>
      </c>
      <c r="F56" s="132">
        <v>35.544666415378813</v>
      </c>
      <c r="G56" s="132">
        <v>11.127933383800151</v>
      </c>
      <c r="H56" s="132">
        <v>17.716236722306526</v>
      </c>
      <c r="I56" s="132">
        <v>22.595247076574879</v>
      </c>
      <c r="J56" s="132">
        <v>32.19178082191781</v>
      </c>
      <c r="K56" s="132">
        <v>45.519848771266538</v>
      </c>
      <c r="L56" s="132">
        <v>27.231467473524962</v>
      </c>
      <c r="M56" s="132">
        <v>31.761599396454169</v>
      </c>
      <c r="N56" s="132">
        <v>15.142314990512334</v>
      </c>
      <c r="O56" s="132">
        <v>12.523791397030834</v>
      </c>
      <c r="P56" s="132">
        <v>5.1644988523335886</v>
      </c>
      <c r="Q56" s="132">
        <v>40.143776012107452</v>
      </c>
      <c r="R56" s="132">
        <v>4.5104510451045101</v>
      </c>
      <c r="S56" s="131">
        <v>2870</v>
      </c>
    </row>
    <row r="57" spans="1:19" x14ac:dyDescent="0.25">
      <c r="A57" s="110" t="s">
        <v>79</v>
      </c>
      <c r="B57" s="132">
        <v>13.213703099510603</v>
      </c>
      <c r="C57" s="132">
        <v>23.236175429038408</v>
      </c>
      <c r="D57" s="132">
        <v>2.3313219967087218</v>
      </c>
      <c r="E57" s="132">
        <v>7.5845012366034625</v>
      </c>
      <c r="F57" s="132">
        <v>34.696102480239844</v>
      </c>
      <c r="G57" s="132">
        <v>9.0684931506849313</v>
      </c>
      <c r="H57" s="132">
        <v>14.895947426067908</v>
      </c>
      <c r="I57" s="132">
        <v>20.18097066081711</v>
      </c>
      <c r="J57" s="132">
        <v>34.721841600438474</v>
      </c>
      <c r="K57" s="132">
        <v>46.773754424176424</v>
      </c>
      <c r="L57" s="132">
        <v>31.620661382891502</v>
      </c>
      <c r="M57" s="132">
        <v>32.05650638413475</v>
      </c>
      <c r="N57" s="132">
        <v>12.108731466227347</v>
      </c>
      <c r="O57" s="132">
        <v>14.693765449052458</v>
      </c>
      <c r="P57" s="132">
        <v>4.2183622828784122</v>
      </c>
      <c r="Q57" s="132">
        <v>33.990687482881405</v>
      </c>
      <c r="R57" s="132">
        <v>5.1488334674175382</v>
      </c>
      <c r="S57" s="131">
        <v>3899</v>
      </c>
    </row>
    <row r="59" spans="1:19" ht="14" x14ac:dyDescent="0.3">
      <c r="A59" s="128" t="s">
        <v>159</v>
      </c>
      <c r="B59" s="129" t="s">
        <v>518</v>
      </c>
      <c r="C59" s="129" t="s">
        <v>519</v>
      </c>
      <c r="D59" s="129" t="s">
        <v>520</v>
      </c>
      <c r="E59" s="129" t="s">
        <v>521</v>
      </c>
      <c r="F59" s="129" t="s">
        <v>522</v>
      </c>
      <c r="G59" s="129" t="s">
        <v>523</v>
      </c>
      <c r="H59" s="129" t="s">
        <v>524</v>
      </c>
      <c r="I59" s="129" t="s">
        <v>525</v>
      </c>
      <c r="J59" s="129" t="s">
        <v>526</v>
      </c>
      <c r="K59" s="129" t="s">
        <v>527</v>
      </c>
      <c r="L59" s="129" t="s">
        <v>528</v>
      </c>
      <c r="M59" s="129" t="s">
        <v>529</v>
      </c>
      <c r="N59" s="129" t="s">
        <v>530</v>
      </c>
      <c r="O59" s="129" t="s">
        <v>531</v>
      </c>
      <c r="P59" s="129" t="s">
        <v>532</v>
      </c>
      <c r="Q59" s="129" t="s">
        <v>533</v>
      </c>
      <c r="R59" s="129" t="s">
        <v>534</v>
      </c>
      <c r="S59" s="130" t="s">
        <v>421</v>
      </c>
    </row>
    <row r="60" spans="1:19" x14ac:dyDescent="0.25">
      <c r="B60" s="132">
        <v>18.844107835181678</v>
      </c>
      <c r="C60" s="132">
        <v>29.188600471954985</v>
      </c>
      <c r="D60" s="132">
        <v>2.513300311869382</v>
      </c>
      <c r="E60" s="132">
        <v>7.1846970529013365</v>
      </c>
      <c r="F60" s="132">
        <v>31.715298609217342</v>
      </c>
      <c r="G60" s="132">
        <v>9.2053644740443392</v>
      </c>
      <c r="H60" s="132">
        <v>19.580483356133151</v>
      </c>
      <c r="I60" s="132">
        <v>23.834244080145719</v>
      </c>
      <c r="J60" s="132">
        <v>34.314711529669928</v>
      </c>
      <c r="K60" s="132">
        <v>44.275086191253855</v>
      </c>
      <c r="L60" s="132">
        <v>28.45283707352673</v>
      </c>
      <c r="M60" s="132">
        <v>35.293050263110146</v>
      </c>
      <c r="N60" s="132">
        <v>16.90127970749543</v>
      </c>
      <c r="O60" s="132">
        <v>13.8231517152816</v>
      </c>
      <c r="P60" s="132">
        <v>5.370114942528736</v>
      </c>
      <c r="Q60" s="132">
        <v>40.216501409988176</v>
      </c>
      <c r="R60" s="132">
        <v>4.9099836333878883</v>
      </c>
      <c r="S60" s="131">
        <v>11856</v>
      </c>
    </row>
    <row r="63" spans="1:19" ht="14" x14ac:dyDescent="0.3">
      <c r="A63" s="129" t="s">
        <v>518</v>
      </c>
      <c r="B63" s="104" t="s">
        <v>535</v>
      </c>
      <c r="C63" s="134">
        <v>18.844107835181678</v>
      </c>
    </row>
    <row r="64" spans="1:19" ht="14" x14ac:dyDescent="0.3">
      <c r="A64" s="129" t="s">
        <v>519</v>
      </c>
      <c r="B64" s="104" t="s">
        <v>536</v>
      </c>
      <c r="C64" s="134">
        <v>29.188600471954985</v>
      </c>
    </row>
    <row r="65" spans="1:3" ht="14" x14ac:dyDescent="0.3">
      <c r="A65" s="129" t="s">
        <v>520</v>
      </c>
      <c r="B65" s="104" t="s">
        <v>537</v>
      </c>
      <c r="C65" s="134">
        <v>2.513300311869382</v>
      </c>
    </row>
    <row r="66" spans="1:3" ht="14" x14ac:dyDescent="0.3">
      <c r="A66" s="129" t="s">
        <v>521</v>
      </c>
      <c r="B66" s="104" t="s">
        <v>538</v>
      </c>
      <c r="C66" s="134">
        <v>7.1846970529013365</v>
      </c>
    </row>
    <row r="67" spans="1:3" ht="14" x14ac:dyDescent="0.3">
      <c r="A67" s="129" t="s">
        <v>522</v>
      </c>
      <c r="B67" s="104" t="s">
        <v>539</v>
      </c>
      <c r="C67" s="134">
        <v>31.715298609217342</v>
      </c>
    </row>
    <row r="68" spans="1:3" ht="14" x14ac:dyDescent="0.3">
      <c r="A68" s="129" t="s">
        <v>523</v>
      </c>
      <c r="B68" s="104" t="s">
        <v>540</v>
      </c>
      <c r="C68" s="134">
        <v>9.2053644740443392</v>
      </c>
    </row>
    <row r="69" spans="1:3" ht="14" x14ac:dyDescent="0.3">
      <c r="A69" s="129" t="s">
        <v>524</v>
      </c>
      <c r="B69" s="104" t="s">
        <v>541</v>
      </c>
      <c r="C69" s="134">
        <v>19.600000000000001</v>
      </c>
    </row>
    <row r="70" spans="1:3" ht="14" x14ac:dyDescent="0.3">
      <c r="A70" s="129" t="s">
        <v>525</v>
      </c>
      <c r="B70" s="104" t="s">
        <v>542</v>
      </c>
      <c r="C70" s="134">
        <v>23.8</v>
      </c>
    </row>
    <row r="71" spans="1:3" ht="14" x14ac:dyDescent="0.3">
      <c r="A71" s="129" t="s">
        <v>526</v>
      </c>
      <c r="B71" s="104" t="s">
        <v>543</v>
      </c>
      <c r="C71" s="134">
        <v>34.299999999999997</v>
      </c>
    </row>
    <row r="72" spans="1:3" ht="14" x14ac:dyDescent="0.3">
      <c r="A72" s="129" t="s">
        <v>527</v>
      </c>
      <c r="B72" s="104" t="s">
        <v>544</v>
      </c>
      <c r="C72" s="134">
        <v>44.3</v>
      </c>
    </row>
    <row r="73" spans="1:3" ht="14" x14ac:dyDescent="0.3">
      <c r="A73" s="129" t="s">
        <v>528</v>
      </c>
      <c r="B73" s="104" t="s">
        <v>545</v>
      </c>
      <c r="C73" s="134">
        <v>28.5</v>
      </c>
    </row>
    <row r="74" spans="1:3" ht="14" x14ac:dyDescent="0.3">
      <c r="A74" s="129" t="s">
        <v>529</v>
      </c>
      <c r="B74" s="104" t="s">
        <v>546</v>
      </c>
      <c r="C74" s="134">
        <v>35.299999999999997</v>
      </c>
    </row>
    <row r="75" spans="1:3" ht="14" x14ac:dyDescent="0.3">
      <c r="A75" s="129" t="s">
        <v>530</v>
      </c>
      <c r="B75" s="104" t="s">
        <v>547</v>
      </c>
      <c r="C75" s="134">
        <v>16.899999999999999</v>
      </c>
    </row>
    <row r="76" spans="1:3" ht="14" x14ac:dyDescent="0.3">
      <c r="A76" s="129" t="s">
        <v>531</v>
      </c>
      <c r="B76" s="104" t="s">
        <v>548</v>
      </c>
      <c r="C76" s="134">
        <v>13.8</v>
      </c>
    </row>
    <row r="77" spans="1:3" ht="14" x14ac:dyDescent="0.3">
      <c r="A77" s="129" t="s">
        <v>532</v>
      </c>
      <c r="B77" s="104" t="s">
        <v>549</v>
      </c>
      <c r="C77" s="134">
        <v>5.4</v>
      </c>
    </row>
    <row r="78" spans="1:3" ht="14" x14ac:dyDescent="0.3">
      <c r="A78" s="129" t="s">
        <v>533</v>
      </c>
      <c r="B78" s="104" t="s">
        <v>550</v>
      </c>
      <c r="C78" s="134">
        <v>40.200000000000003</v>
      </c>
    </row>
    <row r="79" spans="1:3" ht="14" x14ac:dyDescent="0.3">
      <c r="A79" s="129" t="s">
        <v>534</v>
      </c>
      <c r="B79" s="104" t="s">
        <v>551</v>
      </c>
      <c r="C79" s="134">
        <v>4.9000000000000004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workbookViewId="0">
      <selection activeCell="A6" sqref="A6"/>
    </sheetView>
  </sheetViews>
  <sheetFormatPr defaultColWidth="8.7109375" defaultRowHeight="13.5" x14ac:dyDescent="0.25"/>
  <cols>
    <col min="1" max="1" width="22.640625" style="105" customWidth="1"/>
    <col min="2" max="16384" width="8.7109375" style="105"/>
  </cols>
  <sheetData>
    <row r="1" spans="1:19" x14ac:dyDescent="0.25">
      <c r="A1" s="135" t="s">
        <v>552</v>
      </c>
    </row>
    <row r="2" spans="1:19" x14ac:dyDescent="0.25">
      <c r="A2" s="104" t="s">
        <v>553</v>
      </c>
    </row>
    <row r="4" spans="1:19" x14ac:dyDescent="0.25">
      <c r="A4" s="104" t="s">
        <v>554</v>
      </c>
    </row>
    <row r="6" spans="1:19" ht="14" x14ac:dyDescent="0.3">
      <c r="A6" s="128" t="s">
        <v>157</v>
      </c>
      <c r="B6" s="134" t="s">
        <v>555</v>
      </c>
      <c r="C6" s="134" t="s">
        <v>556</v>
      </c>
      <c r="D6" s="134" t="s">
        <v>557</v>
      </c>
      <c r="E6" s="134" t="s">
        <v>558</v>
      </c>
      <c r="F6" s="134" t="s">
        <v>559</v>
      </c>
      <c r="G6" s="134" t="s">
        <v>560</v>
      </c>
      <c r="H6" s="134" t="s">
        <v>561</v>
      </c>
      <c r="I6" s="134" t="s">
        <v>562</v>
      </c>
      <c r="J6" s="134" t="s">
        <v>563</v>
      </c>
      <c r="K6" s="134" t="s">
        <v>564</v>
      </c>
      <c r="L6" s="134" t="s">
        <v>565</v>
      </c>
      <c r="M6" s="134" t="s">
        <v>566</v>
      </c>
      <c r="N6" s="134" t="s">
        <v>567</v>
      </c>
      <c r="O6" s="134" t="s">
        <v>568</v>
      </c>
      <c r="P6" s="134" t="s">
        <v>569</v>
      </c>
      <c r="Q6" s="134" t="s">
        <v>570</v>
      </c>
      <c r="R6" s="134" t="s">
        <v>571</v>
      </c>
      <c r="S6" s="128" t="s">
        <v>421</v>
      </c>
    </row>
    <row r="7" spans="1:19" x14ac:dyDescent="0.25">
      <c r="A7" s="131" t="s">
        <v>42</v>
      </c>
      <c r="B7" s="132">
        <v>42.857142857142854</v>
      </c>
      <c r="C7" s="132">
        <v>44.871794871794869</v>
      </c>
      <c r="D7" s="132">
        <v>21.666666666666668</v>
      </c>
      <c r="E7" s="132">
        <v>28.787878787878789</v>
      </c>
      <c r="F7" s="132">
        <v>26.027397260273972</v>
      </c>
      <c r="G7" s="132">
        <v>13.636363636363637</v>
      </c>
      <c r="H7" s="132">
        <v>48.648648648648646</v>
      </c>
      <c r="I7" s="132">
        <v>31.884057971014492</v>
      </c>
      <c r="J7" s="132">
        <v>37.662337662337663</v>
      </c>
      <c r="K7" s="132">
        <v>26.582278481012658</v>
      </c>
      <c r="L7" s="132">
        <v>31.506849315068493</v>
      </c>
      <c r="M7" s="132">
        <v>57.89473684210526</v>
      </c>
      <c r="N7" s="132">
        <v>30.555555555555557</v>
      </c>
      <c r="O7" s="132">
        <v>14.285714285714286</v>
      </c>
      <c r="P7" s="132">
        <v>45.3125</v>
      </c>
      <c r="Q7" s="132">
        <v>42.68292682926829</v>
      </c>
      <c r="R7" s="132">
        <v>7.6923076923076925</v>
      </c>
      <c r="S7" s="131">
        <v>119</v>
      </c>
    </row>
    <row r="8" spans="1:19" x14ac:dyDescent="0.25">
      <c r="A8" s="131" t="s">
        <v>43</v>
      </c>
      <c r="B8" s="132">
        <v>38.08353808353808</v>
      </c>
      <c r="C8" s="132">
        <v>37.616822429906541</v>
      </c>
      <c r="D8" s="132">
        <v>23.43324250681199</v>
      </c>
      <c r="E8" s="132">
        <v>28.385416666666668</v>
      </c>
      <c r="F8" s="132">
        <v>26.388888888888889</v>
      </c>
      <c r="G8" s="132">
        <v>19.680851063829788</v>
      </c>
      <c r="H8" s="132">
        <v>40.5</v>
      </c>
      <c r="I8" s="132">
        <v>24.047619047619047</v>
      </c>
      <c r="J8" s="132">
        <v>44.977168949771688</v>
      </c>
      <c r="K8" s="132">
        <v>25.38293216630197</v>
      </c>
      <c r="L8" s="132">
        <v>32.634032634032636</v>
      </c>
      <c r="M8" s="132">
        <v>53.125</v>
      </c>
      <c r="N8" s="132">
        <v>20.101781170483459</v>
      </c>
      <c r="O8" s="132">
        <v>20</v>
      </c>
      <c r="P8" s="132">
        <v>27.520435967302451</v>
      </c>
      <c r="Q8" s="132">
        <v>37.209302325581397</v>
      </c>
      <c r="R8" s="132">
        <v>15.966386554621849</v>
      </c>
      <c r="S8" s="131">
        <v>667</v>
      </c>
    </row>
    <row r="9" spans="1:19" x14ac:dyDescent="0.25">
      <c r="A9" s="131" t="s">
        <v>44</v>
      </c>
      <c r="B9" s="132">
        <v>36.956521739130437</v>
      </c>
      <c r="C9" s="132">
        <v>40.776699029126213</v>
      </c>
      <c r="D9" s="132">
        <v>23.684210526315791</v>
      </c>
      <c r="E9" s="132">
        <v>26.25</v>
      </c>
      <c r="F9" s="132">
        <v>20.987654320987655</v>
      </c>
      <c r="G9" s="132">
        <v>12.195121951219512</v>
      </c>
      <c r="H9" s="132">
        <v>39.772727272727273</v>
      </c>
      <c r="I9" s="132">
        <v>32.183908045977013</v>
      </c>
      <c r="J9" s="132">
        <v>50</v>
      </c>
      <c r="K9" s="132">
        <v>24.242424242424242</v>
      </c>
      <c r="L9" s="132">
        <v>34.782608695652172</v>
      </c>
      <c r="M9" s="132">
        <v>48.453608247422679</v>
      </c>
      <c r="N9" s="132">
        <v>16.25</v>
      </c>
      <c r="O9" s="132">
        <v>23.170731707317074</v>
      </c>
      <c r="P9" s="132">
        <v>31.578947368421051</v>
      </c>
      <c r="Q9" s="132">
        <v>49.462365591397848</v>
      </c>
      <c r="R9" s="132">
        <v>12.121212121212121</v>
      </c>
      <c r="S9" s="131">
        <v>165</v>
      </c>
    </row>
    <row r="10" spans="1:19" x14ac:dyDescent="0.25">
      <c r="A10" s="131" t="s">
        <v>68</v>
      </c>
      <c r="B10" s="132">
        <v>32.676056338028168</v>
      </c>
      <c r="C10" s="132">
        <v>35.849056603773583</v>
      </c>
      <c r="D10" s="132">
        <v>24.848484848484848</v>
      </c>
      <c r="E10" s="132">
        <v>31.343283582089551</v>
      </c>
      <c r="F10" s="132">
        <v>28.927680798004989</v>
      </c>
      <c r="G10" s="132">
        <v>21.345029239766081</v>
      </c>
      <c r="H10" s="132">
        <v>38.550724637681157</v>
      </c>
      <c r="I10" s="132">
        <v>25.277777777777779</v>
      </c>
      <c r="J10" s="132">
        <v>39.583333333333336</v>
      </c>
      <c r="K10" s="132">
        <v>25.120772946859905</v>
      </c>
      <c r="L10" s="132">
        <v>26.233766233766232</v>
      </c>
      <c r="M10" s="132">
        <v>44.270833333333336</v>
      </c>
      <c r="N10" s="132">
        <v>15.0997150997151</v>
      </c>
      <c r="O10" s="132">
        <v>18.443804034582133</v>
      </c>
      <c r="P10" s="132">
        <v>23.795180722891565</v>
      </c>
      <c r="Q10" s="132">
        <v>35.561497326203209</v>
      </c>
      <c r="R10" s="132">
        <v>9.2436974789915958</v>
      </c>
      <c r="S10" s="131">
        <v>624</v>
      </c>
    </row>
    <row r="11" spans="1:19" x14ac:dyDescent="0.25">
      <c r="A11" s="131" t="s">
        <v>2</v>
      </c>
      <c r="B11" s="132">
        <v>37.5</v>
      </c>
      <c r="C11" s="132">
        <v>56.060606060606062</v>
      </c>
      <c r="D11" s="132">
        <v>35</v>
      </c>
      <c r="E11" s="132">
        <v>32.786885245901637</v>
      </c>
      <c r="F11" s="132">
        <v>33.87096774193548</v>
      </c>
      <c r="G11" s="132">
        <v>18.64406779661017</v>
      </c>
      <c r="H11" s="132">
        <v>51.666666666666664</v>
      </c>
      <c r="I11" s="132">
        <v>35.9375</v>
      </c>
      <c r="J11" s="132">
        <v>40.322580645161288</v>
      </c>
      <c r="K11" s="132">
        <v>35.294117647058826</v>
      </c>
      <c r="L11" s="132">
        <v>43.333333333333336</v>
      </c>
      <c r="M11" s="132">
        <v>47.058823529411768</v>
      </c>
      <c r="N11" s="132">
        <v>21.311475409836067</v>
      </c>
      <c r="O11" s="132">
        <v>18.333333333333332</v>
      </c>
      <c r="P11" s="132">
        <v>28.333333333333332</v>
      </c>
      <c r="Q11" s="132">
        <v>42.465753424657535</v>
      </c>
      <c r="R11" s="132">
        <v>17.647058823529413</v>
      </c>
      <c r="S11" s="131">
        <v>99</v>
      </c>
    </row>
    <row r="12" spans="1:19" x14ac:dyDescent="0.25">
      <c r="A12" s="131" t="s">
        <v>3</v>
      </c>
      <c r="B12" s="132">
        <v>39.548022598870055</v>
      </c>
      <c r="C12" s="132">
        <v>38.674033149171272</v>
      </c>
      <c r="D12" s="132">
        <v>27.272727272727273</v>
      </c>
      <c r="E12" s="132">
        <v>29.375</v>
      </c>
      <c r="F12" s="132">
        <v>25.862068965517242</v>
      </c>
      <c r="G12" s="132">
        <v>16.875</v>
      </c>
      <c r="H12" s="132">
        <v>38.32335329341317</v>
      </c>
      <c r="I12" s="132">
        <v>31.428571428571427</v>
      </c>
      <c r="J12" s="132">
        <v>43.169398907103826</v>
      </c>
      <c r="K12" s="132">
        <v>29.949238578680202</v>
      </c>
      <c r="L12" s="132">
        <v>39.010989010989015</v>
      </c>
      <c r="M12" s="132">
        <v>46.524064171122994</v>
      </c>
      <c r="N12" s="132">
        <v>18.787878787878789</v>
      </c>
      <c r="O12" s="132">
        <v>17.901234567901234</v>
      </c>
      <c r="P12" s="132">
        <v>28.571428571428573</v>
      </c>
      <c r="Q12" s="132">
        <v>39.037433155080215</v>
      </c>
      <c r="R12" s="132">
        <v>16.666666666666668</v>
      </c>
      <c r="S12" s="131">
        <v>301</v>
      </c>
    </row>
    <row r="13" spans="1:19" x14ac:dyDescent="0.25">
      <c r="A13" s="131" t="s">
        <v>4</v>
      </c>
      <c r="B13" s="132">
        <v>38.953488372093027</v>
      </c>
      <c r="C13" s="132">
        <v>38.227146814404435</v>
      </c>
      <c r="D13" s="132">
        <v>27.215189873417721</v>
      </c>
      <c r="E13" s="132">
        <v>30.625</v>
      </c>
      <c r="F13" s="132">
        <v>23.314606741573034</v>
      </c>
      <c r="G13" s="132">
        <v>17.159763313609467</v>
      </c>
      <c r="H13" s="132">
        <v>33.923303834808259</v>
      </c>
      <c r="I13" s="132">
        <v>25.072046109510087</v>
      </c>
      <c r="J13" s="132">
        <v>41.961852861035425</v>
      </c>
      <c r="K13" s="132">
        <v>28.571428571428573</v>
      </c>
      <c r="L13" s="132">
        <v>30.939226519337016</v>
      </c>
      <c r="M13" s="132">
        <v>47.382920110192835</v>
      </c>
      <c r="N13" s="132">
        <v>18.731117824773413</v>
      </c>
      <c r="O13" s="132">
        <v>17.717717717717719</v>
      </c>
      <c r="P13" s="132">
        <v>29.652996845425868</v>
      </c>
      <c r="Q13" s="132">
        <v>43.817204301075272</v>
      </c>
      <c r="R13" s="132">
        <v>21.621621621621621</v>
      </c>
      <c r="S13" s="131">
        <v>600</v>
      </c>
    </row>
    <row r="14" spans="1:19" x14ac:dyDescent="0.25">
      <c r="A14" s="131" t="s">
        <v>46</v>
      </c>
      <c r="B14" s="132">
        <v>46.666666666666664</v>
      </c>
      <c r="C14" s="132">
        <v>52.127659574468083</v>
      </c>
      <c r="D14" s="132">
        <v>33.333333333333336</v>
      </c>
      <c r="E14" s="132">
        <v>35.365853658536587</v>
      </c>
      <c r="F14" s="132">
        <v>28.260869565217391</v>
      </c>
      <c r="G14" s="132">
        <v>19.047619047619047</v>
      </c>
      <c r="H14" s="132">
        <v>38.70967741935484</v>
      </c>
      <c r="I14" s="132">
        <v>31.632653061224488</v>
      </c>
      <c r="J14" s="132">
        <v>43.18181818181818</v>
      </c>
      <c r="K14" s="132">
        <v>34.343434343434346</v>
      </c>
      <c r="L14" s="132">
        <v>36.263736263736263</v>
      </c>
      <c r="M14" s="132">
        <v>52.38095238095238</v>
      </c>
      <c r="N14" s="132">
        <v>24.444444444444443</v>
      </c>
      <c r="O14" s="132">
        <v>24.175824175824175</v>
      </c>
      <c r="P14" s="132">
        <v>37.804878048780488</v>
      </c>
      <c r="Q14" s="132">
        <v>44.791666666666664</v>
      </c>
      <c r="R14" s="132">
        <v>20.833333333333332</v>
      </c>
      <c r="S14" s="131">
        <v>148</v>
      </c>
    </row>
    <row r="15" spans="1:19" x14ac:dyDescent="0.25">
      <c r="A15" s="131" t="s">
        <v>5</v>
      </c>
      <c r="B15" s="132">
        <v>36.760925449871465</v>
      </c>
      <c r="C15" s="132">
        <v>41.219512195121951</v>
      </c>
      <c r="D15" s="132">
        <v>26.944444444444443</v>
      </c>
      <c r="E15" s="132">
        <v>30.601092896174862</v>
      </c>
      <c r="F15" s="132">
        <v>25.890736342042754</v>
      </c>
      <c r="G15" s="132">
        <v>18.133333333333333</v>
      </c>
      <c r="H15" s="132">
        <v>36.07427055702918</v>
      </c>
      <c r="I15" s="132">
        <v>25.70694087403599</v>
      </c>
      <c r="J15" s="132">
        <v>42.961165048543691</v>
      </c>
      <c r="K15" s="132">
        <v>24.373576309794988</v>
      </c>
      <c r="L15" s="132">
        <v>30.864197530864196</v>
      </c>
      <c r="M15" s="132">
        <v>47.115384615384613</v>
      </c>
      <c r="N15" s="132">
        <v>18.489583333333332</v>
      </c>
      <c r="O15" s="132">
        <v>19.010416666666668</v>
      </c>
      <c r="P15" s="132">
        <v>31.420765027322403</v>
      </c>
      <c r="Q15" s="132">
        <v>44.941176470588232</v>
      </c>
      <c r="R15" s="132">
        <v>9.9099099099099099</v>
      </c>
      <c r="S15" s="131">
        <v>650</v>
      </c>
    </row>
    <row r="16" spans="1:19" x14ac:dyDescent="0.25">
      <c r="A16" s="131" t="s">
        <v>48</v>
      </c>
      <c r="B16" s="132">
        <v>36.363636363636367</v>
      </c>
      <c r="C16" s="132">
        <v>44.827586206896555</v>
      </c>
      <c r="D16" s="132">
        <v>33.783783783783782</v>
      </c>
      <c r="E16" s="132">
        <v>31.944444444444443</v>
      </c>
      <c r="F16" s="132">
        <v>27.027027027027028</v>
      </c>
      <c r="G16" s="132">
        <v>19.736842105263158</v>
      </c>
      <c r="H16" s="132">
        <v>45.679012345679013</v>
      </c>
      <c r="I16" s="132">
        <v>38.271604938271608</v>
      </c>
      <c r="J16" s="132">
        <v>43.209876543209873</v>
      </c>
      <c r="K16" s="132">
        <v>30.588235294117649</v>
      </c>
      <c r="L16" s="132">
        <v>30.76923076923077</v>
      </c>
      <c r="M16" s="132">
        <v>51.685393258426963</v>
      </c>
      <c r="N16" s="132">
        <v>23.076923076923077</v>
      </c>
      <c r="O16" s="132">
        <v>22.972972972972972</v>
      </c>
      <c r="P16" s="132">
        <v>25</v>
      </c>
      <c r="Q16" s="132">
        <v>47.916666666666664</v>
      </c>
      <c r="R16" s="132">
        <v>10</v>
      </c>
      <c r="S16" s="131">
        <v>135</v>
      </c>
    </row>
    <row r="17" spans="1:19" x14ac:dyDescent="0.25">
      <c r="A17" s="131" t="s">
        <v>49</v>
      </c>
      <c r="B17" s="132">
        <v>45.714285714285715</v>
      </c>
      <c r="C17" s="132">
        <v>47.058823529411768</v>
      </c>
      <c r="D17" s="132">
        <v>35</v>
      </c>
      <c r="E17" s="132">
        <v>26.229508196721312</v>
      </c>
      <c r="F17" s="132">
        <v>31.03448275862069</v>
      </c>
      <c r="G17" s="132">
        <v>24.193548387096776</v>
      </c>
      <c r="H17" s="132">
        <v>41.791044776119406</v>
      </c>
      <c r="I17" s="132">
        <v>47.887323943661968</v>
      </c>
      <c r="J17" s="132">
        <v>44.927536231884055</v>
      </c>
      <c r="K17" s="132">
        <v>32.394366197183096</v>
      </c>
      <c r="L17" s="132">
        <v>36.92307692307692</v>
      </c>
      <c r="M17" s="132">
        <v>53.521126760563384</v>
      </c>
      <c r="N17" s="132">
        <v>23.529411764705884</v>
      </c>
      <c r="O17" s="132">
        <v>26.5625</v>
      </c>
      <c r="P17" s="132">
        <v>35.483870967741936</v>
      </c>
      <c r="Q17" s="132">
        <v>50.649350649350652</v>
      </c>
      <c r="R17" s="132">
        <v>20</v>
      </c>
      <c r="S17" s="131">
        <v>105</v>
      </c>
    </row>
    <row r="18" spans="1:19" x14ac:dyDescent="0.25">
      <c r="A18" s="131" t="s">
        <v>50</v>
      </c>
      <c r="B18" s="132">
        <v>48.305084745762713</v>
      </c>
      <c r="C18" s="132">
        <v>55.645161290322584</v>
      </c>
      <c r="D18" s="132">
        <v>21</v>
      </c>
      <c r="E18" s="132">
        <v>20.192307692307693</v>
      </c>
      <c r="F18" s="132">
        <v>27.43362831858407</v>
      </c>
      <c r="G18" s="132">
        <v>16.363636363636363</v>
      </c>
      <c r="H18" s="132">
        <v>34.821428571428569</v>
      </c>
      <c r="I18" s="132">
        <v>28.333333333333332</v>
      </c>
      <c r="J18" s="132">
        <v>44.144144144144143</v>
      </c>
      <c r="K18" s="132">
        <v>28.45528455284553</v>
      </c>
      <c r="L18" s="132">
        <v>35.593220338983052</v>
      </c>
      <c r="M18" s="132">
        <v>48.837209302325583</v>
      </c>
      <c r="N18" s="132">
        <v>18.918918918918919</v>
      </c>
      <c r="O18" s="132">
        <v>11.320754716981131</v>
      </c>
      <c r="P18" s="132">
        <v>31.73076923076923</v>
      </c>
      <c r="Q18" s="132">
        <v>45.238095238095241</v>
      </c>
      <c r="R18" s="132">
        <v>21.05263157894737</v>
      </c>
      <c r="S18" s="131">
        <v>194</v>
      </c>
    </row>
    <row r="19" spans="1:19" x14ac:dyDescent="0.25">
      <c r="A19" s="131" t="s">
        <v>69</v>
      </c>
      <c r="B19" s="132">
        <v>34.95145631067961</v>
      </c>
      <c r="C19" s="132">
        <v>38.20754716981132</v>
      </c>
      <c r="D19" s="132">
        <v>27.868852459016395</v>
      </c>
      <c r="E19" s="132">
        <v>28.729281767955801</v>
      </c>
      <c r="F19" s="132">
        <v>30.476190476190474</v>
      </c>
      <c r="G19" s="132">
        <v>21.276595744680851</v>
      </c>
      <c r="H19" s="132">
        <v>39.896373056994818</v>
      </c>
      <c r="I19" s="132">
        <v>27.777777777777779</v>
      </c>
      <c r="J19" s="132">
        <v>44.392523364485982</v>
      </c>
      <c r="K19" s="132">
        <v>25.925925925925927</v>
      </c>
      <c r="L19" s="132">
        <v>31.5</v>
      </c>
      <c r="M19" s="132">
        <v>52.830188679245282</v>
      </c>
      <c r="N19" s="132">
        <v>22.660098522167488</v>
      </c>
      <c r="O19" s="132">
        <v>20.418848167539267</v>
      </c>
      <c r="P19" s="132">
        <v>27.717391304347824</v>
      </c>
      <c r="Q19" s="132">
        <v>43.171806167400881</v>
      </c>
      <c r="R19" s="132">
        <v>6.5217391304347823</v>
      </c>
      <c r="S19" s="131">
        <v>350</v>
      </c>
    </row>
    <row r="20" spans="1:19" x14ac:dyDescent="0.25">
      <c r="A20" s="131" t="s">
        <v>6</v>
      </c>
      <c r="B20" s="132">
        <v>34.883720930232556</v>
      </c>
      <c r="C20" s="132">
        <v>37.219730941704036</v>
      </c>
      <c r="D20" s="132">
        <v>21.465968586387433</v>
      </c>
      <c r="E20" s="132">
        <v>26.732673267326732</v>
      </c>
      <c r="F20" s="132">
        <v>27.896995708154506</v>
      </c>
      <c r="G20" s="132">
        <v>17.475728155339805</v>
      </c>
      <c r="H20" s="132">
        <v>33.170731707317074</v>
      </c>
      <c r="I20" s="132">
        <v>23.611111111111111</v>
      </c>
      <c r="J20" s="132">
        <v>41.441441441441441</v>
      </c>
      <c r="K20" s="132">
        <v>29.959514170040485</v>
      </c>
      <c r="L20" s="132">
        <v>29.777777777777779</v>
      </c>
      <c r="M20" s="132">
        <v>48.660714285714285</v>
      </c>
      <c r="N20" s="132">
        <v>22.009569377990431</v>
      </c>
      <c r="O20" s="132">
        <v>17.910447761194028</v>
      </c>
      <c r="P20" s="132">
        <v>26.903553299492387</v>
      </c>
      <c r="Q20" s="132">
        <v>41.452991452991455</v>
      </c>
      <c r="R20" s="132">
        <v>18.64406779661017</v>
      </c>
      <c r="S20" s="131">
        <v>389</v>
      </c>
    </row>
    <row r="21" spans="1:19" x14ac:dyDescent="0.25">
      <c r="A21" s="131" t="s">
        <v>70</v>
      </c>
      <c r="B21" s="132">
        <v>35.2112676056338</v>
      </c>
      <c r="C21" s="132">
        <v>44.827586206896555</v>
      </c>
      <c r="D21" s="132">
        <v>19.672131147540984</v>
      </c>
      <c r="E21" s="132">
        <v>26.446280991735538</v>
      </c>
      <c r="F21" s="132">
        <v>16.788321167883211</v>
      </c>
      <c r="G21" s="132">
        <v>15.503875968992247</v>
      </c>
      <c r="H21" s="132">
        <v>46.896551724137929</v>
      </c>
      <c r="I21" s="132">
        <v>27.857142857142858</v>
      </c>
      <c r="J21" s="132">
        <v>37.037037037037038</v>
      </c>
      <c r="K21" s="132">
        <v>24.305555555555557</v>
      </c>
      <c r="L21" s="132">
        <v>33.333333333333336</v>
      </c>
      <c r="M21" s="132">
        <v>60.135135135135137</v>
      </c>
      <c r="N21" s="132">
        <v>25.185185185185187</v>
      </c>
      <c r="O21" s="132">
        <v>16.535433070866141</v>
      </c>
      <c r="P21" s="132">
        <v>32</v>
      </c>
      <c r="Q21" s="132">
        <v>52.054794520547944</v>
      </c>
      <c r="R21" s="132">
        <v>13.157894736842104</v>
      </c>
      <c r="S21" s="131">
        <v>239</v>
      </c>
    </row>
    <row r="22" spans="1:19" x14ac:dyDescent="0.25">
      <c r="A22" s="131" t="s">
        <v>7</v>
      </c>
      <c r="B22" s="132">
        <v>45.631067961165051</v>
      </c>
      <c r="C22" s="132">
        <v>47.222222222222221</v>
      </c>
      <c r="D22" s="132">
        <v>29.411764705882351</v>
      </c>
      <c r="E22" s="132">
        <v>33.333333333333336</v>
      </c>
      <c r="F22" s="132">
        <v>26.041666666666668</v>
      </c>
      <c r="G22" s="132">
        <v>16.304347826086957</v>
      </c>
      <c r="H22" s="132">
        <v>38.46153846153846</v>
      </c>
      <c r="I22" s="132">
        <v>26.804123711340207</v>
      </c>
      <c r="J22" s="132">
        <v>41.666666666666664</v>
      </c>
      <c r="K22" s="132">
        <v>30.841121495327101</v>
      </c>
      <c r="L22" s="132">
        <v>37.254901960784316</v>
      </c>
      <c r="M22" s="132">
        <v>53.097345132743364</v>
      </c>
      <c r="N22" s="132">
        <v>27.835051546391753</v>
      </c>
      <c r="O22" s="132">
        <v>15.625</v>
      </c>
      <c r="P22" s="132">
        <v>30</v>
      </c>
      <c r="Q22" s="132">
        <v>43.75</v>
      </c>
      <c r="R22" s="132">
        <v>22.857142857142858</v>
      </c>
      <c r="S22" s="131">
        <v>168</v>
      </c>
    </row>
    <row r="23" spans="1:19" x14ac:dyDescent="0.25">
      <c r="A23" s="131" t="s">
        <v>22</v>
      </c>
      <c r="B23" s="132">
        <v>24.489795918367346</v>
      </c>
      <c r="C23" s="132">
        <v>30.188679245283019</v>
      </c>
      <c r="D23" s="132">
        <v>22.784810126582279</v>
      </c>
      <c r="E23" s="132">
        <v>19.047619047619047</v>
      </c>
      <c r="F23" s="132">
        <v>19.791666666666668</v>
      </c>
      <c r="G23" s="132">
        <v>14.457831325301205</v>
      </c>
      <c r="H23" s="132">
        <v>40.404040404040401</v>
      </c>
      <c r="I23" s="132">
        <v>21.875</v>
      </c>
      <c r="J23" s="132">
        <v>39.772727272727273</v>
      </c>
      <c r="K23" s="132">
        <v>15.957446808510639</v>
      </c>
      <c r="L23" s="132">
        <v>19.318181818181817</v>
      </c>
      <c r="M23" s="132">
        <v>44.444444444444443</v>
      </c>
      <c r="N23" s="132">
        <v>31.578947368421051</v>
      </c>
      <c r="O23" s="132">
        <v>16.091954022988507</v>
      </c>
      <c r="P23" s="132">
        <v>21.518987341772153</v>
      </c>
      <c r="Q23" s="132">
        <v>48.07692307692308</v>
      </c>
      <c r="R23" s="132">
        <v>26.086956521739129</v>
      </c>
      <c r="S23" s="131">
        <v>177</v>
      </c>
    </row>
    <row r="24" spans="1:19" x14ac:dyDescent="0.25">
      <c r="A24" s="131" t="s">
        <v>8</v>
      </c>
      <c r="B24" s="132">
        <v>38.390092879256969</v>
      </c>
      <c r="C24" s="132">
        <v>38.601823708206688</v>
      </c>
      <c r="D24" s="132">
        <v>29.452054794520549</v>
      </c>
      <c r="E24" s="132">
        <v>29.054054054054053</v>
      </c>
      <c r="F24" s="132">
        <v>32.203389830508478</v>
      </c>
      <c r="G24" s="132">
        <v>17.532467532467532</v>
      </c>
      <c r="H24" s="132">
        <v>38.141025641025642</v>
      </c>
      <c r="I24" s="132">
        <v>26.70807453416149</v>
      </c>
      <c r="J24" s="132">
        <v>38.150289017341038</v>
      </c>
      <c r="K24" s="132">
        <v>24.929971988795518</v>
      </c>
      <c r="L24" s="132">
        <v>29.003021148036254</v>
      </c>
      <c r="M24" s="132">
        <v>52.887537993920972</v>
      </c>
      <c r="N24" s="132">
        <v>20.80536912751678</v>
      </c>
      <c r="O24" s="132">
        <v>17.857142857142858</v>
      </c>
      <c r="P24" s="132">
        <v>27.931034482758619</v>
      </c>
      <c r="Q24" s="132">
        <v>41.071428571428569</v>
      </c>
      <c r="R24" s="132">
        <v>6.666666666666667</v>
      </c>
      <c r="S24" s="131">
        <v>533</v>
      </c>
    </row>
    <row r="25" spans="1:19" x14ac:dyDescent="0.25">
      <c r="A25" s="131" t="s">
        <v>9</v>
      </c>
      <c r="B25" s="132">
        <v>41.558441558441558</v>
      </c>
      <c r="C25" s="132">
        <v>46.470588235294116</v>
      </c>
      <c r="D25" s="132">
        <v>31.884057971014492</v>
      </c>
      <c r="E25" s="132">
        <v>35.664335664335667</v>
      </c>
      <c r="F25" s="132">
        <v>33.766233766233768</v>
      </c>
      <c r="G25" s="132">
        <v>20.714285714285715</v>
      </c>
      <c r="H25" s="132">
        <v>36.53846153846154</v>
      </c>
      <c r="I25" s="132">
        <v>29.411764705882351</v>
      </c>
      <c r="J25" s="132">
        <v>40</v>
      </c>
      <c r="K25" s="132">
        <v>32.352941176470587</v>
      </c>
      <c r="L25" s="132">
        <v>38.125</v>
      </c>
      <c r="M25" s="132">
        <v>45.562130177514796</v>
      </c>
      <c r="N25" s="132">
        <v>14.093959731543624</v>
      </c>
      <c r="O25" s="132">
        <v>16.216216216216218</v>
      </c>
      <c r="P25" s="132">
        <v>34.532374100719423</v>
      </c>
      <c r="Q25" s="132">
        <v>38.011695906432749</v>
      </c>
      <c r="R25" s="132">
        <v>12.244897959183673</v>
      </c>
      <c r="S25" s="131">
        <v>262</v>
      </c>
    </row>
    <row r="26" spans="1:19" x14ac:dyDescent="0.25">
      <c r="A26" s="131" t="s">
        <v>54</v>
      </c>
      <c r="B26" s="132">
        <v>46.067415730337082</v>
      </c>
      <c r="C26" s="132">
        <v>47.474747474747474</v>
      </c>
      <c r="D26" s="132">
        <v>31.645569620253166</v>
      </c>
      <c r="E26" s="132">
        <v>30.120481927710845</v>
      </c>
      <c r="F26" s="132">
        <v>31.182795698924732</v>
      </c>
      <c r="G26" s="132">
        <v>19.753086419753085</v>
      </c>
      <c r="H26" s="132">
        <v>44.31818181818182</v>
      </c>
      <c r="I26" s="132">
        <v>34.042553191489361</v>
      </c>
      <c r="J26" s="132">
        <v>37.373737373737377</v>
      </c>
      <c r="K26" s="132">
        <v>33.333333333333336</v>
      </c>
      <c r="L26" s="132">
        <v>41.379310344827587</v>
      </c>
      <c r="M26" s="132">
        <v>46.590909090909093</v>
      </c>
      <c r="N26" s="132">
        <v>22.352941176470587</v>
      </c>
      <c r="O26" s="132">
        <v>18.292682926829269</v>
      </c>
      <c r="P26" s="132">
        <v>34.567901234567898</v>
      </c>
      <c r="Q26" s="132">
        <v>37.634408602150536</v>
      </c>
      <c r="R26" s="132">
        <v>16.666666666666668</v>
      </c>
      <c r="S26" s="131">
        <v>168</v>
      </c>
    </row>
    <row r="27" spans="1:19" x14ac:dyDescent="0.25">
      <c r="A27" s="131" t="s">
        <v>71</v>
      </c>
      <c r="B27" s="132">
        <v>40.711462450592883</v>
      </c>
      <c r="C27" s="132">
        <v>38.976377952755904</v>
      </c>
      <c r="D27" s="132">
        <v>26.339285714285715</v>
      </c>
      <c r="E27" s="132">
        <v>30.131004366812228</v>
      </c>
      <c r="F27" s="132">
        <v>28.294573643410853</v>
      </c>
      <c r="G27" s="132">
        <v>21.721311475409838</v>
      </c>
      <c r="H27" s="132">
        <v>35.222672064777328</v>
      </c>
      <c r="I27" s="132">
        <v>31.764705882352942</v>
      </c>
      <c r="J27" s="132">
        <v>42.231075697211153</v>
      </c>
      <c r="K27" s="132">
        <v>28.517110266159698</v>
      </c>
      <c r="L27" s="132">
        <v>30.612244897959183</v>
      </c>
      <c r="M27" s="132">
        <v>46.096654275092938</v>
      </c>
      <c r="N27" s="132">
        <v>21.991701244813278</v>
      </c>
      <c r="O27" s="132">
        <v>16.228070175438596</v>
      </c>
      <c r="P27" s="132">
        <v>27.111111111111111</v>
      </c>
      <c r="Q27" s="132">
        <v>42.222222222222221</v>
      </c>
      <c r="R27" s="132">
        <v>13.043478260869565</v>
      </c>
      <c r="S27" s="131">
        <v>437</v>
      </c>
    </row>
    <row r="28" spans="1:19" x14ac:dyDescent="0.25">
      <c r="A28" s="131" t="s">
        <v>10</v>
      </c>
      <c r="B28" s="132">
        <v>38.4</v>
      </c>
      <c r="C28" s="132">
        <v>39.705882352941174</v>
      </c>
      <c r="D28" s="132">
        <v>18.691588785046729</v>
      </c>
      <c r="E28" s="132">
        <v>23.584905660377359</v>
      </c>
      <c r="F28" s="132">
        <v>36.12903225806452</v>
      </c>
      <c r="G28" s="132">
        <v>17.821782178217823</v>
      </c>
      <c r="H28" s="132">
        <v>35.652173913043477</v>
      </c>
      <c r="I28" s="132">
        <v>28.925619834710744</v>
      </c>
      <c r="J28" s="132">
        <v>41.221374045801525</v>
      </c>
      <c r="K28" s="132">
        <v>24.264705882352942</v>
      </c>
      <c r="L28" s="132">
        <v>34.677419354838712</v>
      </c>
      <c r="M28" s="132">
        <v>62.686567164179102</v>
      </c>
      <c r="N28" s="132">
        <v>34.920634920634917</v>
      </c>
      <c r="O28" s="132">
        <v>23.853211009174313</v>
      </c>
      <c r="P28" s="132">
        <v>24.03846153846154</v>
      </c>
      <c r="Q28" s="132">
        <v>48.571428571428569</v>
      </c>
      <c r="R28" s="132">
        <v>11.538461538461538</v>
      </c>
      <c r="S28" s="131">
        <v>219</v>
      </c>
    </row>
    <row r="29" spans="1:19" x14ac:dyDescent="0.25">
      <c r="A29" s="131" t="s">
        <v>56</v>
      </c>
      <c r="B29" s="132">
        <v>33.043478260869563</v>
      </c>
      <c r="C29" s="132">
        <v>38.596491228070178</v>
      </c>
      <c r="D29" s="132">
        <v>21.875</v>
      </c>
      <c r="E29" s="132">
        <v>24.742268041237114</v>
      </c>
      <c r="F29" s="132">
        <v>22.01834862385321</v>
      </c>
      <c r="G29" s="132">
        <v>16</v>
      </c>
      <c r="H29" s="132">
        <v>43.80952380952381</v>
      </c>
      <c r="I29" s="132">
        <v>28.037383177570092</v>
      </c>
      <c r="J29" s="132">
        <v>42.056074766355138</v>
      </c>
      <c r="K29" s="132">
        <v>30.701754385964911</v>
      </c>
      <c r="L29" s="132">
        <v>30.555555555555557</v>
      </c>
      <c r="M29" s="132">
        <v>55.645161290322584</v>
      </c>
      <c r="N29" s="132">
        <v>28.703703703703702</v>
      </c>
      <c r="O29" s="132">
        <v>18</v>
      </c>
      <c r="P29" s="132">
        <v>24</v>
      </c>
      <c r="Q29" s="132">
        <v>38.655462184873947</v>
      </c>
      <c r="R29" s="132">
        <v>18.181818181818183</v>
      </c>
      <c r="S29" s="131">
        <v>179</v>
      </c>
    </row>
    <row r="30" spans="1:19" x14ac:dyDescent="0.25">
      <c r="A30" s="131" t="s">
        <v>11</v>
      </c>
      <c r="B30" s="132">
        <v>38.636363636363633</v>
      </c>
      <c r="C30" s="132">
        <v>41.379310344827587</v>
      </c>
      <c r="D30" s="132">
        <v>31.460674157303369</v>
      </c>
      <c r="E30" s="132">
        <v>33.333333333333336</v>
      </c>
      <c r="F30" s="132">
        <v>26.034063260340634</v>
      </c>
      <c r="G30" s="132">
        <v>20.163487738419619</v>
      </c>
      <c r="H30" s="132">
        <v>36.927223719676547</v>
      </c>
      <c r="I30" s="132">
        <v>26.165803108808291</v>
      </c>
      <c r="J30" s="132">
        <v>39.110070257611241</v>
      </c>
      <c r="K30" s="132">
        <v>24.528301886792452</v>
      </c>
      <c r="L30" s="132">
        <v>29.879518072289155</v>
      </c>
      <c r="M30" s="132">
        <v>45.273631840796021</v>
      </c>
      <c r="N30" s="132">
        <v>15.240641711229946</v>
      </c>
      <c r="O30" s="132">
        <v>17.819148936170212</v>
      </c>
      <c r="P30" s="132">
        <v>29.378531073446329</v>
      </c>
      <c r="Q30" s="132">
        <v>41.147132169576061</v>
      </c>
      <c r="R30" s="132">
        <v>17.391304347826086</v>
      </c>
      <c r="S30" s="131">
        <v>639</v>
      </c>
    </row>
    <row r="31" spans="1:19" x14ac:dyDescent="0.25">
      <c r="A31" s="131" t="s">
        <v>58</v>
      </c>
      <c r="B31" s="132">
        <v>39.130434782608695</v>
      </c>
      <c r="C31" s="132">
        <v>42.666666666666664</v>
      </c>
      <c r="D31" s="132">
        <v>22.222222222222221</v>
      </c>
      <c r="E31" s="132">
        <v>23.4375</v>
      </c>
      <c r="F31" s="132">
        <v>21.212121212121211</v>
      </c>
      <c r="G31" s="132">
        <v>22.222222222222221</v>
      </c>
      <c r="H31" s="132">
        <v>34.666666666666664</v>
      </c>
      <c r="I31" s="132">
        <v>21.739130434782609</v>
      </c>
      <c r="J31" s="132">
        <v>24.637681159420289</v>
      </c>
      <c r="K31" s="132">
        <v>25.35211267605634</v>
      </c>
      <c r="L31" s="132">
        <v>28.571428571428573</v>
      </c>
      <c r="M31" s="132">
        <v>45.333333333333336</v>
      </c>
      <c r="N31" s="132">
        <v>16.923076923076923</v>
      </c>
      <c r="O31" s="132">
        <v>23.076923076923077</v>
      </c>
      <c r="P31" s="132">
        <v>27.868852459016395</v>
      </c>
      <c r="Q31" s="132">
        <v>51.282051282051285</v>
      </c>
      <c r="R31" s="132">
        <v>23.80952380952381</v>
      </c>
      <c r="S31" s="131">
        <v>114</v>
      </c>
    </row>
    <row r="32" spans="1:19" x14ac:dyDescent="0.25">
      <c r="A32" s="131" t="s">
        <v>59</v>
      </c>
      <c r="B32" s="132">
        <v>34.831460674157306</v>
      </c>
      <c r="C32" s="132">
        <v>44.086021505376344</v>
      </c>
      <c r="D32" s="132">
        <v>9.3333333333333339</v>
      </c>
      <c r="E32" s="132">
        <v>15.384615384615385</v>
      </c>
      <c r="F32" s="132">
        <v>17.721518987341771</v>
      </c>
      <c r="G32" s="132">
        <v>21.25</v>
      </c>
      <c r="H32" s="132">
        <v>40.449438202247194</v>
      </c>
      <c r="I32" s="132">
        <v>31.395348837209301</v>
      </c>
      <c r="J32" s="132">
        <v>43.01075268817204</v>
      </c>
      <c r="K32" s="132">
        <v>28</v>
      </c>
      <c r="L32" s="132">
        <v>32.098765432098766</v>
      </c>
      <c r="M32" s="132">
        <v>50.537634408602152</v>
      </c>
      <c r="N32" s="132">
        <v>22.352941176470587</v>
      </c>
      <c r="O32" s="132">
        <v>16.883116883116884</v>
      </c>
      <c r="P32" s="132">
        <v>21.917808219178081</v>
      </c>
      <c r="Q32" s="132">
        <v>41.304347826086953</v>
      </c>
      <c r="R32" s="132">
        <v>11.538461538461538</v>
      </c>
      <c r="S32" s="131">
        <v>143</v>
      </c>
    </row>
    <row r="33" spans="1:19" x14ac:dyDescent="0.25">
      <c r="A33" s="131" t="s">
        <v>60</v>
      </c>
      <c r="B33" s="132">
        <v>51.063829787234042</v>
      </c>
      <c r="C33" s="132">
        <v>50.485436893203882</v>
      </c>
      <c r="D33" s="132">
        <v>26.829268292682926</v>
      </c>
      <c r="E33" s="132">
        <v>28.91566265060241</v>
      </c>
      <c r="F33" s="132">
        <v>28.865979381443299</v>
      </c>
      <c r="G33" s="132">
        <v>19.047619047619047</v>
      </c>
      <c r="H33" s="132">
        <v>47.252747252747255</v>
      </c>
      <c r="I33" s="132">
        <v>37.89473684210526</v>
      </c>
      <c r="J33" s="132">
        <v>47.368421052631582</v>
      </c>
      <c r="K33" s="132">
        <v>30.851063829787233</v>
      </c>
      <c r="L33" s="132">
        <v>43.956043956043956</v>
      </c>
      <c r="M33" s="132">
        <v>50</v>
      </c>
      <c r="N33" s="132">
        <v>23.655913978494624</v>
      </c>
      <c r="O33" s="132">
        <v>17.977528089887642</v>
      </c>
      <c r="P33" s="132">
        <v>34.090909090909093</v>
      </c>
      <c r="Q33" s="132">
        <v>42</v>
      </c>
      <c r="R33" s="132">
        <v>23.80952380952381</v>
      </c>
      <c r="S33" s="131">
        <v>144</v>
      </c>
    </row>
    <row r="34" spans="1:19" x14ac:dyDescent="0.25">
      <c r="A34" s="131" t="s">
        <v>12</v>
      </c>
      <c r="B34" s="132">
        <v>34.444444444444443</v>
      </c>
      <c r="C34" s="132">
        <v>40.229885057471265</v>
      </c>
      <c r="D34" s="132">
        <v>17.567567567567568</v>
      </c>
      <c r="E34" s="132">
        <v>22.368421052631579</v>
      </c>
      <c r="F34" s="132">
        <v>12.987012987012987</v>
      </c>
      <c r="G34" s="132">
        <v>18.421052631578949</v>
      </c>
      <c r="H34" s="132">
        <v>37.804878048780488</v>
      </c>
      <c r="I34" s="132">
        <v>25.609756097560975</v>
      </c>
      <c r="J34" s="132">
        <v>37.5</v>
      </c>
      <c r="K34" s="132">
        <v>24.705882352941178</v>
      </c>
      <c r="L34" s="132">
        <v>34.939759036144579</v>
      </c>
      <c r="M34" s="132">
        <v>43.820224719101127</v>
      </c>
      <c r="N34" s="132">
        <v>20.987654320987655</v>
      </c>
      <c r="O34" s="132">
        <v>22.077922077922079</v>
      </c>
      <c r="P34" s="132">
        <v>13.513513513513514</v>
      </c>
      <c r="Q34" s="132">
        <v>37.078651685393261</v>
      </c>
      <c r="R34" s="132">
        <v>3.8461538461538463</v>
      </c>
      <c r="S34" s="131">
        <v>135</v>
      </c>
    </row>
    <row r="35" spans="1:19" x14ac:dyDescent="0.25">
      <c r="A35" s="131" t="s">
        <v>61</v>
      </c>
      <c r="B35" s="132">
        <v>37.5</v>
      </c>
      <c r="C35" s="132">
        <v>37.748344370860927</v>
      </c>
      <c r="D35" s="132">
        <v>28.925619834710744</v>
      </c>
      <c r="E35" s="132">
        <v>30.4</v>
      </c>
      <c r="F35" s="132">
        <v>25.581395348837209</v>
      </c>
      <c r="G35" s="132">
        <v>18.487394957983192</v>
      </c>
      <c r="H35" s="132">
        <v>29.365079365079364</v>
      </c>
      <c r="I35" s="132">
        <v>24.21875</v>
      </c>
      <c r="J35" s="132">
        <v>38.297872340425535</v>
      </c>
      <c r="K35" s="132">
        <v>28.187919463087248</v>
      </c>
      <c r="L35" s="132">
        <v>33.812949640287769</v>
      </c>
      <c r="M35" s="132">
        <v>48.571428571428569</v>
      </c>
      <c r="N35" s="132">
        <v>16.923076923076923</v>
      </c>
      <c r="O35" s="132">
        <v>13.492063492063492</v>
      </c>
      <c r="P35" s="132">
        <v>28.225806451612904</v>
      </c>
      <c r="Q35" s="132">
        <v>38.518518518518519</v>
      </c>
      <c r="R35" s="132">
        <v>15.909090909090908</v>
      </c>
      <c r="S35" s="131">
        <v>248</v>
      </c>
    </row>
    <row r="36" spans="1:19" x14ac:dyDescent="0.25">
      <c r="A36" s="131" t="s">
        <v>62</v>
      </c>
      <c r="B36" s="132">
        <v>46.575342465753423</v>
      </c>
      <c r="C36" s="132">
        <v>56</v>
      </c>
      <c r="D36" s="132">
        <v>34.482758620689658</v>
      </c>
      <c r="E36" s="132">
        <v>33.898305084745765</v>
      </c>
      <c r="F36" s="132">
        <v>25</v>
      </c>
      <c r="G36" s="132">
        <v>25</v>
      </c>
      <c r="H36" s="132">
        <v>53.968253968253968</v>
      </c>
      <c r="I36" s="132">
        <v>42.424242424242422</v>
      </c>
      <c r="J36" s="132">
        <v>47.761194029850749</v>
      </c>
      <c r="K36" s="132">
        <v>34.782608695652172</v>
      </c>
      <c r="L36" s="132">
        <v>40</v>
      </c>
      <c r="M36" s="132">
        <v>50</v>
      </c>
      <c r="N36" s="132">
        <v>22.950819672131146</v>
      </c>
      <c r="O36" s="132">
        <v>27.419354838709676</v>
      </c>
      <c r="P36" s="132">
        <v>28.571428571428573</v>
      </c>
      <c r="Q36" s="132">
        <v>51.351351351351354</v>
      </c>
      <c r="R36" s="132">
        <v>11.764705882352942</v>
      </c>
      <c r="S36" s="131">
        <v>115</v>
      </c>
    </row>
    <row r="37" spans="1:19" x14ac:dyDescent="0.25">
      <c r="A37" s="131" t="s">
        <v>23</v>
      </c>
      <c r="B37" s="132">
        <v>34.848484848484851</v>
      </c>
      <c r="C37" s="132">
        <v>37.735849056603776</v>
      </c>
      <c r="D37" s="132">
        <v>20.512820512820515</v>
      </c>
      <c r="E37" s="132">
        <v>20.987654320987655</v>
      </c>
      <c r="F37" s="132">
        <v>25.821596244131456</v>
      </c>
      <c r="G37" s="132">
        <v>20.121951219512194</v>
      </c>
      <c r="H37" s="132">
        <v>28.571428571428573</v>
      </c>
      <c r="I37" s="132">
        <v>25</v>
      </c>
      <c r="J37" s="132">
        <v>44.390243902439025</v>
      </c>
      <c r="K37" s="132">
        <v>19.211822660098523</v>
      </c>
      <c r="L37" s="132">
        <v>29.787234042553191</v>
      </c>
      <c r="M37" s="132">
        <v>42.857142857142854</v>
      </c>
      <c r="N37" s="132">
        <v>26.701570680628272</v>
      </c>
      <c r="O37" s="132">
        <v>18.023255813953487</v>
      </c>
      <c r="P37" s="132">
        <v>20.915032679738562</v>
      </c>
      <c r="Q37" s="132">
        <v>47.004608294930875</v>
      </c>
      <c r="R37" s="132">
        <v>10.416666666666666</v>
      </c>
      <c r="S37" s="131">
        <v>348</v>
      </c>
    </row>
    <row r="38" spans="1:19" x14ac:dyDescent="0.25">
      <c r="A38" s="131" t="s">
        <v>13</v>
      </c>
      <c r="B38" s="132">
        <v>35.430463576158942</v>
      </c>
      <c r="C38" s="132">
        <v>33.663366336633665</v>
      </c>
      <c r="D38" s="132">
        <v>18.320610687022899</v>
      </c>
      <c r="E38" s="132">
        <v>25.461254612546124</v>
      </c>
      <c r="F38" s="132">
        <v>21.070234113712374</v>
      </c>
      <c r="G38" s="132">
        <v>14.8014440433213</v>
      </c>
      <c r="H38" s="132">
        <v>36.333333333333336</v>
      </c>
      <c r="I38" s="132">
        <v>25.517241379310345</v>
      </c>
      <c r="J38" s="132">
        <v>36.482084690553748</v>
      </c>
      <c r="K38" s="132">
        <v>24.213836477987421</v>
      </c>
      <c r="L38" s="132">
        <v>26.421404682274247</v>
      </c>
      <c r="M38" s="132">
        <v>46.372239747634069</v>
      </c>
      <c r="N38" s="132">
        <v>19.718309859154928</v>
      </c>
      <c r="O38" s="132">
        <v>16.363636363636363</v>
      </c>
      <c r="P38" s="132">
        <v>27.819548872180452</v>
      </c>
      <c r="Q38" s="132">
        <v>43.235294117647058</v>
      </c>
      <c r="R38" s="132">
        <v>9.4117647058823533</v>
      </c>
      <c r="S38" s="131">
        <v>525</v>
      </c>
    </row>
    <row r="39" spans="1:19" x14ac:dyDescent="0.25">
      <c r="A39" s="131" t="s">
        <v>14</v>
      </c>
      <c r="B39" s="132">
        <v>37.113402061855673</v>
      </c>
      <c r="C39" s="132">
        <v>43.434343434343432</v>
      </c>
      <c r="D39" s="132">
        <v>31.506849315068493</v>
      </c>
      <c r="E39" s="132">
        <v>29.72972972972973</v>
      </c>
      <c r="F39" s="132">
        <v>22.680412371134022</v>
      </c>
      <c r="G39" s="132">
        <v>16.666666666666668</v>
      </c>
      <c r="H39" s="132">
        <v>37.634408602150536</v>
      </c>
      <c r="I39" s="132">
        <v>22.580645161290324</v>
      </c>
      <c r="J39" s="132">
        <v>42.10526315789474</v>
      </c>
      <c r="K39" s="132">
        <v>23</v>
      </c>
      <c r="L39" s="132">
        <v>26.315789473684209</v>
      </c>
      <c r="M39" s="132">
        <v>51.020408163265309</v>
      </c>
      <c r="N39" s="132">
        <v>19.277108433734941</v>
      </c>
      <c r="O39" s="132">
        <v>16.867469879518072</v>
      </c>
      <c r="P39" s="132">
        <v>31.168831168831169</v>
      </c>
      <c r="Q39" s="132">
        <v>47.058823529411768</v>
      </c>
      <c r="R39" s="132">
        <v>4</v>
      </c>
      <c r="S39" s="131">
        <v>158</v>
      </c>
    </row>
    <row r="40" spans="1:19" x14ac:dyDescent="0.25">
      <c r="A40" s="131" t="s">
        <v>64</v>
      </c>
      <c r="B40" s="132">
        <v>50.892857142857146</v>
      </c>
      <c r="C40" s="132">
        <v>53.508771929824562</v>
      </c>
      <c r="D40" s="132">
        <v>32.67326732673267</v>
      </c>
      <c r="E40" s="132">
        <v>34.343434343434346</v>
      </c>
      <c r="F40" s="132">
        <v>33.027522935779814</v>
      </c>
      <c r="G40" s="132">
        <v>24.752475247524753</v>
      </c>
      <c r="H40" s="132">
        <v>52.293577981651374</v>
      </c>
      <c r="I40" s="132">
        <v>37.5</v>
      </c>
      <c r="J40" s="132">
        <v>45.871559633027523</v>
      </c>
      <c r="K40" s="132">
        <v>33.333333333333336</v>
      </c>
      <c r="L40" s="132">
        <v>34.615384615384613</v>
      </c>
      <c r="M40" s="132">
        <v>59.090909090909093</v>
      </c>
      <c r="N40" s="132">
        <v>36.44859813084112</v>
      </c>
      <c r="O40" s="132">
        <v>28.846153846153847</v>
      </c>
      <c r="P40" s="132">
        <v>38.095238095238095</v>
      </c>
      <c r="Q40" s="132">
        <v>53.097345132743364</v>
      </c>
      <c r="R40" s="132">
        <v>26.315789473684209</v>
      </c>
      <c r="S40" s="131">
        <v>167</v>
      </c>
    </row>
    <row r="41" spans="1:19" x14ac:dyDescent="0.25">
      <c r="A41" s="131" t="s">
        <v>65</v>
      </c>
      <c r="B41" s="132">
        <v>41.247002398081534</v>
      </c>
      <c r="C41" s="132">
        <v>40.380047505938244</v>
      </c>
      <c r="D41" s="132">
        <v>29.350649350649352</v>
      </c>
      <c r="E41" s="132">
        <v>33.082706766917291</v>
      </c>
      <c r="F41" s="132">
        <v>29.345372460496613</v>
      </c>
      <c r="G41" s="132">
        <v>22.303921568627452</v>
      </c>
      <c r="H41" s="132">
        <v>33.415233415233416</v>
      </c>
      <c r="I41" s="132">
        <v>25.242718446601941</v>
      </c>
      <c r="J41" s="132">
        <v>37.677725118483416</v>
      </c>
      <c r="K41" s="132">
        <v>24.782608695652176</v>
      </c>
      <c r="L41" s="132">
        <v>32.629107981220656</v>
      </c>
      <c r="M41" s="132">
        <v>48.364485981308412</v>
      </c>
      <c r="N41" s="132">
        <v>19.548872180451127</v>
      </c>
      <c r="O41" s="132">
        <v>18.004866180048662</v>
      </c>
      <c r="P41" s="132">
        <v>28.981723237597912</v>
      </c>
      <c r="Q41" s="132">
        <v>40.497737556561084</v>
      </c>
      <c r="R41" s="132">
        <v>14.018691588785046</v>
      </c>
      <c r="S41" s="131">
        <v>692</v>
      </c>
    </row>
    <row r="42" spans="1:19" x14ac:dyDescent="0.25">
      <c r="A42" s="131" t="s">
        <v>66</v>
      </c>
      <c r="B42" s="132">
        <v>37.6</v>
      </c>
      <c r="C42" s="132">
        <v>35.433070866141733</v>
      </c>
      <c r="D42" s="132">
        <v>22.33009708737864</v>
      </c>
      <c r="E42" s="132">
        <v>19.047619047619047</v>
      </c>
      <c r="F42" s="132">
        <v>30.434782608695652</v>
      </c>
      <c r="G42" s="132">
        <v>17.821782178217823</v>
      </c>
      <c r="H42" s="132">
        <v>41.525423728813557</v>
      </c>
      <c r="I42" s="132">
        <v>29.166666666666668</v>
      </c>
      <c r="J42" s="132">
        <v>40</v>
      </c>
      <c r="K42" s="132">
        <v>22.764227642276424</v>
      </c>
      <c r="L42" s="132">
        <v>26.086956521739129</v>
      </c>
      <c r="M42" s="132">
        <v>43.801652892561982</v>
      </c>
      <c r="N42" s="132">
        <v>17.117117117117118</v>
      </c>
      <c r="O42" s="132">
        <v>23.853211009174313</v>
      </c>
      <c r="P42" s="132">
        <v>28.30188679245283</v>
      </c>
      <c r="Q42" s="132">
        <v>36.090225563909776</v>
      </c>
      <c r="R42" s="132">
        <v>14.285714285714286</v>
      </c>
      <c r="S42" s="131">
        <v>202</v>
      </c>
    </row>
    <row r="43" spans="1:19" x14ac:dyDescent="0.25">
      <c r="A43" s="131" t="s">
        <v>15</v>
      </c>
      <c r="B43" s="132">
        <v>30.179028132992329</v>
      </c>
      <c r="C43" s="132">
        <v>31.93069306930693</v>
      </c>
      <c r="D43" s="132">
        <v>27.868852459016395</v>
      </c>
      <c r="E43" s="132">
        <v>29.442970822281168</v>
      </c>
      <c r="F43" s="132">
        <v>27.659574468085108</v>
      </c>
      <c r="G43" s="132">
        <v>18.94736842105263</v>
      </c>
      <c r="H43" s="132">
        <v>28.865979381443299</v>
      </c>
      <c r="I43" s="132">
        <v>22.820512820512821</v>
      </c>
      <c r="J43" s="132">
        <v>38.038277511961724</v>
      </c>
      <c r="K43" s="132">
        <v>23.713646532438478</v>
      </c>
      <c r="L43" s="132">
        <v>31.067961165048544</v>
      </c>
      <c r="M43" s="132">
        <v>43.209876543209873</v>
      </c>
      <c r="N43" s="132">
        <v>16.27296587926509</v>
      </c>
      <c r="O43" s="132">
        <v>18.604651162790699</v>
      </c>
      <c r="P43" s="132">
        <v>27.977839335180054</v>
      </c>
      <c r="Q43" s="132">
        <v>40.52757793764988</v>
      </c>
      <c r="R43" s="132">
        <v>13.157894736842104</v>
      </c>
      <c r="S43" s="131">
        <v>627</v>
      </c>
    </row>
    <row r="44" spans="1:19" x14ac:dyDescent="0.25">
      <c r="A44" s="131" t="s">
        <v>16</v>
      </c>
      <c r="B44" s="132">
        <v>37.606837606837608</v>
      </c>
      <c r="C44" s="132">
        <v>42.5</v>
      </c>
      <c r="D44" s="132">
        <v>31.862745098039216</v>
      </c>
      <c r="E44" s="132">
        <v>33.495145631067963</v>
      </c>
      <c r="F44" s="132">
        <v>44.791666666666664</v>
      </c>
      <c r="G44" s="132">
        <v>21.75925925925926</v>
      </c>
      <c r="H44" s="132">
        <v>36.888888888888886</v>
      </c>
      <c r="I44" s="132">
        <v>28.260869565217391</v>
      </c>
      <c r="J44" s="132">
        <v>37.00787401574803</v>
      </c>
      <c r="K44" s="132">
        <v>27.530364372469634</v>
      </c>
      <c r="L44" s="132">
        <v>35.294117647058826</v>
      </c>
      <c r="M44" s="132">
        <v>51.851851851851855</v>
      </c>
      <c r="N44" s="132">
        <v>23.214285714285715</v>
      </c>
      <c r="O44" s="132">
        <v>21.05263157894737</v>
      </c>
      <c r="P44" s="132">
        <v>29.807692307692307</v>
      </c>
      <c r="Q44" s="132">
        <v>47.244094488188978</v>
      </c>
      <c r="R44" s="132">
        <v>22.033898305084747</v>
      </c>
      <c r="S44" s="131">
        <v>387</v>
      </c>
    </row>
    <row r="45" spans="1:19" x14ac:dyDescent="0.25">
      <c r="A45" s="131" t="s">
        <v>17</v>
      </c>
      <c r="B45" s="132">
        <v>43.07692307692308</v>
      </c>
      <c r="C45" s="132">
        <v>54.6875</v>
      </c>
      <c r="D45" s="132">
        <v>27.777777777777779</v>
      </c>
      <c r="E45" s="132">
        <v>25</v>
      </c>
      <c r="F45" s="132">
        <v>19.298245614035089</v>
      </c>
      <c r="G45" s="132">
        <v>5.6603773584905657</v>
      </c>
      <c r="H45" s="132">
        <v>36.666666666666664</v>
      </c>
      <c r="I45" s="132">
        <v>31.578947368421051</v>
      </c>
      <c r="J45" s="132">
        <v>37.5</v>
      </c>
      <c r="K45" s="132">
        <v>28.571428571428573</v>
      </c>
      <c r="L45" s="132">
        <v>28.333333333333332</v>
      </c>
      <c r="M45" s="132">
        <v>54.098360655737707</v>
      </c>
      <c r="N45" s="132">
        <v>34.920634920634917</v>
      </c>
      <c r="O45" s="132">
        <v>20.754716981132077</v>
      </c>
      <c r="P45" s="132">
        <v>28.30188679245283</v>
      </c>
      <c r="Q45" s="132">
        <v>45.901639344262293</v>
      </c>
      <c r="R45" s="132">
        <v>25</v>
      </c>
      <c r="S45" s="131">
        <v>99</v>
      </c>
    </row>
    <row r="46" spans="1:19" x14ac:dyDescent="0.25">
      <c r="A46" s="131" t="s">
        <v>24</v>
      </c>
      <c r="B46" s="132">
        <v>32.710280373831779</v>
      </c>
      <c r="C46" s="132">
        <v>46.086956521739133</v>
      </c>
      <c r="D46" s="132">
        <v>28.40909090909091</v>
      </c>
      <c r="E46" s="132">
        <v>23.655913978494624</v>
      </c>
      <c r="F46" s="132">
        <v>37.096774193548384</v>
      </c>
      <c r="G46" s="132">
        <v>22.471910112359552</v>
      </c>
      <c r="H46" s="132">
        <v>40</v>
      </c>
      <c r="I46" s="132">
        <v>31.313131313131311</v>
      </c>
      <c r="J46" s="132">
        <v>49.090909090909093</v>
      </c>
      <c r="K46" s="132">
        <v>29.310344827586206</v>
      </c>
      <c r="L46" s="132">
        <v>33.333333333333336</v>
      </c>
      <c r="M46" s="132">
        <v>52.136752136752136</v>
      </c>
      <c r="N46" s="132">
        <v>34.653465346534652</v>
      </c>
      <c r="O46" s="132">
        <v>21.739130434782609</v>
      </c>
      <c r="P46" s="132">
        <v>19.512195121951219</v>
      </c>
      <c r="Q46" s="132">
        <v>50.427350427350426</v>
      </c>
      <c r="R46" s="132">
        <v>18.518518518518519</v>
      </c>
      <c r="S46" s="131">
        <v>185</v>
      </c>
    </row>
    <row r="49" spans="1:19" ht="14" x14ac:dyDescent="0.3">
      <c r="A49" s="126" t="s">
        <v>439</v>
      </c>
    </row>
    <row r="50" spans="1:19" ht="14" x14ac:dyDescent="0.3">
      <c r="A50" s="133" t="s">
        <v>158</v>
      </c>
      <c r="B50" s="134" t="s">
        <v>555</v>
      </c>
      <c r="C50" s="134" t="s">
        <v>556</v>
      </c>
      <c r="D50" s="134" t="s">
        <v>557</v>
      </c>
      <c r="E50" s="134" t="s">
        <v>558</v>
      </c>
      <c r="F50" s="134" t="s">
        <v>559</v>
      </c>
      <c r="G50" s="134" t="s">
        <v>560</v>
      </c>
      <c r="H50" s="134" t="s">
        <v>561</v>
      </c>
      <c r="I50" s="134" t="s">
        <v>562</v>
      </c>
      <c r="J50" s="134" t="s">
        <v>563</v>
      </c>
      <c r="K50" s="134" t="s">
        <v>564</v>
      </c>
      <c r="L50" s="134" t="s">
        <v>565</v>
      </c>
      <c r="M50" s="134" t="s">
        <v>566</v>
      </c>
      <c r="N50" s="134" t="s">
        <v>567</v>
      </c>
      <c r="O50" s="134" t="s">
        <v>568</v>
      </c>
      <c r="P50" s="134" t="s">
        <v>569</v>
      </c>
      <c r="Q50" s="134" t="s">
        <v>570</v>
      </c>
      <c r="R50" s="134" t="s">
        <v>571</v>
      </c>
      <c r="S50" s="128" t="s">
        <v>421</v>
      </c>
    </row>
    <row r="51" spans="1:19" x14ac:dyDescent="0.25">
      <c r="A51" s="113" t="s">
        <v>74</v>
      </c>
      <c r="B51" s="132">
        <v>44.367816091954026</v>
      </c>
      <c r="C51" s="132">
        <v>50.99778270509978</v>
      </c>
      <c r="D51" s="132">
        <v>29.973474801061009</v>
      </c>
      <c r="E51" s="132">
        <v>28.385416666666668</v>
      </c>
      <c r="F51" s="132">
        <v>26.732673267326732</v>
      </c>
      <c r="G51" s="132">
        <v>19.42257217847769</v>
      </c>
      <c r="H51" s="132">
        <v>44.230769230769234</v>
      </c>
      <c r="I51" s="132">
        <v>36.492890995260666</v>
      </c>
      <c r="J51" s="132">
        <v>40.909090909090907</v>
      </c>
      <c r="K51" s="132">
        <v>31.192660550458715</v>
      </c>
      <c r="L51" s="132">
        <v>37.192118226600982</v>
      </c>
      <c r="M51" s="132">
        <v>49.886621315192741</v>
      </c>
      <c r="N51" s="132">
        <v>23.844282238442823</v>
      </c>
      <c r="O51" s="132">
        <v>22.137404580152673</v>
      </c>
      <c r="P51" s="132">
        <v>30.789473684210527</v>
      </c>
      <c r="Q51" s="132">
        <v>47.084233261339094</v>
      </c>
      <c r="R51" s="132">
        <v>20.388349514563107</v>
      </c>
      <c r="S51" s="131">
        <v>676</v>
      </c>
    </row>
    <row r="52" spans="1:19" x14ac:dyDescent="0.25">
      <c r="A52" s="110" t="s">
        <v>75</v>
      </c>
      <c r="B52" s="132">
        <v>38.101604278074866</v>
      </c>
      <c r="C52" s="132">
        <v>44.050632911392405</v>
      </c>
      <c r="D52" s="132">
        <v>24.328593996840443</v>
      </c>
      <c r="E52" s="132">
        <v>25.875190258751903</v>
      </c>
      <c r="F52" s="132">
        <v>25.479452054794521</v>
      </c>
      <c r="G52" s="132">
        <v>18.664643399089531</v>
      </c>
      <c r="H52" s="132">
        <v>42.27642276422764</v>
      </c>
      <c r="I52" s="132">
        <v>30.555555555555557</v>
      </c>
      <c r="J52" s="132">
        <v>43.775100401606423</v>
      </c>
      <c r="K52" s="132">
        <v>27.365728900255753</v>
      </c>
      <c r="L52" s="132">
        <v>32.20815752461322</v>
      </c>
      <c r="M52" s="132">
        <v>51.133501259445843</v>
      </c>
      <c r="N52" s="132">
        <v>27.746478873239436</v>
      </c>
      <c r="O52" s="132">
        <v>21.207658321060382</v>
      </c>
      <c r="P52" s="132">
        <v>28.706624605678233</v>
      </c>
      <c r="Q52" s="132">
        <v>46.310432569974552</v>
      </c>
      <c r="R52" s="132">
        <v>15.263157894736842</v>
      </c>
      <c r="S52" s="131">
        <v>1238</v>
      </c>
    </row>
    <row r="53" spans="1:19" x14ac:dyDescent="0.25">
      <c r="A53" s="110" t="s">
        <v>76</v>
      </c>
      <c r="B53" s="132">
        <v>40.625</v>
      </c>
      <c r="C53" s="132">
        <v>45.3125</v>
      </c>
      <c r="D53" s="132">
        <v>26.016260162601625</v>
      </c>
      <c r="E53" s="132">
        <v>27.113237639553429</v>
      </c>
      <c r="F53" s="132">
        <v>28.184281842818429</v>
      </c>
      <c r="G53" s="132">
        <v>17.34375</v>
      </c>
      <c r="H53" s="132">
        <v>39.771101573676681</v>
      </c>
      <c r="I53" s="132">
        <v>29.271708683473388</v>
      </c>
      <c r="J53" s="132">
        <v>41.60982264665757</v>
      </c>
      <c r="K53" s="132">
        <v>28.440366972477065</v>
      </c>
      <c r="L53" s="132">
        <v>33.800841514726507</v>
      </c>
      <c r="M53" s="132">
        <v>53.22164948453608</v>
      </c>
      <c r="N53" s="132">
        <v>25.544267053701017</v>
      </c>
      <c r="O53" s="132">
        <v>18.125960061443934</v>
      </c>
      <c r="P53" s="132">
        <v>28.616852146263913</v>
      </c>
      <c r="Q53" s="132">
        <v>44.233206590621037</v>
      </c>
      <c r="R53" s="132">
        <v>16.243654822335024</v>
      </c>
      <c r="S53" s="131">
        <v>1223</v>
      </c>
    </row>
    <row r="54" spans="1:19" x14ac:dyDescent="0.25">
      <c r="A54" s="110" t="s">
        <v>77</v>
      </c>
      <c r="B54" s="132">
        <v>37.170474516695961</v>
      </c>
      <c r="C54" s="132">
        <v>39.816360601001669</v>
      </c>
      <c r="D54" s="132">
        <v>25.690890481064482</v>
      </c>
      <c r="E54" s="132">
        <v>27.482447342026077</v>
      </c>
      <c r="F54" s="132">
        <v>27.120141342756185</v>
      </c>
      <c r="G54" s="132">
        <v>18.88111888111888</v>
      </c>
      <c r="H54" s="132">
        <v>37.278657968313141</v>
      </c>
      <c r="I54" s="132">
        <v>27.837837837837839</v>
      </c>
      <c r="J54" s="132">
        <v>41.530524505588993</v>
      </c>
      <c r="K54" s="132">
        <v>26.123128119800334</v>
      </c>
      <c r="L54" s="132">
        <v>33.333333333333336</v>
      </c>
      <c r="M54" s="132">
        <v>48.627787307032591</v>
      </c>
      <c r="N54" s="132">
        <v>20.664206642066421</v>
      </c>
      <c r="O54" s="132">
        <v>18.067632850241544</v>
      </c>
      <c r="P54" s="132">
        <v>28.426395939086294</v>
      </c>
      <c r="Q54" s="132">
        <v>42.26973684210526</v>
      </c>
      <c r="R54" s="132">
        <v>12.738853503184714</v>
      </c>
      <c r="S54" s="131">
        <v>1950</v>
      </c>
    </row>
    <row r="55" spans="1:19" x14ac:dyDescent="0.25">
      <c r="A55" s="110" t="s">
        <v>78</v>
      </c>
      <c r="B55" s="132">
        <v>37.724550898203596</v>
      </c>
      <c r="C55" s="132">
        <v>38.033937975424223</v>
      </c>
      <c r="D55" s="132">
        <v>25.856279382135661</v>
      </c>
      <c r="E55" s="132">
        <v>29.199475065616799</v>
      </c>
      <c r="F55" s="132">
        <v>29.47427293064877</v>
      </c>
      <c r="G55" s="132">
        <v>18.187539332913783</v>
      </c>
      <c r="H55" s="132">
        <v>35.68796068796069</v>
      </c>
      <c r="I55" s="132">
        <v>26.746987951807228</v>
      </c>
      <c r="J55" s="132">
        <v>39.518900343642613</v>
      </c>
      <c r="K55" s="132">
        <v>27.153044432254525</v>
      </c>
      <c r="L55" s="132">
        <v>30.194231901118304</v>
      </c>
      <c r="M55" s="132">
        <v>48.825214899713465</v>
      </c>
      <c r="N55" s="132">
        <v>20.856962822936357</v>
      </c>
      <c r="O55" s="132">
        <v>17.800381436745074</v>
      </c>
      <c r="P55" s="132">
        <v>28.276779773785762</v>
      </c>
      <c r="Q55" s="132">
        <v>43.157894736842103</v>
      </c>
      <c r="R55" s="132">
        <v>15.010570824524313</v>
      </c>
      <c r="S55" s="131">
        <v>2870</v>
      </c>
    </row>
    <row r="56" spans="1:19" x14ac:dyDescent="0.25">
      <c r="A56" s="110" t="s">
        <v>79</v>
      </c>
      <c r="B56" s="132">
        <v>36.390658174097666</v>
      </c>
      <c r="C56" s="132">
        <v>38.114754098360656</v>
      </c>
      <c r="D56" s="132">
        <v>27.35674676524954</v>
      </c>
      <c r="E56" s="132">
        <v>31.025179856115109</v>
      </c>
      <c r="F56" s="132">
        <v>27.380482022915842</v>
      </c>
      <c r="G56" s="132">
        <v>20.106761565836297</v>
      </c>
      <c r="H56" s="132">
        <v>35.664335664335667</v>
      </c>
      <c r="I56" s="132">
        <v>24.862112855324565</v>
      </c>
      <c r="J56" s="132">
        <v>40.423830467812877</v>
      </c>
      <c r="K56" s="132">
        <v>24.649753881105642</v>
      </c>
      <c r="L56" s="132">
        <v>30.622977346278319</v>
      </c>
      <c r="M56" s="132">
        <v>47.039871123640758</v>
      </c>
      <c r="N56" s="132">
        <v>17.528483786152499</v>
      </c>
      <c r="O56" s="132">
        <v>18.652173913043477</v>
      </c>
      <c r="P56" s="132">
        <v>28.247803975959314</v>
      </c>
      <c r="Q56" s="132">
        <v>40.056247488951385</v>
      </c>
      <c r="R56" s="132">
        <v>13.141993957703928</v>
      </c>
      <c r="S56" s="131">
        <v>3899</v>
      </c>
    </row>
    <row r="58" spans="1:19" ht="14" x14ac:dyDescent="0.3">
      <c r="A58" s="128" t="s">
        <v>159</v>
      </c>
      <c r="B58" s="134" t="s">
        <v>555</v>
      </c>
      <c r="C58" s="134" t="s">
        <v>556</v>
      </c>
      <c r="D58" s="134" t="s">
        <v>557</v>
      </c>
      <c r="E58" s="134" t="s">
        <v>558</v>
      </c>
      <c r="F58" s="134" t="s">
        <v>559</v>
      </c>
      <c r="G58" s="134" t="s">
        <v>560</v>
      </c>
      <c r="H58" s="134" t="s">
        <v>561</v>
      </c>
      <c r="I58" s="134" t="s">
        <v>562</v>
      </c>
      <c r="J58" s="134" t="s">
        <v>563</v>
      </c>
      <c r="K58" s="134" t="s">
        <v>564</v>
      </c>
      <c r="L58" s="134" t="s">
        <v>565</v>
      </c>
      <c r="M58" s="134" t="s">
        <v>566</v>
      </c>
      <c r="N58" s="134" t="s">
        <v>567</v>
      </c>
      <c r="O58" s="134" t="s">
        <v>568</v>
      </c>
      <c r="P58" s="134" t="s">
        <v>569</v>
      </c>
      <c r="Q58" s="134" t="s">
        <v>570</v>
      </c>
      <c r="R58" s="134" t="s">
        <v>571</v>
      </c>
      <c r="S58" s="128" t="s">
        <v>421</v>
      </c>
    </row>
    <row r="59" spans="1:19" x14ac:dyDescent="0.25">
      <c r="B59" s="132">
        <v>37.941259531205873</v>
      </c>
      <c r="C59" s="132">
        <v>40.551930396954866</v>
      </c>
      <c r="D59" s="132">
        <v>26.458832933653078</v>
      </c>
      <c r="E59" s="132">
        <v>28.972399812880088</v>
      </c>
      <c r="F59" s="132">
        <v>27.707223815376214</v>
      </c>
      <c r="G59" s="132">
        <v>18.993556305615218</v>
      </c>
      <c r="H59" s="132">
        <v>37.576731949722301</v>
      </c>
      <c r="I59" s="132">
        <v>27.523986825146785</v>
      </c>
      <c r="J59" s="132">
        <v>40.873015873015873</v>
      </c>
      <c r="K59" s="132">
        <v>26.50712697789983</v>
      </c>
      <c r="L59" s="132">
        <v>31.797752808988765</v>
      </c>
      <c r="M59" s="132">
        <v>48.966914247130319</v>
      </c>
      <c r="N59" s="132">
        <v>21.085317166937749</v>
      </c>
      <c r="O59" s="132">
        <v>18.775448650278992</v>
      </c>
      <c r="P59" s="132">
        <v>28.519224658404831</v>
      </c>
      <c r="Q59" s="132">
        <v>42.673555908850027</v>
      </c>
      <c r="R59" s="132">
        <v>14.440433212996389</v>
      </c>
      <c r="S59" s="131">
        <v>11856</v>
      </c>
    </row>
    <row r="62" spans="1:19" ht="14" x14ac:dyDescent="0.3">
      <c r="A62" s="129" t="s">
        <v>555</v>
      </c>
      <c r="B62" s="104" t="s">
        <v>535</v>
      </c>
      <c r="C62" s="132">
        <v>37.941259531205873</v>
      </c>
    </row>
    <row r="63" spans="1:19" ht="14" x14ac:dyDescent="0.3">
      <c r="A63" s="129" t="s">
        <v>556</v>
      </c>
      <c r="B63" s="104" t="s">
        <v>536</v>
      </c>
      <c r="C63" s="132">
        <v>40.551930396954866</v>
      </c>
    </row>
    <row r="64" spans="1:19" ht="14" x14ac:dyDescent="0.3">
      <c r="A64" s="129" t="s">
        <v>557</v>
      </c>
      <c r="B64" s="104" t="s">
        <v>537</v>
      </c>
      <c r="C64" s="132">
        <v>26.458832933653078</v>
      </c>
    </row>
    <row r="65" spans="1:3" ht="14" x14ac:dyDescent="0.3">
      <c r="A65" s="129" t="s">
        <v>558</v>
      </c>
      <c r="B65" s="104" t="s">
        <v>538</v>
      </c>
      <c r="C65" s="132">
        <v>28.972399812880088</v>
      </c>
    </row>
    <row r="66" spans="1:3" ht="14" x14ac:dyDescent="0.3">
      <c r="A66" s="129" t="s">
        <v>559</v>
      </c>
      <c r="B66" s="104" t="s">
        <v>539</v>
      </c>
      <c r="C66" s="132">
        <v>27.707223815376214</v>
      </c>
    </row>
    <row r="67" spans="1:3" ht="14" x14ac:dyDescent="0.3">
      <c r="A67" s="129" t="s">
        <v>560</v>
      </c>
      <c r="B67" s="104" t="s">
        <v>540</v>
      </c>
      <c r="C67" s="132">
        <v>18.993556305615218</v>
      </c>
    </row>
    <row r="68" spans="1:3" ht="14" x14ac:dyDescent="0.3">
      <c r="A68" s="129" t="s">
        <v>561</v>
      </c>
      <c r="B68" s="104" t="s">
        <v>541</v>
      </c>
      <c r="C68" s="132">
        <v>37.576731949722301</v>
      </c>
    </row>
    <row r="69" spans="1:3" ht="14" x14ac:dyDescent="0.3">
      <c r="A69" s="129" t="s">
        <v>562</v>
      </c>
      <c r="B69" s="104" t="s">
        <v>542</v>
      </c>
      <c r="C69" s="132">
        <v>27.523986825146785</v>
      </c>
    </row>
    <row r="70" spans="1:3" ht="14" x14ac:dyDescent="0.3">
      <c r="A70" s="129" t="s">
        <v>563</v>
      </c>
      <c r="B70" s="104" t="s">
        <v>543</v>
      </c>
      <c r="C70" s="132">
        <v>40.873015873015873</v>
      </c>
    </row>
    <row r="71" spans="1:3" ht="14" x14ac:dyDescent="0.3">
      <c r="A71" s="129" t="s">
        <v>564</v>
      </c>
      <c r="B71" s="104" t="s">
        <v>544</v>
      </c>
      <c r="C71" s="132">
        <v>26.50712697789983</v>
      </c>
    </row>
    <row r="72" spans="1:3" ht="14" x14ac:dyDescent="0.3">
      <c r="A72" s="129" t="s">
        <v>565</v>
      </c>
      <c r="B72" s="104" t="s">
        <v>545</v>
      </c>
      <c r="C72" s="132">
        <v>31.797752808988765</v>
      </c>
    </row>
    <row r="73" spans="1:3" ht="14" x14ac:dyDescent="0.3">
      <c r="A73" s="129" t="s">
        <v>566</v>
      </c>
      <c r="B73" s="104" t="s">
        <v>546</v>
      </c>
      <c r="C73" s="132">
        <v>48.966914247130319</v>
      </c>
    </row>
    <row r="74" spans="1:3" ht="14" x14ac:dyDescent="0.3">
      <c r="A74" s="129" t="s">
        <v>567</v>
      </c>
      <c r="B74" s="104" t="s">
        <v>547</v>
      </c>
      <c r="C74" s="132">
        <v>21.085317166937749</v>
      </c>
    </row>
    <row r="75" spans="1:3" ht="14" x14ac:dyDescent="0.3">
      <c r="A75" s="129" t="s">
        <v>568</v>
      </c>
      <c r="B75" s="104" t="s">
        <v>548</v>
      </c>
      <c r="C75" s="132">
        <v>18.775448650278992</v>
      </c>
    </row>
    <row r="76" spans="1:3" ht="14" x14ac:dyDescent="0.3">
      <c r="A76" s="129" t="s">
        <v>569</v>
      </c>
      <c r="B76" s="104" t="s">
        <v>549</v>
      </c>
      <c r="C76" s="132">
        <v>28.519224658404831</v>
      </c>
    </row>
    <row r="77" spans="1:3" ht="14" x14ac:dyDescent="0.3">
      <c r="A77" s="129" t="s">
        <v>570</v>
      </c>
      <c r="B77" s="104" t="s">
        <v>550</v>
      </c>
      <c r="C77" s="132">
        <v>42.673555908850027</v>
      </c>
    </row>
    <row r="78" spans="1:3" ht="14" x14ac:dyDescent="0.3">
      <c r="A78" s="129" t="s">
        <v>571</v>
      </c>
      <c r="B78" s="104" t="s">
        <v>551</v>
      </c>
      <c r="C78" s="132">
        <v>14.440433212996389</v>
      </c>
    </row>
  </sheetData>
  <pageMargins left="0.7" right="0.7" top="0.75" bottom="0.75" header="0.3" footer="0.3"/>
  <pageSetup paperSize="9" orientation="portrait" horizontalDpi="360" verticalDpi="360" r:id="rId1"/>
  <tableParts count="2">
    <tablePart r:id="rId2"/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orkbookViewId="0">
      <selection activeCell="A6" sqref="A6"/>
    </sheetView>
  </sheetViews>
  <sheetFormatPr defaultColWidth="8.7109375" defaultRowHeight="13.5" x14ac:dyDescent="0.25"/>
  <cols>
    <col min="1" max="1" width="17.5" style="105" customWidth="1"/>
    <col min="2" max="16384" width="8.7109375" style="105"/>
  </cols>
  <sheetData>
    <row r="1" spans="1:14" x14ac:dyDescent="0.25">
      <c r="A1" s="135" t="s">
        <v>572</v>
      </c>
    </row>
    <row r="2" spans="1:14" x14ac:dyDescent="0.25">
      <c r="A2" s="104" t="s">
        <v>573</v>
      </c>
    </row>
    <row r="3" spans="1:14" x14ac:dyDescent="0.25">
      <c r="A3" s="105" t="s">
        <v>741</v>
      </c>
    </row>
    <row r="5" spans="1:14" ht="14" x14ac:dyDescent="0.3">
      <c r="A5" s="126" t="s">
        <v>435</v>
      </c>
    </row>
    <row r="6" spans="1:14" ht="14" x14ac:dyDescent="0.3">
      <c r="A6" s="128" t="s">
        <v>157</v>
      </c>
      <c r="B6" s="129" t="s">
        <v>574</v>
      </c>
      <c r="C6" s="129" t="s">
        <v>575</v>
      </c>
      <c r="D6" s="129" t="s">
        <v>576</v>
      </c>
      <c r="E6" s="129" t="s">
        <v>577</v>
      </c>
      <c r="F6" s="129" t="s">
        <v>578</v>
      </c>
      <c r="G6" s="129" t="s">
        <v>579</v>
      </c>
      <c r="H6" s="129" t="s">
        <v>580</v>
      </c>
      <c r="I6" s="129" t="s">
        <v>581</v>
      </c>
      <c r="J6" s="129" t="s">
        <v>582</v>
      </c>
      <c r="K6" s="129" t="s">
        <v>583</v>
      </c>
      <c r="L6" s="129" t="s">
        <v>584</v>
      </c>
      <c r="M6" s="129" t="s">
        <v>585</v>
      </c>
      <c r="N6" s="129" t="s">
        <v>421</v>
      </c>
    </row>
    <row r="7" spans="1:14" x14ac:dyDescent="0.25">
      <c r="A7" s="131" t="s">
        <v>42</v>
      </c>
      <c r="B7" s="132">
        <v>6.25</v>
      </c>
      <c r="C7" s="132">
        <v>3.5714285714285716</v>
      </c>
      <c r="D7" s="132">
        <v>9.0090090090090094</v>
      </c>
      <c r="E7" s="132">
        <v>16.216216216216218</v>
      </c>
      <c r="F7" s="132">
        <v>3.6036036036036037</v>
      </c>
      <c r="G7" s="132">
        <v>1.8018018018018018</v>
      </c>
      <c r="H7" s="132">
        <v>4.4642857142857144</v>
      </c>
      <c r="I7" s="132">
        <v>9.9099099099099099</v>
      </c>
      <c r="J7" s="132">
        <v>9.9099099099099099</v>
      </c>
      <c r="K7" s="132">
        <v>15.178571428571429</v>
      </c>
      <c r="L7" s="132">
        <v>0</v>
      </c>
      <c r="M7" s="132">
        <v>10.909090909090908</v>
      </c>
      <c r="N7" s="105">
        <v>119</v>
      </c>
    </row>
    <row r="8" spans="1:14" x14ac:dyDescent="0.25">
      <c r="A8" s="131" t="s">
        <v>43</v>
      </c>
      <c r="B8" s="132">
        <v>10.110584518167457</v>
      </c>
      <c r="C8" s="132">
        <v>12.836767036450079</v>
      </c>
      <c r="D8" s="132">
        <v>13.942307692307692</v>
      </c>
      <c r="E8" s="132">
        <v>23.89240506329114</v>
      </c>
      <c r="F8" s="132">
        <v>4.96</v>
      </c>
      <c r="G8" s="132">
        <v>3.52</v>
      </c>
      <c r="H8" s="132">
        <v>3.0303030303030303</v>
      </c>
      <c r="I8" s="132">
        <v>2.2328548644338118</v>
      </c>
      <c r="J8" s="132">
        <v>11.446740858505564</v>
      </c>
      <c r="K8" s="132">
        <v>6.5390749601275919</v>
      </c>
      <c r="L8" s="132">
        <v>1.9230769230769231</v>
      </c>
      <c r="M8" s="132">
        <v>7.9617834394904454</v>
      </c>
      <c r="N8" s="105">
        <v>667</v>
      </c>
    </row>
    <row r="9" spans="1:14" x14ac:dyDescent="0.25">
      <c r="A9" s="131" t="s">
        <v>44</v>
      </c>
      <c r="B9" s="132">
        <v>12.179487179487179</v>
      </c>
      <c r="C9" s="132">
        <v>6.4516129032258061</v>
      </c>
      <c r="D9" s="132">
        <v>10.96774193548387</v>
      </c>
      <c r="E9" s="132">
        <v>16.025641025641026</v>
      </c>
      <c r="F9" s="132">
        <v>5.806451612903226</v>
      </c>
      <c r="G9" s="132">
        <v>0.64935064935064934</v>
      </c>
      <c r="H9" s="132">
        <v>5.7324840764331206</v>
      </c>
      <c r="I9" s="132">
        <v>5.806451612903226</v>
      </c>
      <c r="J9" s="132">
        <v>12.337662337662337</v>
      </c>
      <c r="K9" s="132">
        <v>8.4967320261437909</v>
      </c>
      <c r="L9" s="132">
        <v>3.2467532467532467</v>
      </c>
      <c r="M9" s="132">
        <v>12.179487179487179</v>
      </c>
      <c r="N9" s="105">
        <v>165</v>
      </c>
    </row>
    <row r="10" spans="1:14" x14ac:dyDescent="0.25">
      <c r="A10" s="131" t="s">
        <v>68</v>
      </c>
      <c r="B10" s="132">
        <v>8.3752093802345051</v>
      </c>
      <c r="C10" s="132">
        <v>12.859560067681896</v>
      </c>
      <c r="D10" s="132">
        <v>7.7834179357021993</v>
      </c>
      <c r="E10" s="132">
        <v>18.760469011725291</v>
      </c>
      <c r="F10" s="132">
        <v>5.882352941176471</v>
      </c>
      <c r="G10" s="132">
        <v>3.0405405405405403</v>
      </c>
      <c r="H10" s="132">
        <v>4.2229729729729728</v>
      </c>
      <c r="I10" s="132">
        <v>2.3648648648648649</v>
      </c>
      <c r="J10" s="132">
        <v>11.784511784511784</v>
      </c>
      <c r="K10" s="132">
        <v>6.3545150501672243</v>
      </c>
      <c r="L10" s="132">
        <v>2.5337837837837838</v>
      </c>
      <c r="M10" s="132">
        <v>9.0909090909090917</v>
      </c>
      <c r="N10" s="105">
        <v>624</v>
      </c>
    </row>
    <row r="11" spans="1:14" x14ac:dyDescent="0.25">
      <c r="A11" s="131" t="s">
        <v>2</v>
      </c>
      <c r="B11" s="132">
        <v>8.8888888888888893</v>
      </c>
      <c r="C11" s="132">
        <v>1.098901098901099</v>
      </c>
      <c r="D11" s="132">
        <v>6.7415730337078648</v>
      </c>
      <c r="E11" s="132">
        <v>20</v>
      </c>
      <c r="F11" s="132">
        <v>5.617977528089888</v>
      </c>
      <c r="G11" s="132">
        <v>4.4943820224719104</v>
      </c>
      <c r="H11" s="132">
        <v>7.5268817204301079</v>
      </c>
      <c r="I11" s="132">
        <v>11.111111111111111</v>
      </c>
      <c r="J11" s="132">
        <v>5.5555555555555554</v>
      </c>
      <c r="K11" s="132">
        <v>19.780219780219781</v>
      </c>
      <c r="L11" s="132">
        <v>0</v>
      </c>
      <c r="M11" s="132">
        <v>14.130434782608695</v>
      </c>
      <c r="N11" s="105">
        <v>99</v>
      </c>
    </row>
    <row r="12" spans="1:14" x14ac:dyDescent="0.25">
      <c r="A12" s="131" t="s">
        <v>3</v>
      </c>
      <c r="B12" s="132">
        <v>13.588850174216027</v>
      </c>
      <c r="C12" s="132">
        <v>8.3333333333333339</v>
      </c>
      <c r="D12" s="132">
        <v>7.0671378091872787</v>
      </c>
      <c r="E12" s="132">
        <v>17.832167832167833</v>
      </c>
      <c r="F12" s="132">
        <v>5.9859154929577461</v>
      </c>
      <c r="G12" s="132">
        <v>2.464788732394366</v>
      </c>
      <c r="H12" s="132">
        <v>6.3380281690140849</v>
      </c>
      <c r="I12" s="132">
        <v>5.9440559440559442</v>
      </c>
      <c r="J12" s="132">
        <v>12.056737588652481</v>
      </c>
      <c r="K12" s="132">
        <v>9.4076655052264808</v>
      </c>
      <c r="L12" s="132">
        <v>2.7972027972027971</v>
      </c>
      <c r="M12" s="132">
        <v>10.600706713780919</v>
      </c>
      <c r="N12" s="105">
        <v>301</v>
      </c>
    </row>
    <row r="13" spans="1:14" x14ac:dyDescent="0.25">
      <c r="A13" s="131" t="s">
        <v>4</v>
      </c>
      <c r="B13" s="132">
        <v>6.8468468468468471</v>
      </c>
      <c r="C13" s="132">
        <v>6.3520871143375679</v>
      </c>
      <c r="D13" s="132">
        <v>11.131386861313869</v>
      </c>
      <c r="E13" s="132">
        <v>21.195652173913043</v>
      </c>
      <c r="F13" s="132">
        <v>6.7641681901279709</v>
      </c>
      <c r="G13" s="132">
        <v>2.5594149908592323</v>
      </c>
      <c r="H13" s="132">
        <v>5.2823315118397085</v>
      </c>
      <c r="I13" s="132">
        <v>6.0218978102189782</v>
      </c>
      <c r="J13" s="132">
        <v>18.032786885245901</v>
      </c>
      <c r="K13" s="132">
        <v>11.531531531531531</v>
      </c>
      <c r="L13" s="132">
        <v>2.7675276752767526</v>
      </c>
      <c r="M13" s="132">
        <v>13.686131386861314</v>
      </c>
      <c r="N13" s="105">
        <v>600</v>
      </c>
    </row>
    <row r="14" spans="1:14" x14ac:dyDescent="0.25">
      <c r="A14" s="131" t="s">
        <v>46</v>
      </c>
      <c r="B14" s="132">
        <v>13.669064748201439</v>
      </c>
      <c r="C14" s="132">
        <v>6.5693430656934311</v>
      </c>
      <c r="D14" s="132">
        <v>5.882352941176471</v>
      </c>
      <c r="E14" s="132">
        <v>18.840579710144926</v>
      </c>
      <c r="F14" s="132">
        <v>6.5693430656934311</v>
      </c>
      <c r="G14" s="132">
        <v>4.4444444444444446</v>
      </c>
      <c r="H14" s="132">
        <v>2.1897810218978102</v>
      </c>
      <c r="I14" s="132">
        <v>3.6496350364963503</v>
      </c>
      <c r="J14" s="132">
        <v>16.788321167883211</v>
      </c>
      <c r="K14" s="132">
        <v>6.4748201438848918</v>
      </c>
      <c r="L14" s="132">
        <v>6.5693430656934311</v>
      </c>
      <c r="M14" s="132">
        <v>16.176470588235293</v>
      </c>
      <c r="N14" s="105">
        <v>148</v>
      </c>
    </row>
    <row r="15" spans="1:14" x14ac:dyDescent="0.25">
      <c r="A15" s="131" t="s">
        <v>5</v>
      </c>
      <c r="B15" s="132">
        <v>6.6343042071197411</v>
      </c>
      <c r="C15" s="132">
        <v>12.135922330097088</v>
      </c>
      <c r="D15" s="132">
        <v>6.3621533442088092</v>
      </c>
      <c r="E15" s="132">
        <v>19.870759289176089</v>
      </c>
      <c r="F15" s="132">
        <v>7.4918566775244297</v>
      </c>
      <c r="G15" s="132">
        <v>5.2287581699346406</v>
      </c>
      <c r="H15" s="132">
        <v>5.5284552845528454</v>
      </c>
      <c r="I15" s="132">
        <v>4.2071197411003238</v>
      </c>
      <c r="J15" s="132">
        <v>17.426710097719869</v>
      </c>
      <c r="K15" s="132">
        <v>9.163987138263666</v>
      </c>
      <c r="L15" s="132">
        <v>3.0995106035889068</v>
      </c>
      <c r="M15" s="132">
        <v>10.24390243902439</v>
      </c>
      <c r="N15" s="105">
        <v>650</v>
      </c>
    </row>
    <row r="16" spans="1:14" x14ac:dyDescent="0.25">
      <c r="A16" s="131" t="s">
        <v>48</v>
      </c>
      <c r="B16" s="132">
        <v>10.655737704918034</v>
      </c>
      <c r="C16" s="132">
        <v>3.3057851239669422</v>
      </c>
      <c r="D16" s="132">
        <v>4.9586776859504136</v>
      </c>
      <c r="E16" s="132">
        <v>30.327868852459016</v>
      </c>
      <c r="F16" s="132">
        <v>7.5</v>
      </c>
      <c r="G16" s="132">
        <v>0.83333333333333337</v>
      </c>
      <c r="H16" s="132">
        <v>10.483870967741936</v>
      </c>
      <c r="I16" s="132">
        <v>10.743801652892563</v>
      </c>
      <c r="J16" s="132">
        <v>21.951219512195124</v>
      </c>
      <c r="K16" s="132">
        <v>16.260162601626018</v>
      </c>
      <c r="L16" s="132">
        <v>1.6528925619834711</v>
      </c>
      <c r="M16" s="132">
        <v>12.295081967213115</v>
      </c>
      <c r="N16" s="105">
        <v>135</v>
      </c>
    </row>
    <row r="17" spans="1:14" x14ac:dyDescent="0.25">
      <c r="A17" s="131" t="s">
        <v>49</v>
      </c>
      <c r="B17" s="132">
        <v>14.444444444444445</v>
      </c>
      <c r="C17" s="132">
        <v>5.4945054945054945</v>
      </c>
      <c r="D17" s="132">
        <v>5.5555555555555554</v>
      </c>
      <c r="E17" s="132">
        <v>26.666666666666668</v>
      </c>
      <c r="F17" s="132">
        <v>14.285714285714286</v>
      </c>
      <c r="G17" s="132">
        <v>1.1111111111111112</v>
      </c>
      <c r="H17" s="132">
        <v>11.956521739130435</v>
      </c>
      <c r="I17" s="132">
        <v>11.111111111111111</v>
      </c>
      <c r="J17" s="132">
        <v>16.853932584269664</v>
      </c>
      <c r="K17" s="132">
        <v>13.684210526315789</v>
      </c>
      <c r="L17" s="132">
        <v>3.3707865168539324</v>
      </c>
      <c r="M17" s="132">
        <v>20.224719101123597</v>
      </c>
      <c r="N17" s="105">
        <v>105</v>
      </c>
    </row>
    <row r="18" spans="1:14" x14ac:dyDescent="0.25">
      <c r="A18" s="131" t="s">
        <v>50</v>
      </c>
      <c r="B18" s="132">
        <v>15.340909090909092</v>
      </c>
      <c r="C18" s="132">
        <v>6.9364161849710984</v>
      </c>
      <c r="D18" s="132">
        <v>7.60233918128655</v>
      </c>
      <c r="E18" s="132">
        <v>28.571428571428573</v>
      </c>
      <c r="F18" s="132">
        <v>13.953488372093023</v>
      </c>
      <c r="G18" s="132">
        <v>1.7341040462427746</v>
      </c>
      <c r="H18" s="132">
        <v>6.3583815028901736</v>
      </c>
      <c r="I18" s="132">
        <v>7.5144508670520231</v>
      </c>
      <c r="J18" s="132">
        <v>15.606936416184972</v>
      </c>
      <c r="K18" s="132">
        <v>19.428571428571427</v>
      </c>
      <c r="L18" s="132">
        <v>5.2325581395348841</v>
      </c>
      <c r="M18" s="132">
        <v>15.116279069767442</v>
      </c>
      <c r="N18" s="105">
        <v>194</v>
      </c>
    </row>
    <row r="19" spans="1:14" x14ac:dyDescent="0.25">
      <c r="A19" s="131" t="s">
        <v>69</v>
      </c>
      <c r="B19" s="132">
        <v>10.248447204968944</v>
      </c>
      <c r="C19" s="132">
        <v>7.8125</v>
      </c>
      <c r="D19" s="132">
        <v>6.2893081761006293</v>
      </c>
      <c r="E19" s="132">
        <v>29.595015576323988</v>
      </c>
      <c r="F19" s="132">
        <v>9.2356687898089174</v>
      </c>
      <c r="G19" s="132">
        <v>2.8301886792452828</v>
      </c>
      <c r="H19" s="132">
        <v>5.5727554179566567</v>
      </c>
      <c r="I19" s="132">
        <v>5.3459119496855347</v>
      </c>
      <c r="J19" s="132">
        <v>14.240506329113924</v>
      </c>
      <c r="K19" s="132">
        <v>9.4224924012158056</v>
      </c>
      <c r="L19" s="132">
        <v>1.5723270440251573</v>
      </c>
      <c r="M19" s="132">
        <v>13.8801261829653</v>
      </c>
      <c r="N19" s="105">
        <v>350</v>
      </c>
    </row>
    <row r="20" spans="1:14" x14ac:dyDescent="0.25">
      <c r="A20" s="131" t="s">
        <v>6</v>
      </c>
      <c r="B20" s="132">
        <v>5.2777777777777777</v>
      </c>
      <c r="C20" s="132">
        <v>8.1460674157303377</v>
      </c>
      <c r="D20" s="132">
        <v>4.8710601719197708</v>
      </c>
      <c r="E20" s="132">
        <v>19.03409090909091</v>
      </c>
      <c r="F20" s="132">
        <v>7.9772079772079776</v>
      </c>
      <c r="G20" s="132">
        <v>1.1461318051575931</v>
      </c>
      <c r="H20" s="132">
        <v>3.9660056657223794</v>
      </c>
      <c r="I20" s="132">
        <v>2.8490028490028489</v>
      </c>
      <c r="J20" s="132">
        <v>16.477272727272727</v>
      </c>
      <c r="K20" s="132">
        <v>9.8314606741573041</v>
      </c>
      <c r="L20" s="132">
        <v>3.7037037037037037</v>
      </c>
      <c r="M20" s="132">
        <v>9.4017094017094021</v>
      </c>
      <c r="N20" s="105">
        <v>389</v>
      </c>
    </row>
    <row r="21" spans="1:14" x14ac:dyDescent="0.25">
      <c r="A21" s="131" t="s">
        <v>70</v>
      </c>
      <c r="B21" s="132">
        <v>15.74074074074074</v>
      </c>
      <c r="C21" s="132">
        <v>2.8301886792452828</v>
      </c>
      <c r="D21" s="132">
        <v>8.878504672897197</v>
      </c>
      <c r="E21" s="132">
        <v>26.291079812206572</v>
      </c>
      <c r="F21" s="132">
        <v>16.901408450704224</v>
      </c>
      <c r="G21" s="132">
        <v>3.3018867924528301</v>
      </c>
      <c r="H21" s="132">
        <v>7.1428571428571432</v>
      </c>
      <c r="I21" s="132">
        <v>12.264150943396226</v>
      </c>
      <c r="J21" s="132">
        <v>12.380952380952381</v>
      </c>
      <c r="K21" s="132">
        <v>25</v>
      </c>
      <c r="L21" s="132">
        <v>1.4492753623188406</v>
      </c>
      <c r="M21" s="132">
        <v>18.48341232227488</v>
      </c>
      <c r="N21" s="105">
        <v>239</v>
      </c>
    </row>
    <row r="22" spans="1:14" x14ac:dyDescent="0.25">
      <c r="A22" s="131" t="s">
        <v>7</v>
      </c>
      <c r="B22" s="132">
        <v>11.39240506329114</v>
      </c>
      <c r="C22" s="132">
        <v>7.1895424836601309</v>
      </c>
      <c r="D22" s="132">
        <v>7.2368421052631575</v>
      </c>
      <c r="E22" s="132">
        <v>22.077922077922079</v>
      </c>
      <c r="F22" s="132">
        <v>10.526315789473685</v>
      </c>
      <c r="G22" s="132">
        <v>1.948051948051948</v>
      </c>
      <c r="H22" s="132">
        <v>7.1895424836601309</v>
      </c>
      <c r="I22" s="132">
        <v>5.2287581699346406</v>
      </c>
      <c r="J22" s="132">
        <v>20.915032679738562</v>
      </c>
      <c r="K22" s="132">
        <v>11.111111111111111</v>
      </c>
      <c r="L22" s="132">
        <v>3.3112582781456954</v>
      </c>
      <c r="M22" s="132">
        <v>11.111111111111111</v>
      </c>
      <c r="N22" s="105">
        <v>168</v>
      </c>
    </row>
    <row r="23" spans="1:14" x14ac:dyDescent="0.25">
      <c r="A23" s="131" t="s">
        <v>22</v>
      </c>
      <c r="B23" s="132">
        <v>22.699386503067483</v>
      </c>
      <c r="C23" s="132">
        <v>8.75</v>
      </c>
      <c r="D23" s="132">
        <v>8.1761006289308185</v>
      </c>
      <c r="E23" s="132">
        <v>29.11392405063291</v>
      </c>
      <c r="F23" s="132">
        <v>9.4936708860759502</v>
      </c>
      <c r="G23" s="132">
        <v>5.1282051282051286</v>
      </c>
      <c r="H23" s="132">
        <v>5.0314465408805029</v>
      </c>
      <c r="I23" s="132">
        <v>8.125</v>
      </c>
      <c r="J23" s="132">
        <v>12.578616352201259</v>
      </c>
      <c r="K23" s="132">
        <v>13.291139240506329</v>
      </c>
      <c r="L23" s="132">
        <v>2.5157232704402515</v>
      </c>
      <c r="M23" s="132">
        <v>17.391304347826086</v>
      </c>
      <c r="N23" s="105">
        <v>177</v>
      </c>
    </row>
    <row r="24" spans="1:14" x14ac:dyDescent="0.25">
      <c r="A24" s="131" t="s">
        <v>8</v>
      </c>
      <c r="B24" s="132">
        <v>10.453648915187376</v>
      </c>
      <c r="C24" s="132">
        <v>6.4</v>
      </c>
      <c r="D24" s="132">
        <v>5.241935483870968</v>
      </c>
      <c r="E24" s="132">
        <v>23.658051689860834</v>
      </c>
      <c r="F24" s="132">
        <v>7.831325301204819</v>
      </c>
      <c r="G24" s="132">
        <v>2.4193548387096775</v>
      </c>
      <c r="H24" s="132">
        <v>3.5856573705179282</v>
      </c>
      <c r="I24" s="132">
        <v>4.618473895582329</v>
      </c>
      <c r="J24" s="132">
        <v>18.036072144288578</v>
      </c>
      <c r="K24" s="132">
        <v>9.3069306930693063</v>
      </c>
      <c r="L24" s="132">
        <v>3.6217303822937628</v>
      </c>
      <c r="M24" s="132">
        <v>10.159362549800797</v>
      </c>
      <c r="N24" s="105">
        <v>533</v>
      </c>
    </row>
    <row r="25" spans="1:14" x14ac:dyDescent="0.25">
      <c r="A25" s="131" t="s">
        <v>9</v>
      </c>
      <c r="B25" s="132">
        <v>13.114754098360656</v>
      </c>
      <c r="C25" s="132">
        <v>14.227642276422765</v>
      </c>
      <c r="D25" s="132">
        <v>8.1967213114754092</v>
      </c>
      <c r="E25" s="132">
        <v>23.170731707317074</v>
      </c>
      <c r="F25" s="132">
        <v>4.166666666666667</v>
      </c>
      <c r="G25" s="132">
        <v>0.82304526748971196</v>
      </c>
      <c r="H25" s="132">
        <v>5.3061224489795915</v>
      </c>
      <c r="I25" s="132">
        <v>4.1493775933609962</v>
      </c>
      <c r="J25" s="132">
        <v>10.655737704918034</v>
      </c>
      <c r="K25" s="132">
        <v>10.121457489878543</v>
      </c>
      <c r="L25" s="132">
        <v>1.2396694214876034</v>
      </c>
      <c r="M25" s="132">
        <v>9.5435684647302903</v>
      </c>
      <c r="N25" s="105">
        <v>262</v>
      </c>
    </row>
    <row r="26" spans="1:14" x14ac:dyDescent="0.25">
      <c r="A26" s="131" t="s">
        <v>54</v>
      </c>
      <c r="B26" s="132">
        <v>9.1503267973856204</v>
      </c>
      <c r="C26" s="132">
        <v>3.9473684210526314</v>
      </c>
      <c r="D26" s="132">
        <v>7.2847682119205297</v>
      </c>
      <c r="E26" s="132">
        <v>19.736842105263158</v>
      </c>
      <c r="F26" s="132">
        <v>6.6225165562913908</v>
      </c>
      <c r="G26" s="132">
        <v>0</v>
      </c>
      <c r="H26" s="132">
        <v>2.6666666666666665</v>
      </c>
      <c r="I26" s="132">
        <v>5.9602649006622519</v>
      </c>
      <c r="J26" s="132">
        <v>9.2715231788079464</v>
      </c>
      <c r="K26" s="132">
        <v>10.96774193548387</v>
      </c>
      <c r="L26" s="132">
        <v>1.9867549668874172</v>
      </c>
      <c r="M26" s="132">
        <v>9.8684210526315788</v>
      </c>
      <c r="N26" s="105">
        <v>168</v>
      </c>
    </row>
    <row r="27" spans="1:14" x14ac:dyDescent="0.25">
      <c r="A27" s="131" t="s">
        <v>71</v>
      </c>
      <c r="B27" s="132">
        <v>11.868686868686869</v>
      </c>
      <c r="C27" s="132">
        <v>6.940874035989717</v>
      </c>
      <c r="D27" s="132">
        <v>6.7010309278350517</v>
      </c>
      <c r="E27" s="132">
        <v>25.575447570332482</v>
      </c>
      <c r="F27" s="132">
        <v>7.2538860103626943</v>
      </c>
      <c r="G27" s="132">
        <v>3.3419023136246788</v>
      </c>
      <c r="H27" s="132">
        <v>4.859335038363171</v>
      </c>
      <c r="I27" s="132">
        <v>4.0816326530612246</v>
      </c>
      <c r="J27" s="132">
        <v>16.537467700258397</v>
      </c>
      <c r="K27" s="132">
        <v>13.533834586466165</v>
      </c>
      <c r="L27" s="132">
        <v>2.5445292620865141</v>
      </c>
      <c r="M27" s="132">
        <v>14.758269720101781</v>
      </c>
      <c r="N27" s="105">
        <v>437</v>
      </c>
    </row>
    <row r="28" spans="1:14" x14ac:dyDescent="0.25">
      <c r="A28" s="131" t="s">
        <v>10</v>
      </c>
      <c r="B28" s="132">
        <v>13.170731707317072</v>
      </c>
      <c r="C28" s="132">
        <v>6.3414634146341466</v>
      </c>
      <c r="D28" s="132">
        <v>14.77832512315271</v>
      </c>
      <c r="E28" s="132">
        <v>26.699029126213592</v>
      </c>
      <c r="F28" s="132">
        <v>11.330049261083744</v>
      </c>
      <c r="G28" s="132">
        <v>6.3725490196078427</v>
      </c>
      <c r="H28" s="132">
        <v>6.8627450980392153</v>
      </c>
      <c r="I28" s="132">
        <v>6.8292682926829267</v>
      </c>
      <c r="J28" s="132">
        <v>18.627450980392158</v>
      </c>
      <c r="K28" s="132">
        <v>10.731707317073171</v>
      </c>
      <c r="L28" s="132">
        <v>1.4705882352941178</v>
      </c>
      <c r="M28" s="132">
        <v>12.745098039215685</v>
      </c>
      <c r="N28" s="105">
        <v>219</v>
      </c>
    </row>
    <row r="29" spans="1:14" x14ac:dyDescent="0.25">
      <c r="A29" s="131" t="s">
        <v>56</v>
      </c>
      <c r="B29" s="132">
        <v>11.377245508982035</v>
      </c>
      <c r="C29" s="132">
        <v>2.4096385542168677</v>
      </c>
      <c r="D29" s="132">
        <v>10.365853658536585</v>
      </c>
      <c r="E29" s="132">
        <v>25.903614457831324</v>
      </c>
      <c r="F29" s="132">
        <v>3.7037037037037037</v>
      </c>
      <c r="G29" s="132">
        <v>2.4096385542168677</v>
      </c>
      <c r="H29" s="132">
        <v>7.7380952380952381</v>
      </c>
      <c r="I29" s="132">
        <v>8.536585365853659</v>
      </c>
      <c r="J29" s="132">
        <v>13.253012048192771</v>
      </c>
      <c r="K29" s="132">
        <v>18.34319526627219</v>
      </c>
      <c r="L29" s="132">
        <v>1.8404907975460123</v>
      </c>
      <c r="M29" s="132">
        <v>13.855421686746988</v>
      </c>
      <c r="N29" s="105">
        <v>179</v>
      </c>
    </row>
    <row r="30" spans="1:14" x14ac:dyDescent="0.25">
      <c r="A30" s="131" t="s">
        <v>11</v>
      </c>
      <c r="B30" s="132">
        <v>5.6726094003241494</v>
      </c>
      <c r="C30" s="132">
        <v>9.2084006462035539</v>
      </c>
      <c r="D30" s="132">
        <v>5.4187192118226601</v>
      </c>
      <c r="E30" s="132">
        <v>20.097244732576986</v>
      </c>
      <c r="F30" s="132">
        <v>5.5646481178396074</v>
      </c>
      <c r="G30" s="132">
        <v>5.9016393442622954</v>
      </c>
      <c r="H30" s="132">
        <v>3.8897893030794166</v>
      </c>
      <c r="I30" s="132">
        <v>2.1207177814029365</v>
      </c>
      <c r="J30" s="132">
        <v>16.693944353518823</v>
      </c>
      <c r="K30" s="132">
        <v>7.9288025889967635</v>
      </c>
      <c r="L30" s="132">
        <v>1.9639934533551555</v>
      </c>
      <c r="M30" s="132">
        <v>9.0311986863711002</v>
      </c>
      <c r="N30" s="105">
        <v>639</v>
      </c>
    </row>
    <row r="31" spans="1:14" x14ac:dyDescent="0.25">
      <c r="A31" s="131" t="s">
        <v>58</v>
      </c>
      <c r="B31" s="132">
        <v>18.918918918918919</v>
      </c>
      <c r="C31" s="132">
        <v>3.6363636363636362</v>
      </c>
      <c r="D31" s="132">
        <v>5.3571428571428568</v>
      </c>
      <c r="E31" s="132">
        <v>11.607142857142858</v>
      </c>
      <c r="F31" s="132">
        <v>7.9646017699115044</v>
      </c>
      <c r="G31" s="132">
        <v>1.8018018018018018</v>
      </c>
      <c r="H31" s="132">
        <v>8.0357142857142865</v>
      </c>
      <c r="I31" s="132">
        <v>9.0090090090090094</v>
      </c>
      <c r="J31" s="132">
        <v>10</v>
      </c>
      <c r="K31" s="132">
        <v>6.3636363636363633</v>
      </c>
      <c r="L31" s="132">
        <v>3.6363636363636362</v>
      </c>
      <c r="M31" s="132">
        <v>11.009174311926605</v>
      </c>
      <c r="N31" s="105">
        <v>114</v>
      </c>
    </row>
    <row r="32" spans="1:14" x14ac:dyDescent="0.25">
      <c r="A32" s="131" t="s">
        <v>59</v>
      </c>
      <c r="B32" s="132">
        <v>18.045112781954888</v>
      </c>
      <c r="C32" s="132">
        <v>3.0303030303030303</v>
      </c>
      <c r="D32" s="132">
        <v>6.9767441860465116</v>
      </c>
      <c r="E32" s="132">
        <v>21.05263157894737</v>
      </c>
      <c r="F32" s="132">
        <v>6.9230769230769234</v>
      </c>
      <c r="G32" s="132">
        <v>1.5384615384615385</v>
      </c>
      <c r="H32" s="132">
        <v>5.384615384615385</v>
      </c>
      <c r="I32" s="132">
        <v>11.450381679389313</v>
      </c>
      <c r="J32" s="132">
        <v>11.450381679389313</v>
      </c>
      <c r="K32" s="132">
        <v>11.851851851851851</v>
      </c>
      <c r="L32" s="132">
        <v>3.8759689922480618</v>
      </c>
      <c r="M32" s="132">
        <v>11.538461538461538</v>
      </c>
      <c r="N32" s="105">
        <v>143</v>
      </c>
    </row>
    <row r="33" spans="1:14" x14ac:dyDescent="0.25">
      <c r="A33" s="131" t="s">
        <v>60</v>
      </c>
      <c r="B33" s="132">
        <v>19.083969465648856</v>
      </c>
      <c r="C33" s="132">
        <v>3.0769230769230771</v>
      </c>
      <c r="D33" s="132">
        <v>3.7878787878787881</v>
      </c>
      <c r="E33" s="132">
        <v>22.900763358778626</v>
      </c>
      <c r="F33" s="132">
        <v>8.3333333333333339</v>
      </c>
      <c r="G33" s="132">
        <v>2.3255813953488373</v>
      </c>
      <c r="H33" s="132">
        <v>12.878787878787879</v>
      </c>
      <c r="I33" s="132">
        <v>4.6511627906976747</v>
      </c>
      <c r="J33" s="132">
        <v>15.151515151515152</v>
      </c>
      <c r="K33" s="132">
        <v>13.636363636363637</v>
      </c>
      <c r="L33" s="132">
        <v>0.78125</v>
      </c>
      <c r="M33" s="132">
        <v>15.384615384615385</v>
      </c>
      <c r="N33" s="105">
        <v>144</v>
      </c>
    </row>
    <row r="34" spans="1:14" x14ac:dyDescent="0.25">
      <c r="A34" s="131" t="s">
        <v>12</v>
      </c>
      <c r="B34" s="132">
        <v>16</v>
      </c>
      <c r="C34" s="132">
        <v>3.278688524590164</v>
      </c>
      <c r="D34" s="132">
        <v>8.1967213114754092</v>
      </c>
      <c r="E34" s="132">
        <v>18.699186991869919</v>
      </c>
      <c r="F34" s="132">
        <v>2.459016393442623</v>
      </c>
      <c r="G34" s="132">
        <v>1.639344262295082</v>
      </c>
      <c r="H34" s="132">
        <v>10.4</v>
      </c>
      <c r="I34" s="132">
        <v>7.3170731707317076</v>
      </c>
      <c r="J34" s="132">
        <v>10.833333333333334</v>
      </c>
      <c r="K34" s="132">
        <v>9.8360655737704921</v>
      </c>
      <c r="L34" s="132">
        <v>6.557377049180328</v>
      </c>
      <c r="M34" s="132">
        <v>9.9173553719008272</v>
      </c>
      <c r="N34" s="105">
        <v>135</v>
      </c>
    </row>
    <row r="35" spans="1:14" x14ac:dyDescent="0.25">
      <c r="A35" s="131" t="s">
        <v>61</v>
      </c>
      <c r="B35" s="132">
        <v>6.3559322033898304</v>
      </c>
      <c r="C35" s="132">
        <v>9.3220338983050848</v>
      </c>
      <c r="D35" s="132">
        <v>6.8965517241379306</v>
      </c>
      <c r="E35" s="132">
        <v>18.803418803418804</v>
      </c>
      <c r="F35" s="132">
        <v>4.7210300429184553</v>
      </c>
      <c r="G35" s="132">
        <v>0.86580086580086579</v>
      </c>
      <c r="H35" s="132">
        <v>6.8376068376068373</v>
      </c>
      <c r="I35" s="132">
        <v>2.5641025641025643</v>
      </c>
      <c r="J35" s="132">
        <v>9.8290598290598297</v>
      </c>
      <c r="K35" s="132">
        <v>9.4827586206896548</v>
      </c>
      <c r="L35" s="132">
        <v>1.7316017316017316</v>
      </c>
      <c r="M35" s="132">
        <v>9.8712446351931327</v>
      </c>
      <c r="N35" s="105">
        <v>248</v>
      </c>
    </row>
    <row r="36" spans="1:14" x14ac:dyDescent="0.25">
      <c r="A36" s="131" t="s">
        <v>62</v>
      </c>
      <c r="B36" s="132">
        <v>6.7961165048543686</v>
      </c>
      <c r="C36" s="132">
        <v>1.0101010101010102</v>
      </c>
      <c r="D36" s="132">
        <v>5.0505050505050502</v>
      </c>
      <c r="E36" s="132">
        <v>21.782178217821784</v>
      </c>
      <c r="F36" s="132">
        <v>15.686274509803921</v>
      </c>
      <c r="G36" s="132">
        <v>2.0618556701030926</v>
      </c>
      <c r="H36" s="132">
        <v>11.881188118811881</v>
      </c>
      <c r="I36" s="132">
        <v>8</v>
      </c>
      <c r="J36" s="132">
        <v>14</v>
      </c>
      <c r="K36" s="132">
        <v>16.50485436893204</v>
      </c>
      <c r="L36" s="132">
        <v>3.0927835051546393</v>
      </c>
      <c r="M36" s="132">
        <v>22.772277227722771</v>
      </c>
      <c r="N36" s="105">
        <v>115</v>
      </c>
    </row>
    <row r="37" spans="1:14" x14ac:dyDescent="0.25">
      <c r="A37" s="131" t="s">
        <v>23</v>
      </c>
      <c r="B37" s="132">
        <v>9.6273291925465845</v>
      </c>
      <c r="C37" s="132">
        <v>6.25</v>
      </c>
      <c r="D37" s="132">
        <v>10.59190031152648</v>
      </c>
      <c r="E37" s="132">
        <v>23.29192546583851</v>
      </c>
      <c r="F37" s="132">
        <v>9.657320872274143</v>
      </c>
      <c r="G37" s="132">
        <v>2.2082018927444795</v>
      </c>
      <c r="H37" s="132">
        <v>8.722741433021806</v>
      </c>
      <c r="I37" s="132">
        <v>6.8111455108359129</v>
      </c>
      <c r="J37" s="132">
        <v>17.350157728706623</v>
      </c>
      <c r="K37" s="132">
        <v>11.349693251533742</v>
      </c>
      <c r="L37" s="132">
        <v>3.459119496855346</v>
      </c>
      <c r="M37" s="132">
        <v>15.09433962264151</v>
      </c>
      <c r="N37" s="105">
        <v>348</v>
      </c>
    </row>
    <row r="38" spans="1:14" x14ac:dyDescent="0.25">
      <c r="A38" s="131" t="s">
        <v>13</v>
      </c>
      <c r="B38" s="132">
        <v>11.08829568788501</v>
      </c>
      <c r="C38" s="132">
        <v>4.338842975206612</v>
      </c>
      <c r="D38" s="132">
        <v>8.9397089397089395</v>
      </c>
      <c r="E38" s="132">
        <v>21.161825726141078</v>
      </c>
      <c r="F38" s="132">
        <v>8.4886128364389233</v>
      </c>
      <c r="G38" s="132">
        <v>1.8711018711018712</v>
      </c>
      <c r="H38" s="132">
        <v>6.8322981366459627</v>
      </c>
      <c r="I38" s="132">
        <v>6.2240663900414939</v>
      </c>
      <c r="J38" s="132">
        <v>14.884696016771489</v>
      </c>
      <c r="K38" s="132">
        <v>17.586912065439673</v>
      </c>
      <c r="L38" s="132">
        <v>3.757828810020877</v>
      </c>
      <c r="M38" s="132">
        <v>13.457556935817806</v>
      </c>
      <c r="N38" s="105">
        <v>525</v>
      </c>
    </row>
    <row r="39" spans="1:14" x14ac:dyDescent="0.25">
      <c r="A39" s="131" t="s">
        <v>14</v>
      </c>
      <c r="B39" s="132">
        <v>13.815789473684211</v>
      </c>
      <c r="C39" s="132">
        <v>15.894039735099337</v>
      </c>
      <c r="D39" s="132">
        <v>13.245033112582782</v>
      </c>
      <c r="E39" s="132">
        <v>21.85430463576159</v>
      </c>
      <c r="F39" s="132">
        <v>5.9602649006622519</v>
      </c>
      <c r="G39" s="132">
        <v>2</v>
      </c>
      <c r="H39" s="132">
        <v>6.666666666666667</v>
      </c>
      <c r="I39" s="132">
        <v>2.6666666666666665</v>
      </c>
      <c r="J39" s="132">
        <v>12</v>
      </c>
      <c r="K39" s="132">
        <v>10.596026490066226</v>
      </c>
      <c r="L39" s="132">
        <v>3.4246575342465753</v>
      </c>
      <c r="M39" s="132">
        <v>11.486486486486486</v>
      </c>
      <c r="N39" s="105">
        <v>158</v>
      </c>
    </row>
    <row r="40" spans="1:14" x14ac:dyDescent="0.25">
      <c r="A40" s="131" t="s">
        <v>64</v>
      </c>
      <c r="B40" s="132">
        <v>24.375</v>
      </c>
      <c r="C40" s="132">
        <v>3.75</v>
      </c>
      <c r="D40" s="132">
        <v>9.316770186335404</v>
      </c>
      <c r="E40" s="132">
        <v>22.981366459627328</v>
      </c>
      <c r="F40" s="132">
        <v>10.559006211180124</v>
      </c>
      <c r="G40" s="132">
        <v>1.25</v>
      </c>
      <c r="H40" s="132">
        <v>9.316770186335404</v>
      </c>
      <c r="I40" s="132">
        <v>12.578616352201259</v>
      </c>
      <c r="J40" s="132">
        <v>13.291139240506329</v>
      </c>
      <c r="K40" s="132">
        <v>19.753086419753085</v>
      </c>
      <c r="L40" s="132">
        <v>3.75</v>
      </c>
      <c r="M40" s="132">
        <v>13.75</v>
      </c>
      <c r="N40" s="105">
        <v>167</v>
      </c>
    </row>
    <row r="41" spans="1:14" x14ac:dyDescent="0.25">
      <c r="A41" s="131" t="s">
        <v>65</v>
      </c>
      <c r="B41" s="132">
        <v>7.7862595419847329</v>
      </c>
      <c r="C41" s="132">
        <v>14.961832061068701</v>
      </c>
      <c r="D41" s="132">
        <v>7.2196620583717355</v>
      </c>
      <c r="E41" s="132">
        <v>23.277182235834609</v>
      </c>
      <c r="F41" s="132">
        <v>8.8549618320610683</v>
      </c>
      <c r="G41" s="132">
        <v>3.0769230769230771</v>
      </c>
      <c r="H41" s="132">
        <v>4.885496183206107</v>
      </c>
      <c r="I41" s="132">
        <v>3.834355828220859</v>
      </c>
      <c r="J41" s="132">
        <v>19.325153374233128</v>
      </c>
      <c r="K41" s="132">
        <v>5.6488549618320612</v>
      </c>
      <c r="L41" s="132">
        <v>3.2407407407407409</v>
      </c>
      <c r="M41" s="132">
        <v>12.962962962962964</v>
      </c>
      <c r="N41" s="105">
        <v>692</v>
      </c>
    </row>
    <row r="42" spans="1:14" x14ac:dyDescent="0.25">
      <c r="A42" s="131" t="s">
        <v>66</v>
      </c>
      <c r="B42" s="132">
        <v>10.052910052910052</v>
      </c>
      <c r="C42" s="132">
        <v>2.1276595744680851</v>
      </c>
      <c r="D42" s="132">
        <v>7.4866310160427805</v>
      </c>
      <c r="E42" s="132">
        <v>21.390374331550802</v>
      </c>
      <c r="F42" s="132">
        <v>7.5268817204301079</v>
      </c>
      <c r="G42" s="132">
        <v>1.075268817204301</v>
      </c>
      <c r="H42" s="132">
        <v>5.3475935828877006</v>
      </c>
      <c r="I42" s="132">
        <v>2.6737967914438503</v>
      </c>
      <c r="J42" s="132">
        <v>15.957446808510639</v>
      </c>
      <c r="K42" s="132">
        <v>2.6737967914438503</v>
      </c>
      <c r="L42" s="132">
        <v>1.075268817204301</v>
      </c>
      <c r="M42" s="132">
        <v>7.5268817204301079</v>
      </c>
      <c r="N42" s="105">
        <v>202</v>
      </c>
    </row>
    <row r="43" spans="1:14" x14ac:dyDescent="0.25">
      <c r="A43" s="131" t="s">
        <v>15</v>
      </c>
      <c r="B43" s="132">
        <v>10.92436974789916</v>
      </c>
      <c r="C43" s="132">
        <v>15.217391304347826</v>
      </c>
      <c r="D43" s="132">
        <v>7.3129251700680271</v>
      </c>
      <c r="E43" s="132">
        <v>19.865319865319865</v>
      </c>
      <c r="F43" s="132">
        <v>9.353741496598639</v>
      </c>
      <c r="G43" s="132">
        <v>9.3378607809847196</v>
      </c>
      <c r="H43" s="132">
        <v>6.7681895093062607</v>
      </c>
      <c r="I43" s="132">
        <v>3.0664395229982966</v>
      </c>
      <c r="J43" s="132">
        <v>19.283276450511945</v>
      </c>
      <c r="K43" s="132">
        <v>8.8135593220338979</v>
      </c>
      <c r="L43" s="132">
        <v>4.074702886247878</v>
      </c>
      <c r="M43" s="132">
        <v>12.903225806451612</v>
      </c>
      <c r="N43" s="105">
        <v>627</v>
      </c>
    </row>
    <row r="44" spans="1:14" x14ac:dyDescent="0.25">
      <c r="A44" s="131" t="s">
        <v>16</v>
      </c>
      <c r="B44" s="132">
        <v>8.8397790055248624</v>
      </c>
      <c r="C44" s="132">
        <v>13.535911602209945</v>
      </c>
      <c r="D44" s="132">
        <v>10.140845070422536</v>
      </c>
      <c r="E44" s="132">
        <v>26.256983240223462</v>
      </c>
      <c r="F44" s="132">
        <v>8.1232492997198875</v>
      </c>
      <c r="G44" s="132">
        <v>7.3654390934844196</v>
      </c>
      <c r="H44" s="132">
        <v>5.027932960893855</v>
      </c>
      <c r="I44" s="132">
        <v>1.9607843137254901</v>
      </c>
      <c r="J44" s="132">
        <v>19.43661971830986</v>
      </c>
      <c r="K44" s="132">
        <v>13.259668508287293</v>
      </c>
      <c r="L44" s="132">
        <v>3.0985915492957745</v>
      </c>
      <c r="M44" s="132">
        <v>10.169491525423728</v>
      </c>
      <c r="N44" s="105">
        <v>387</v>
      </c>
    </row>
    <row r="45" spans="1:14" x14ac:dyDescent="0.25">
      <c r="A45" s="131" t="s">
        <v>17</v>
      </c>
      <c r="B45" s="132">
        <v>23.333333333333332</v>
      </c>
      <c r="C45" s="132">
        <v>6.8965517241379306</v>
      </c>
      <c r="D45" s="132">
        <v>9.1954022988505741</v>
      </c>
      <c r="E45" s="132">
        <v>40.449438202247194</v>
      </c>
      <c r="F45" s="132">
        <v>9.1954022988505741</v>
      </c>
      <c r="G45" s="132">
        <v>4.5977011494252871</v>
      </c>
      <c r="H45" s="132">
        <v>9.1954022988505741</v>
      </c>
      <c r="I45" s="132">
        <v>12.5</v>
      </c>
      <c r="J45" s="132">
        <v>17.241379310344829</v>
      </c>
      <c r="K45" s="132">
        <v>23.59550561797753</v>
      </c>
      <c r="L45" s="132">
        <v>4.6511627906976747</v>
      </c>
      <c r="M45" s="132">
        <v>17.241379310344829</v>
      </c>
      <c r="N45" s="105">
        <v>99</v>
      </c>
    </row>
    <row r="46" spans="1:14" x14ac:dyDescent="0.25">
      <c r="A46" s="131" t="s">
        <v>24</v>
      </c>
      <c r="B46" s="132">
        <v>22.857142857142858</v>
      </c>
      <c r="C46" s="132">
        <v>1.7341040462427746</v>
      </c>
      <c r="D46" s="132">
        <v>12.865497076023392</v>
      </c>
      <c r="E46" s="132">
        <v>29.714285714285715</v>
      </c>
      <c r="F46" s="132">
        <v>12.138728323699421</v>
      </c>
      <c r="G46" s="132">
        <v>4.6242774566473992</v>
      </c>
      <c r="H46" s="132">
        <v>7.5144508670520231</v>
      </c>
      <c r="I46" s="132">
        <v>13.372093023255815</v>
      </c>
      <c r="J46" s="132">
        <v>17.919075144508671</v>
      </c>
      <c r="K46" s="132">
        <v>9.6045197740112993</v>
      </c>
      <c r="L46" s="132">
        <v>0</v>
      </c>
      <c r="M46" s="132">
        <v>12.209302325581396</v>
      </c>
      <c r="N46" s="105">
        <v>185</v>
      </c>
    </row>
    <row r="49" spans="1:14" ht="14" x14ac:dyDescent="0.3">
      <c r="A49" s="126" t="s">
        <v>439</v>
      </c>
    </row>
    <row r="50" spans="1:14" ht="14" x14ac:dyDescent="0.3">
      <c r="A50" s="133" t="s">
        <v>158</v>
      </c>
      <c r="B50" s="129" t="s">
        <v>574</v>
      </c>
      <c r="C50" s="129" t="s">
        <v>575</v>
      </c>
      <c r="D50" s="129" t="s">
        <v>576</v>
      </c>
      <c r="E50" s="129" t="s">
        <v>577</v>
      </c>
      <c r="F50" s="129" t="s">
        <v>578</v>
      </c>
      <c r="G50" s="129" t="s">
        <v>579</v>
      </c>
      <c r="H50" s="129" t="s">
        <v>580</v>
      </c>
      <c r="I50" s="129" t="s">
        <v>581</v>
      </c>
      <c r="J50" s="129" t="s">
        <v>582</v>
      </c>
      <c r="K50" s="129" t="s">
        <v>583</v>
      </c>
      <c r="L50" s="129" t="s">
        <v>584</v>
      </c>
      <c r="M50" s="129" t="s">
        <v>585</v>
      </c>
      <c r="N50" s="129" t="s">
        <v>421</v>
      </c>
    </row>
    <row r="51" spans="1:14" x14ac:dyDescent="0.25">
      <c r="A51" s="113" t="s">
        <v>74</v>
      </c>
      <c r="B51" s="132">
        <v>15.447154471544716</v>
      </c>
      <c r="C51" s="132">
        <v>3.4539473684210527</v>
      </c>
      <c r="D51" s="132">
        <v>5.7471264367816088</v>
      </c>
      <c r="E51" s="132">
        <v>23.327895595432299</v>
      </c>
      <c r="F51" s="132">
        <v>10.09771986970684</v>
      </c>
      <c r="G51" s="132">
        <v>2.6533996683250414</v>
      </c>
      <c r="H51" s="132">
        <v>10.372771474878444</v>
      </c>
      <c r="I51" s="132">
        <v>9.0460526315789469</v>
      </c>
      <c r="J51" s="132">
        <v>13.157894736842104</v>
      </c>
      <c r="K51" s="132">
        <v>15.161290322580646</v>
      </c>
      <c r="L51" s="132">
        <v>2.5041736227045077</v>
      </c>
      <c r="M51" s="132">
        <v>16.611842105263158</v>
      </c>
      <c r="N51" s="131">
        <v>676</v>
      </c>
    </row>
    <row r="52" spans="1:14" x14ac:dyDescent="0.25">
      <c r="A52" s="110" t="s">
        <v>75</v>
      </c>
      <c r="B52" s="132">
        <v>17.641996557659208</v>
      </c>
      <c r="C52" s="132">
        <v>4.6086956521739131</v>
      </c>
      <c r="D52" s="132">
        <v>9.0988626421697294</v>
      </c>
      <c r="E52" s="132">
        <v>22.183708838821492</v>
      </c>
      <c r="F52" s="132">
        <v>7.5916230366492146</v>
      </c>
      <c r="G52" s="132">
        <v>2.6315789473684212</v>
      </c>
      <c r="H52" s="132">
        <v>6.2445793581960105</v>
      </c>
      <c r="I52" s="132">
        <v>9.1543156059285096</v>
      </c>
      <c r="J52" s="132">
        <v>13.39754816112084</v>
      </c>
      <c r="K52" s="132">
        <v>11.840968020743302</v>
      </c>
      <c r="L52" s="132">
        <v>3.1634446397188047</v>
      </c>
      <c r="M52" s="132">
        <v>13.187772925764191</v>
      </c>
      <c r="N52" s="131">
        <v>1238</v>
      </c>
    </row>
    <row r="53" spans="1:14" x14ac:dyDescent="0.25">
      <c r="A53" s="110" t="s">
        <v>76</v>
      </c>
      <c r="B53" s="132">
        <v>12.246696035242291</v>
      </c>
      <c r="C53" s="132">
        <v>6.6785396260017809</v>
      </c>
      <c r="D53" s="132">
        <v>9.6860986547085197</v>
      </c>
      <c r="E53" s="132">
        <v>25</v>
      </c>
      <c r="F53" s="132">
        <v>8.7151841868823006</v>
      </c>
      <c r="G53" s="132">
        <v>2.5022341376228776</v>
      </c>
      <c r="H53" s="132">
        <v>6.8505338078291818</v>
      </c>
      <c r="I53" s="132">
        <v>6.7024128686327078</v>
      </c>
      <c r="J53" s="132">
        <v>15.953654188948306</v>
      </c>
      <c r="K53" s="132">
        <v>13.857016769638129</v>
      </c>
      <c r="L53" s="132">
        <v>2.7927927927927927</v>
      </c>
      <c r="M53" s="132">
        <v>12.421805183199286</v>
      </c>
      <c r="N53" s="131">
        <v>1223</v>
      </c>
    </row>
    <row r="54" spans="1:14" x14ac:dyDescent="0.25">
      <c r="A54" s="110" t="s">
        <v>77</v>
      </c>
      <c r="B54" s="132">
        <v>11.178414096916299</v>
      </c>
      <c r="C54" s="132">
        <v>7.5138121546961329</v>
      </c>
      <c r="D54" s="132">
        <v>7.9488604780433576</v>
      </c>
      <c r="E54" s="132">
        <v>23.106688778330568</v>
      </c>
      <c r="F54" s="132">
        <v>8.263539921831379</v>
      </c>
      <c r="G54" s="132">
        <v>2.0100502512562812</v>
      </c>
      <c r="H54" s="132">
        <v>6.541019955654102</v>
      </c>
      <c r="I54" s="132">
        <v>5.7190449750138814</v>
      </c>
      <c r="J54" s="132">
        <v>13.344500279173646</v>
      </c>
      <c r="K54" s="132">
        <v>11.050328227571116</v>
      </c>
      <c r="L54" s="132">
        <v>2.0134228187919465</v>
      </c>
      <c r="M54" s="132">
        <v>12.353269983230856</v>
      </c>
      <c r="N54" s="131">
        <v>1950</v>
      </c>
    </row>
    <row r="55" spans="1:14" x14ac:dyDescent="0.25">
      <c r="A55" s="110" t="s">
        <v>78</v>
      </c>
      <c r="B55" s="132">
        <v>9.1147786946736691</v>
      </c>
      <c r="C55" s="132">
        <v>7.3078379401741769</v>
      </c>
      <c r="D55" s="132">
        <v>7.9892966360856272</v>
      </c>
      <c r="E55" s="132">
        <v>22.67728479332575</v>
      </c>
      <c r="F55" s="132">
        <v>7.7069820679130103</v>
      </c>
      <c r="G55" s="132">
        <v>2.9839326702371842</v>
      </c>
      <c r="H55" s="132">
        <v>4.9715370018975333</v>
      </c>
      <c r="I55" s="132">
        <v>4.5298819946707267</v>
      </c>
      <c r="J55" s="132">
        <v>17.188693659281896</v>
      </c>
      <c r="K55" s="132">
        <v>12.532833020637899</v>
      </c>
      <c r="L55" s="132">
        <v>3.2492354740061162</v>
      </c>
      <c r="M55" s="132">
        <v>12.091254752851711</v>
      </c>
      <c r="N55" s="131">
        <v>2870</v>
      </c>
    </row>
    <row r="56" spans="1:14" x14ac:dyDescent="0.25">
      <c r="A56" s="110" t="s">
        <v>79</v>
      </c>
      <c r="B56" s="132">
        <v>8.2368775235531633</v>
      </c>
      <c r="C56" s="132">
        <v>12.877155172413794</v>
      </c>
      <c r="D56" s="132">
        <v>8.0250272034820451</v>
      </c>
      <c r="E56" s="132">
        <v>21.012931034482758</v>
      </c>
      <c r="F56" s="132">
        <v>7.0227765726681124</v>
      </c>
      <c r="G56" s="132">
        <v>4.975530179445351</v>
      </c>
      <c r="H56" s="132">
        <v>4.7065187990262372</v>
      </c>
      <c r="I56" s="132">
        <v>2.9818378964489023</v>
      </c>
      <c r="J56" s="132">
        <v>16.006511123168746</v>
      </c>
      <c r="K56" s="132">
        <v>7.3854447439353104</v>
      </c>
      <c r="L56" s="132">
        <v>2.8011966276856133</v>
      </c>
      <c r="M56" s="132">
        <v>10.371979364648384</v>
      </c>
      <c r="N56" s="131">
        <v>3899</v>
      </c>
    </row>
    <row r="58" spans="1:14" ht="14" x14ac:dyDescent="0.3">
      <c r="A58" s="128" t="s">
        <v>159</v>
      </c>
      <c r="B58" s="129" t="s">
        <v>574</v>
      </c>
      <c r="C58" s="129" t="s">
        <v>575</v>
      </c>
      <c r="D58" s="129" t="s">
        <v>576</v>
      </c>
      <c r="E58" s="129" t="s">
        <v>577</v>
      </c>
      <c r="F58" s="129" t="s">
        <v>578</v>
      </c>
      <c r="G58" s="129" t="s">
        <v>579</v>
      </c>
      <c r="H58" s="129" t="s">
        <v>580</v>
      </c>
      <c r="I58" s="129" t="s">
        <v>581</v>
      </c>
      <c r="J58" s="129" t="s">
        <v>582</v>
      </c>
      <c r="K58" s="129" t="s">
        <v>583</v>
      </c>
      <c r="L58" s="129" t="s">
        <v>584</v>
      </c>
      <c r="M58" s="129" t="s">
        <v>585</v>
      </c>
      <c r="N58" s="129" t="s">
        <v>421</v>
      </c>
    </row>
    <row r="59" spans="1:14" x14ac:dyDescent="0.25">
      <c r="B59" s="132">
        <v>10.721036997029435</v>
      </c>
      <c r="C59" s="132">
        <v>8.6562839550887354</v>
      </c>
      <c r="D59" s="132">
        <v>8.1584230699032663</v>
      </c>
      <c r="E59" s="132">
        <v>22.410205374106578</v>
      </c>
      <c r="F59" s="132">
        <v>7.7918527294267745</v>
      </c>
      <c r="G59" s="132">
        <v>3.3896756509821837</v>
      </c>
      <c r="H59" s="132">
        <v>5.766092475067996</v>
      </c>
      <c r="I59" s="132">
        <v>5.1587662633063411</v>
      </c>
      <c r="J59" s="132">
        <v>15.418984225403483</v>
      </c>
      <c r="K59" s="132">
        <v>10.780167371546836</v>
      </c>
      <c r="L59" s="132">
        <v>2.8001464128843336</v>
      </c>
      <c r="M59" s="132">
        <v>11.955531255695281</v>
      </c>
      <c r="N59" s="131">
        <v>11856</v>
      </c>
    </row>
    <row r="62" spans="1:14" ht="14" x14ac:dyDescent="0.3">
      <c r="A62" s="129" t="s">
        <v>574</v>
      </c>
      <c r="B62" s="105" t="s">
        <v>586</v>
      </c>
      <c r="C62" s="132">
        <v>10.721036997029435</v>
      </c>
    </row>
    <row r="63" spans="1:14" ht="14" x14ac:dyDescent="0.3">
      <c r="A63" s="129" t="s">
        <v>575</v>
      </c>
      <c r="B63" s="105" t="s">
        <v>587</v>
      </c>
      <c r="C63" s="132">
        <v>8.6562839550887354</v>
      </c>
    </row>
    <row r="64" spans="1:14" ht="14" x14ac:dyDescent="0.3">
      <c r="A64" s="129" t="s">
        <v>576</v>
      </c>
      <c r="B64" s="105" t="s">
        <v>588</v>
      </c>
      <c r="C64" s="132">
        <v>8.1584230699032663</v>
      </c>
    </row>
    <row r="65" spans="1:3" ht="14" x14ac:dyDescent="0.3">
      <c r="A65" s="129" t="s">
        <v>577</v>
      </c>
      <c r="B65" s="105" t="s">
        <v>589</v>
      </c>
      <c r="C65" s="132">
        <v>22.410205374106578</v>
      </c>
    </row>
    <row r="66" spans="1:3" ht="14" x14ac:dyDescent="0.3">
      <c r="A66" s="129" t="s">
        <v>578</v>
      </c>
      <c r="B66" s="105" t="s">
        <v>590</v>
      </c>
      <c r="C66" s="132">
        <v>7.7918527294267745</v>
      </c>
    </row>
    <row r="67" spans="1:3" ht="14" x14ac:dyDescent="0.3">
      <c r="A67" s="129" t="s">
        <v>579</v>
      </c>
      <c r="B67" s="105" t="s">
        <v>591</v>
      </c>
      <c r="C67" s="132">
        <v>3.3896756509821837</v>
      </c>
    </row>
    <row r="68" spans="1:3" ht="14" x14ac:dyDescent="0.3">
      <c r="A68" s="129" t="s">
        <v>580</v>
      </c>
      <c r="B68" s="105" t="s">
        <v>592</v>
      </c>
      <c r="C68" s="132">
        <v>5.766092475067996</v>
      </c>
    </row>
    <row r="69" spans="1:3" ht="14" x14ac:dyDescent="0.3">
      <c r="A69" s="129" t="s">
        <v>581</v>
      </c>
      <c r="B69" s="105" t="s">
        <v>593</v>
      </c>
      <c r="C69" s="132">
        <v>5.1587662633063411</v>
      </c>
    </row>
    <row r="70" spans="1:3" ht="14" x14ac:dyDescent="0.3">
      <c r="A70" s="129" t="s">
        <v>582</v>
      </c>
      <c r="B70" s="105" t="s">
        <v>594</v>
      </c>
      <c r="C70" s="132">
        <v>15.418984225403483</v>
      </c>
    </row>
    <row r="71" spans="1:3" ht="14" x14ac:dyDescent="0.3">
      <c r="A71" s="129" t="s">
        <v>583</v>
      </c>
      <c r="B71" s="105" t="s">
        <v>595</v>
      </c>
      <c r="C71" s="132">
        <v>10.780167371546836</v>
      </c>
    </row>
    <row r="72" spans="1:3" ht="14" x14ac:dyDescent="0.3">
      <c r="A72" s="129" t="s">
        <v>584</v>
      </c>
      <c r="B72" s="105" t="s">
        <v>596</v>
      </c>
      <c r="C72" s="132">
        <v>2.8001464128843336</v>
      </c>
    </row>
    <row r="73" spans="1:3" ht="14" x14ac:dyDescent="0.3">
      <c r="A73" s="129" t="s">
        <v>585</v>
      </c>
      <c r="B73" s="105" t="s">
        <v>597</v>
      </c>
      <c r="C73" s="132">
        <v>11.955531255695281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R45"/>
  <sheetViews>
    <sheetView workbookViewId="0">
      <selection activeCell="N217" sqref="N217"/>
    </sheetView>
  </sheetViews>
  <sheetFormatPr defaultRowHeight="13.5" x14ac:dyDescent="0.25"/>
  <cols>
    <col min="1" max="1" width="10.5" customWidth="1"/>
    <col min="2" max="2" width="11.0703125" customWidth="1"/>
    <col min="3" max="3" width="9.0703125" bestFit="1" customWidth="1"/>
    <col min="4" max="4" width="9.85546875" customWidth="1"/>
    <col min="5" max="5" width="10" customWidth="1"/>
    <col min="6" max="6" width="10" style="105" customWidth="1"/>
    <col min="8" max="8" width="17.640625" customWidth="1"/>
  </cols>
  <sheetData>
    <row r="1" spans="1:14" s="27" customFormat="1" ht="14" thickBot="1" x14ac:dyDescent="0.3">
      <c r="A1" s="25" t="s">
        <v>21</v>
      </c>
      <c r="B1" s="26" t="s">
        <v>100</v>
      </c>
      <c r="C1" s="28" t="s">
        <v>36</v>
      </c>
      <c r="D1" s="28" t="s">
        <v>19</v>
      </c>
      <c r="E1" s="28" t="s">
        <v>721</v>
      </c>
      <c r="F1" s="28" t="s">
        <v>722</v>
      </c>
      <c r="G1" s="29" t="s">
        <v>41</v>
      </c>
      <c r="H1" s="86" t="s">
        <v>72</v>
      </c>
    </row>
    <row r="2" spans="1:14" ht="15" thickBot="1" x14ac:dyDescent="0.35">
      <c r="A2" s="6" t="s">
        <v>42</v>
      </c>
      <c r="B2" s="62" t="s">
        <v>42</v>
      </c>
      <c r="C2" s="60">
        <v>350</v>
      </c>
      <c r="D2" s="65">
        <v>119</v>
      </c>
      <c r="E2" s="79">
        <v>34</v>
      </c>
      <c r="F2" s="147">
        <v>38.299999999999997</v>
      </c>
      <c r="G2" s="145" t="s">
        <v>681</v>
      </c>
      <c r="H2" s="97">
        <v>5046</v>
      </c>
      <c r="J2" t="s">
        <v>42</v>
      </c>
      <c r="K2" s="6" t="s">
        <v>42</v>
      </c>
      <c r="L2" s="21">
        <v>18</v>
      </c>
      <c r="M2" s="76" t="s">
        <v>42</v>
      </c>
      <c r="N2" s="69">
        <v>18</v>
      </c>
    </row>
    <row r="3" spans="1:14" ht="15" thickBot="1" x14ac:dyDescent="0.35">
      <c r="A3" s="17" t="s">
        <v>43</v>
      </c>
      <c r="B3" s="63" t="s">
        <v>43</v>
      </c>
      <c r="C3" s="61">
        <v>1900</v>
      </c>
      <c r="D3" s="66">
        <v>667</v>
      </c>
      <c r="E3" s="80">
        <v>35.1</v>
      </c>
      <c r="F3" s="147">
        <v>35.200000000000003</v>
      </c>
      <c r="G3" s="146" t="s">
        <v>682</v>
      </c>
      <c r="H3" s="98">
        <v>274583</v>
      </c>
      <c r="J3" t="s">
        <v>43</v>
      </c>
      <c r="K3" s="17" t="s">
        <v>43</v>
      </c>
      <c r="L3" s="22">
        <v>49</v>
      </c>
      <c r="M3" s="76" t="s">
        <v>80</v>
      </c>
      <c r="N3" s="69">
        <v>49</v>
      </c>
    </row>
    <row r="4" spans="1:14" ht="15" thickBot="1" x14ac:dyDescent="0.35">
      <c r="A4" s="6" t="s">
        <v>44</v>
      </c>
      <c r="B4" s="63" t="s">
        <v>44</v>
      </c>
      <c r="C4" s="61">
        <v>400</v>
      </c>
      <c r="D4" s="66">
        <v>165</v>
      </c>
      <c r="E4" s="80">
        <v>41.2</v>
      </c>
      <c r="F4" s="147">
        <v>42.3</v>
      </c>
      <c r="G4" s="146" t="s">
        <v>683</v>
      </c>
      <c r="H4" s="99">
        <v>9682</v>
      </c>
      <c r="J4" t="s">
        <v>44</v>
      </c>
      <c r="K4" s="6" t="s">
        <v>44</v>
      </c>
      <c r="L4" s="22">
        <v>82</v>
      </c>
      <c r="M4" s="76" t="s">
        <v>44</v>
      </c>
      <c r="N4" s="69">
        <v>82</v>
      </c>
    </row>
    <row r="5" spans="1:14" ht="15" thickBot="1" x14ac:dyDescent="0.35">
      <c r="A5" s="17" t="s">
        <v>2</v>
      </c>
      <c r="B5" s="63" t="s">
        <v>25</v>
      </c>
      <c r="C5" s="61">
        <v>250</v>
      </c>
      <c r="D5" s="66">
        <v>99</v>
      </c>
      <c r="E5" s="80">
        <v>39.6</v>
      </c>
      <c r="F5" s="147">
        <v>54.4</v>
      </c>
      <c r="G5" s="146" t="s">
        <v>684</v>
      </c>
      <c r="H5" s="100">
        <v>2274</v>
      </c>
      <c r="J5" t="s">
        <v>2</v>
      </c>
      <c r="K5" s="17" t="s">
        <v>2</v>
      </c>
      <c r="L5" s="22">
        <v>97</v>
      </c>
      <c r="M5" s="76" t="s">
        <v>25</v>
      </c>
      <c r="N5" s="69">
        <v>97</v>
      </c>
    </row>
    <row r="6" spans="1:14" ht="15" thickBot="1" x14ac:dyDescent="0.35">
      <c r="A6" s="6" t="s">
        <v>3</v>
      </c>
      <c r="B6" s="63" t="s">
        <v>26</v>
      </c>
      <c r="C6" s="61">
        <v>700</v>
      </c>
      <c r="D6" s="66">
        <v>301</v>
      </c>
      <c r="E6" s="80">
        <v>43</v>
      </c>
      <c r="F6" s="147">
        <v>46.6</v>
      </c>
      <c r="G6" s="146" t="s">
        <v>685</v>
      </c>
      <c r="H6" s="99">
        <v>23791</v>
      </c>
      <c r="J6" t="s">
        <v>3</v>
      </c>
      <c r="K6" s="6" t="s">
        <v>3</v>
      </c>
      <c r="L6" s="22">
        <v>98</v>
      </c>
      <c r="M6" s="76" t="s">
        <v>26</v>
      </c>
      <c r="N6" s="69">
        <v>54</v>
      </c>
    </row>
    <row r="7" spans="1:14" ht="15" thickBot="1" x14ac:dyDescent="0.35">
      <c r="A7" s="24" t="s">
        <v>4</v>
      </c>
      <c r="B7" s="64" t="s">
        <v>45</v>
      </c>
      <c r="C7" s="61">
        <v>1500</v>
      </c>
      <c r="D7" s="66">
        <v>600</v>
      </c>
      <c r="E7" s="80">
        <v>40</v>
      </c>
      <c r="F7" s="147">
        <v>40.4</v>
      </c>
      <c r="G7" s="146" t="s">
        <v>686</v>
      </c>
      <c r="H7" s="100">
        <v>67850</v>
      </c>
      <c r="J7" t="s">
        <v>4</v>
      </c>
      <c r="K7" s="24" t="s">
        <v>4</v>
      </c>
      <c r="L7" s="22">
        <v>109</v>
      </c>
      <c r="M7" s="76" t="s">
        <v>81</v>
      </c>
      <c r="N7" s="69">
        <v>109</v>
      </c>
    </row>
    <row r="8" spans="1:14" ht="15" thickBot="1" x14ac:dyDescent="0.35">
      <c r="A8" s="6" t="s">
        <v>46</v>
      </c>
      <c r="B8" s="63" t="s">
        <v>46</v>
      </c>
      <c r="C8" s="61">
        <v>400</v>
      </c>
      <c r="D8" s="66">
        <v>148</v>
      </c>
      <c r="E8" s="80">
        <v>37</v>
      </c>
      <c r="F8" s="147">
        <v>42</v>
      </c>
      <c r="G8" s="146" t="s">
        <v>687</v>
      </c>
      <c r="H8" s="99">
        <v>6825</v>
      </c>
      <c r="J8" t="s">
        <v>46</v>
      </c>
      <c r="K8" s="6" t="s">
        <v>46</v>
      </c>
      <c r="L8" s="22">
        <v>148</v>
      </c>
      <c r="M8" s="76" t="s">
        <v>82</v>
      </c>
      <c r="N8" s="69">
        <v>148</v>
      </c>
    </row>
    <row r="9" spans="1:14" ht="15" thickBot="1" x14ac:dyDescent="0.35">
      <c r="A9" s="17" t="s">
        <v>5</v>
      </c>
      <c r="B9" s="64" t="s">
        <v>47</v>
      </c>
      <c r="C9" s="61">
        <v>1700</v>
      </c>
      <c r="D9" s="66">
        <v>650</v>
      </c>
      <c r="E9" s="80">
        <v>38.200000000000003</v>
      </c>
      <c r="F9" s="147">
        <v>40.5</v>
      </c>
      <c r="G9" s="146" t="s">
        <v>688</v>
      </c>
      <c r="H9" s="100">
        <v>138850</v>
      </c>
      <c r="J9" t="s">
        <v>5</v>
      </c>
      <c r="K9" s="17" t="s">
        <v>5</v>
      </c>
      <c r="L9" s="22">
        <v>179</v>
      </c>
      <c r="M9" s="76" t="s">
        <v>47</v>
      </c>
      <c r="N9" s="69">
        <v>179</v>
      </c>
    </row>
    <row r="10" spans="1:14" ht="15" thickBot="1" x14ac:dyDescent="0.35">
      <c r="A10" s="6" t="s">
        <v>48</v>
      </c>
      <c r="B10" s="63" t="s">
        <v>48</v>
      </c>
      <c r="C10" s="61">
        <v>450</v>
      </c>
      <c r="D10" s="66">
        <v>135</v>
      </c>
      <c r="E10" s="80">
        <v>30</v>
      </c>
      <c r="F10" s="147">
        <v>35.1</v>
      </c>
      <c r="G10" s="146" t="s">
        <v>689</v>
      </c>
      <c r="H10" s="99">
        <v>11637</v>
      </c>
      <c r="J10" t="s">
        <v>48</v>
      </c>
      <c r="K10" s="6" t="s">
        <v>48</v>
      </c>
      <c r="L10" s="22">
        <v>214</v>
      </c>
      <c r="M10" s="76" t="s">
        <v>48</v>
      </c>
      <c r="N10" s="69">
        <v>214</v>
      </c>
    </row>
    <row r="11" spans="1:14" ht="15" thickBot="1" x14ac:dyDescent="0.35">
      <c r="A11" s="17" t="s">
        <v>49</v>
      </c>
      <c r="B11" s="63" t="s">
        <v>49</v>
      </c>
      <c r="C11" s="61">
        <v>250</v>
      </c>
      <c r="D11" s="66">
        <v>105</v>
      </c>
      <c r="E11" s="80">
        <v>42</v>
      </c>
      <c r="F11" s="147">
        <v>47.2</v>
      </c>
      <c r="G11" s="146" t="s">
        <v>690</v>
      </c>
      <c r="H11" s="100">
        <v>2346</v>
      </c>
      <c r="J11" t="s">
        <v>49</v>
      </c>
      <c r="K11" s="17" t="s">
        <v>49</v>
      </c>
      <c r="L11" s="22">
        <v>239</v>
      </c>
      <c r="M11" s="76" t="s">
        <v>49</v>
      </c>
      <c r="N11" s="69">
        <v>239</v>
      </c>
    </row>
    <row r="12" spans="1:14" ht="15" thickBot="1" x14ac:dyDescent="0.35">
      <c r="A12" s="6" t="s">
        <v>22</v>
      </c>
      <c r="B12" s="63" t="s">
        <v>22</v>
      </c>
      <c r="C12" s="61">
        <v>450</v>
      </c>
      <c r="D12" s="66">
        <v>177</v>
      </c>
      <c r="E12" s="80">
        <v>39.299999999999997</v>
      </c>
      <c r="F12" s="147">
        <v>41</v>
      </c>
      <c r="G12" s="146" t="s">
        <v>691</v>
      </c>
      <c r="H12" s="99">
        <v>6872</v>
      </c>
      <c r="J12" t="s">
        <v>22</v>
      </c>
      <c r="K12" s="6" t="s">
        <v>22</v>
      </c>
      <c r="L12" s="22">
        <v>322</v>
      </c>
      <c r="M12" s="76" t="s">
        <v>83</v>
      </c>
      <c r="N12" s="69">
        <v>322</v>
      </c>
    </row>
    <row r="13" spans="1:14" ht="15" thickBot="1" x14ac:dyDescent="0.35">
      <c r="A13" s="17" t="s">
        <v>50</v>
      </c>
      <c r="B13" s="63" t="s">
        <v>50</v>
      </c>
      <c r="C13" s="61">
        <v>450</v>
      </c>
      <c r="D13" s="66">
        <v>194</v>
      </c>
      <c r="E13" s="80">
        <v>43.11</v>
      </c>
      <c r="F13" s="147">
        <v>45.1</v>
      </c>
      <c r="G13" s="146" t="s">
        <v>692</v>
      </c>
      <c r="H13" s="101">
        <v>10177</v>
      </c>
      <c r="J13" t="s">
        <v>50</v>
      </c>
      <c r="K13" s="17" t="s">
        <v>50</v>
      </c>
      <c r="L13" s="22">
        <v>249</v>
      </c>
      <c r="M13" s="76" t="s">
        <v>50</v>
      </c>
      <c r="N13" s="69">
        <v>249</v>
      </c>
    </row>
    <row r="14" spans="1:14" ht="15" thickBot="1" x14ac:dyDescent="0.35">
      <c r="A14" s="6" t="s">
        <v>69</v>
      </c>
      <c r="B14" s="63" t="s">
        <v>51</v>
      </c>
      <c r="C14" s="61">
        <v>1000</v>
      </c>
      <c r="D14" s="66">
        <v>350</v>
      </c>
      <c r="E14" s="80">
        <v>35</v>
      </c>
      <c r="F14" s="147">
        <v>35.299999999999997</v>
      </c>
      <c r="G14" s="146" t="s">
        <v>693</v>
      </c>
      <c r="H14" s="99">
        <v>47723</v>
      </c>
      <c r="J14" t="s">
        <v>69</v>
      </c>
      <c r="K14" s="6" t="s">
        <v>69</v>
      </c>
      <c r="L14" s="22">
        <v>272</v>
      </c>
      <c r="M14" s="76" t="s">
        <v>84</v>
      </c>
      <c r="N14" s="69">
        <v>272</v>
      </c>
    </row>
    <row r="15" spans="1:14" ht="15" thickBot="1" x14ac:dyDescent="0.35">
      <c r="A15" s="17" t="s">
        <v>6</v>
      </c>
      <c r="B15" s="63" t="s">
        <v>27</v>
      </c>
      <c r="C15" s="61">
        <v>1200</v>
      </c>
      <c r="D15" s="66">
        <v>389</v>
      </c>
      <c r="E15" s="80">
        <v>32.4</v>
      </c>
      <c r="F15" s="147">
        <v>37.799999999999997</v>
      </c>
      <c r="G15" s="146" t="s">
        <v>694</v>
      </c>
      <c r="H15" s="98">
        <v>54187</v>
      </c>
      <c r="J15" t="s">
        <v>6</v>
      </c>
      <c r="K15" s="17" t="s">
        <v>6</v>
      </c>
      <c r="L15" s="22">
        <v>285</v>
      </c>
      <c r="M15" s="76" t="s">
        <v>27</v>
      </c>
      <c r="N15" s="69">
        <v>285</v>
      </c>
    </row>
    <row r="16" spans="1:14" ht="15" thickBot="1" x14ac:dyDescent="0.35">
      <c r="A16" s="6" t="s">
        <v>70</v>
      </c>
      <c r="B16" s="63" t="s">
        <v>52</v>
      </c>
      <c r="C16" s="61">
        <v>650</v>
      </c>
      <c r="D16" s="66">
        <v>239</v>
      </c>
      <c r="E16" s="80">
        <v>36.799999999999997</v>
      </c>
      <c r="F16" s="147">
        <v>40</v>
      </c>
      <c r="G16" s="146" t="s">
        <v>695</v>
      </c>
      <c r="H16" s="97">
        <v>21501</v>
      </c>
      <c r="J16" t="s">
        <v>70</v>
      </c>
      <c r="K16" s="6" t="s">
        <v>70</v>
      </c>
      <c r="L16" s="22">
        <v>301</v>
      </c>
      <c r="M16" s="76" t="s">
        <v>52</v>
      </c>
      <c r="N16" s="69">
        <v>301</v>
      </c>
    </row>
    <row r="17" spans="1:18" ht="15" thickBot="1" x14ac:dyDescent="0.35">
      <c r="A17" s="17" t="s">
        <v>7</v>
      </c>
      <c r="B17" s="63" t="s">
        <v>28</v>
      </c>
      <c r="C17" s="61">
        <v>450</v>
      </c>
      <c r="D17" s="66">
        <v>168</v>
      </c>
      <c r="E17" s="80">
        <v>37.299999999999997</v>
      </c>
      <c r="F17" s="147">
        <v>41.3</v>
      </c>
      <c r="G17" s="146" t="s">
        <v>696</v>
      </c>
      <c r="H17" s="98">
        <v>15533</v>
      </c>
      <c r="J17" t="s">
        <v>7</v>
      </c>
      <c r="K17" s="17" t="s">
        <v>7</v>
      </c>
      <c r="L17" s="22">
        <v>305</v>
      </c>
      <c r="M17" s="76" t="s">
        <v>28</v>
      </c>
      <c r="N17" s="69">
        <v>305</v>
      </c>
    </row>
    <row r="18" spans="1:18" ht="15" thickBot="1" x14ac:dyDescent="0.35">
      <c r="A18" s="6" t="s">
        <v>8</v>
      </c>
      <c r="B18" s="63" t="s">
        <v>53</v>
      </c>
      <c r="C18" s="61">
        <v>1500</v>
      </c>
      <c r="D18" s="66">
        <v>533</v>
      </c>
      <c r="E18" s="80">
        <v>35.5</v>
      </c>
      <c r="F18" s="147">
        <v>39.799999999999997</v>
      </c>
      <c r="G18" s="146" t="s">
        <v>697</v>
      </c>
      <c r="H18" s="97">
        <v>72872</v>
      </c>
      <c r="J18" t="s">
        <v>8</v>
      </c>
      <c r="K18" s="6" t="s">
        <v>8</v>
      </c>
      <c r="L18" s="22">
        <v>405</v>
      </c>
      <c r="M18" s="76" t="s">
        <v>85</v>
      </c>
      <c r="N18" s="69">
        <v>405</v>
      </c>
    </row>
    <row r="19" spans="1:18" ht="15" thickBot="1" x14ac:dyDescent="0.35">
      <c r="A19" s="17" t="s">
        <v>9</v>
      </c>
      <c r="B19" s="63" t="s">
        <v>29</v>
      </c>
      <c r="C19" s="61">
        <v>650</v>
      </c>
      <c r="D19" s="66">
        <v>262</v>
      </c>
      <c r="E19" s="80">
        <v>40.299999999999997</v>
      </c>
      <c r="F19" s="147">
        <v>39.700000000000003</v>
      </c>
      <c r="G19" s="146" t="s">
        <v>698</v>
      </c>
      <c r="H19" s="98">
        <v>22745</v>
      </c>
      <c r="J19" t="s">
        <v>9</v>
      </c>
      <c r="K19" s="17" t="s">
        <v>9</v>
      </c>
      <c r="L19" s="22">
        <v>418</v>
      </c>
      <c r="M19" s="76" t="s">
        <v>29</v>
      </c>
      <c r="N19" s="69">
        <v>418</v>
      </c>
    </row>
    <row r="20" spans="1:18" ht="15" thickBot="1" x14ac:dyDescent="0.35">
      <c r="A20" s="6" t="s">
        <v>54</v>
      </c>
      <c r="B20" s="63" t="s">
        <v>54</v>
      </c>
      <c r="C20" s="61">
        <v>450</v>
      </c>
      <c r="D20" s="66">
        <v>168</v>
      </c>
      <c r="E20" s="80">
        <v>37.299999999999997</v>
      </c>
      <c r="F20" s="147">
        <v>42</v>
      </c>
      <c r="G20" s="146" t="s">
        <v>699</v>
      </c>
      <c r="H20" s="97">
        <v>12301</v>
      </c>
      <c r="J20" t="s">
        <v>54</v>
      </c>
      <c r="K20" s="6" t="s">
        <v>54</v>
      </c>
      <c r="L20" s="22">
        <v>426</v>
      </c>
      <c r="M20" s="76" t="s">
        <v>54</v>
      </c>
      <c r="N20" s="69">
        <v>426</v>
      </c>
    </row>
    <row r="21" spans="1:18" ht="15" thickBot="1" x14ac:dyDescent="0.35">
      <c r="A21" s="17" t="s">
        <v>71</v>
      </c>
      <c r="B21" s="63" t="s">
        <v>55</v>
      </c>
      <c r="C21" s="61">
        <v>1200</v>
      </c>
      <c r="D21" s="66">
        <v>437</v>
      </c>
      <c r="E21" s="80">
        <v>36.4</v>
      </c>
      <c r="F21" s="147">
        <v>36.799999999999997</v>
      </c>
      <c r="G21" s="146" t="s">
        <v>700</v>
      </c>
      <c r="H21" s="98">
        <v>54517</v>
      </c>
      <c r="J21" t="s">
        <v>71</v>
      </c>
      <c r="K21" s="17" t="s">
        <v>71</v>
      </c>
      <c r="L21" s="22">
        <v>491</v>
      </c>
      <c r="M21" s="76" t="s">
        <v>86</v>
      </c>
      <c r="N21" s="69">
        <v>491</v>
      </c>
    </row>
    <row r="22" spans="1:18" ht="15" thickBot="1" x14ac:dyDescent="0.35">
      <c r="A22" s="6" t="s">
        <v>10</v>
      </c>
      <c r="B22" s="63" t="s">
        <v>30</v>
      </c>
      <c r="C22" s="61">
        <v>500</v>
      </c>
      <c r="D22" s="66">
        <v>219</v>
      </c>
      <c r="E22" s="80">
        <v>43.8</v>
      </c>
      <c r="F22" s="147">
        <v>49.1</v>
      </c>
      <c r="G22" s="146" t="s">
        <v>701</v>
      </c>
      <c r="H22" s="97">
        <v>19380</v>
      </c>
      <c r="J22" t="s">
        <v>10</v>
      </c>
      <c r="K22" s="6" t="s">
        <v>10</v>
      </c>
      <c r="L22" s="22">
        <v>499</v>
      </c>
      <c r="M22" s="76" t="s">
        <v>87</v>
      </c>
      <c r="N22" s="69">
        <v>499</v>
      </c>
    </row>
    <row r="23" spans="1:18" ht="15" thickBot="1" x14ac:dyDescent="0.35">
      <c r="A23" s="17" t="s">
        <v>56</v>
      </c>
      <c r="B23" s="63" t="s">
        <v>56</v>
      </c>
      <c r="C23" s="61">
        <v>450</v>
      </c>
      <c r="D23" s="66">
        <v>179</v>
      </c>
      <c r="E23" s="80">
        <v>39.799999999999997</v>
      </c>
      <c r="F23" s="147">
        <v>44.2</v>
      </c>
      <c r="G23" s="146" t="s">
        <v>702</v>
      </c>
      <c r="H23" s="98">
        <v>10889</v>
      </c>
      <c r="J23" t="s">
        <v>56</v>
      </c>
      <c r="K23" s="17" t="s">
        <v>56</v>
      </c>
      <c r="L23" s="22">
        <v>535</v>
      </c>
      <c r="M23" s="76" t="s">
        <v>56</v>
      </c>
      <c r="N23" s="69">
        <v>535</v>
      </c>
    </row>
    <row r="24" spans="1:18" ht="15" thickBot="1" x14ac:dyDescent="0.35">
      <c r="A24" s="6" t="s">
        <v>11</v>
      </c>
      <c r="B24" s="63" t="s">
        <v>57</v>
      </c>
      <c r="C24" s="61">
        <v>1800</v>
      </c>
      <c r="D24" s="66">
        <v>639</v>
      </c>
      <c r="E24" s="80">
        <v>35.5</v>
      </c>
      <c r="F24" s="147">
        <v>36.700000000000003</v>
      </c>
      <c r="G24" s="146" t="s">
        <v>703</v>
      </c>
      <c r="H24" s="97">
        <v>200526</v>
      </c>
      <c r="J24" t="s">
        <v>11</v>
      </c>
      <c r="K24" s="6" t="s">
        <v>11</v>
      </c>
      <c r="L24" s="22">
        <v>564</v>
      </c>
      <c r="M24" s="76" t="s">
        <v>88</v>
      </c>
      <c r="N24" s="69">
        <v>464</v>
      </c>
    </row>
    <row r="25" spans="1:18" ht="15" thickBot="1" x14ac:dyDescent="0.35">
      <c r="A25" s="17" t="s">
        <v>58</v>
      </c>
      <c r="B25" s="63" t="s">
        <v>58</v>
      </c>
      <c r="C25" s="61">
        <v>300</v>
      </c>
      <c r="D25" s="66">
        <v>114</v>
      </c>
      <c r="E25" s="80">
        <v>38</v>
      </c>
      <c r="F25" s="147">
        <v>47.7</v>
      </c>
      <c r="G25" s="146" t="s">
        <v>704</v>
      </c>
      <c r="H25" s="98">
        <v>3491</v>
      </c>
      <c r="J25" t="s">
        <v>58</v>
      </c>
      <c r="K25" s="17" t="s">
        <v>58</v>
      </c>
      <c r="L25" s="22">
        <v>578</v>
      </c>
      <c r="M25" s="76" t="s">
        <v>58</v>
      </c>
      <c r="N25" s="69">
        <v>578</v>
      </c>
    </row>
    <row r="26" spans="1:18" ht="15" thickBot="1" x14ac:dyDescent="0.35">
      <c r="A26" s="6" t="s">
        <v>59</v>
      </c>
      <c r="B26" s="63" t="s">
        <v>59</v>
      </c>
      <c r="C26" s="61">
        <v>400</v>
      </c>
      <c r="D26" s="66">
        <v>143</v>
      </c>
      <c r="E26" s="80">
        <v>35.75</v>
      </c>
      <c r="F26" s="147">
        <v>38.799999999999997</v>
      </c>
      <c r="G26" s="146" t="s">
        <v>705</v>
      </c>
      <c r="H26" s="97">
        <v>6692</v>
      </c>
      <c r="J26" t="s">
        <v>59</v>
      </c>
      <c r="K26" s="6" t="s">
        <v>59</v>
      </c>
      <c r="L26" s="22">
        <v>581</v>
      </c>
      <c r="M26" s="76" t="s">
        <v>59</v>
      </c>
      <c r="N26" s="69">
        <v>581</v>
      </c>
      <c r="R26" s="150"/>
    </row>
    <row r="27" spans="1:18" ht="15" thickBot="1" x14ac:dyDescent="0.35">
      <c r="A27" s="17" t="s">
        <v>60</v>
      </c>
      <c r="B27" s="63" t="s">
        <v>60</v>
      </c>
      <c r="C27" s="61">
        <v>350</v>
      </c>
      <c r="D27" s="66">
        <v>144</v>
      </c>
      <c r="E27" s="80">
        <v>41.1</v>
      </c>
      <c r="F27" s="147">
        <v>45.1</v>
      </c>
      <c r="G27" s="146" t="s">
        <v>706</v>
      </c>
      <c r="H27" s="98">
        <v>3981</v>
      </c>
      <c r="J27" t="s">
        <v>60</v>
      </c>
      <c r="K27" s="17" t="s">
        <v>60</v>
      </c>
      <c r="L27" s="22">
        <v>592</v>
      </c>
      <c r="M27" s="76" t="s">
        <v>60</v>
      </c>
      <c r="N27" s="69">
        <v>592</v>
      </c>
      <c r="R27" s="105"/>
    </row>
    <row r="28" spans="1:18" ht="15" thickBot="1" x14ac:dyDescent="0.35">
      <c r="A28" s="6" t="s">
        <v>12</v>
      </c>
      <c r="B28" s="63" t="s">
        <v>31</v>
      </c>
      <c r="C28" s="61">
        <v>400</v>
      </c>
      <c r="D28" s="66">
        <v>135</v>
      </c>
      <c r="E28" s="80">
        <v>33.75</v>
      </c>
      <c r="F28" s="147">
        <v>39.799999999999997</v>
      </c>
      <c r="G28" s="146" t="s">
        <v>707</v>
      </c>
      <c r="H28" s="97">
        <v>8187</v>
      </c>
      <c r="J28" t="s">
        <v>12</v>
      </c>
      <c r="K28" s="6" t="s">
        <v>12</v>
      </c>
      <c r="L28" s="22">
        <v>615</v>
      </c>
      <c r="M28" s="76" t="s">
        <v>31</v>
      </c>
      <c r="N28" s="69">
        <v>615</v>
      </c>
      <c r="R28" s="150"/>
    </row>
    <row r="29" spans="1:18" ht="15" thickBot="1" x14ac:dyDescent="0.35">
      <c r="A29" s="143" t="s">
        <v>23</v>
      </c>
      <c r="B29" s="63" t="s">
        <v>23</v>
      </c>
      <c r="C29" s="61">
        <v>900</v>
      </c>
      <c r="D29" s="66">
        <v>348</v>
      </c>
      <c r="E29" s="80">
        <v>38.700000000000003</v>
      </c>
      <c r="F29" s="147">
        <v>42.4</v>
      </c>
      <c r="G29" s="146" t="s">
        <v>708</v>
      </c>
      <c r="H29" s="98">
        <v>28077</v>
      </c>
      <c r="J29" t="s">
        <v>23</v>
      </c>
      <c r="K29" s="17" t="s">
        <v>23</v>
      </c>
      <c r="L29" s="22">
        <v>710</v>
      </c>
      <c r="M29" s="76" t="s">
        <v>89</v>
      </c>
      <c r="N29" s="69">
        <v>710</v>
      </c>
    </row>
    <row r="30" spans="1:18" ht="15" thickBot="1" x14ac:dyDescent="0.35">
      <c r="A30" s="144" t="s">
        <v>61</v>
      </c>
      <c r="B30" s="63" t="s">
        <v>61</v>
      </c>
      <c r="C30" s="61">
        <v>650</v>
      </c>
      <c r="D30" s="66">
        <v>248</v>
      </c>
      <c r="E30" s="80">
        <v>38.15</v>
      </c>
      <c r="F30" s="147">
        <v>36.5</v>
      </c>
      <c r="G30" s="146" t="s">
        <v>709</v>
      </c>
      <c r="H30" s="97">
        <v>24283</v>
      </c>
      <c r="J30" t="s">
        <v>61</v>
      </c>
      <c r="K30" s="6" t="s">
        <v>61</v>
      </c>
      <c r="L30" s="22">
        <v>680</v>
      </c>
      <c r="M30" s="76" t="s">
        <v>90</v>
      </c>
      <c r="N30" s="69">
        <v>680</v>
      </c>
    </row>
    <row r="31" spans="1:18" ht="15" thickBot="1" x14ac:dyDescent="0.35">
      <c r="A31" s="143" t="s">
        <v>62</v>
      </c>
      <c r="B31" s="63" t="s">
        <v>62</v>
      </c>
      <c r="C31" s="61">
        <v>300</v>
      </c>
      <c r="D31" s="66">
        <v>115</v>
      </c>
      <c r="E31" s="80">
        <v>38.299999999999997</v>
      </c>
      <c r="F31" s="147">
        <v>40.700000000000003</v>
      </c>
      <c r="G31" s="146" t="s">
        <v>710</v>
      </c>
      <c r="H31" s="98">
        <v>3288</v>
      </c>
      <c r="J31" t="s">
        <v>62</v>
      </c>
      <c r="K31" s="17" t="s">
        <v>62</v>
      </c>
      <c r="L31" s="22">
        <v>686</v>
      </c>
      <c r="M31" s="76" t="s">
        <v>62</v>
      </c>
      <c r="N31" s="69">
        <v>686</v>
      </c>
    </row>
    <row r="32" spans="1:18" ht="15" thickBot="1" x14ac:dyDescent="0.35">
      <c r="A32" s="6" t="s">
        <v>13</v>
      </c>
      <c r="B32" s="63" t="s">
        <v>63</v>
      </c>
      <c r="C32" s="61">
        <v>1400</v>
      </c>
      <c r="D32" s="66">
        <v>525</v>
      </c>
      <c r="E32" s="80">
        <v>37.5</v>
      </c>
      <c r="F32" s="147">
        <v>38.200000000000003</v>
      </c>
      <c r="G32" s="146" t="s">
        <v>711</v>
      </c>
      <c r="H32" s="97">
        <v>53546</v>
      </c>
      <c r="J32" t="s">
        <v>13</v>
      </c>
      <c r="K32" s="6" t="s">
        <v>13</v>
      </c>
      <c r="L32" s="22">
        <v>734</v>
      </c>
      <c r="M32" s="76" t="s">
        <v>63</v>
      </c>
      <c r="N32" s="69">
        <v>734</v>
      </c>
    </row>
    <row r="33" spans="1:14" ht="15" thickBot="1" x14ac:dyDescent="0.35">
      <c r="A33" s="17" t="s">
        <v>14</v>
      </c>
      <c r="B33" s="63" t="s">
        <v>32</v>
      </c>
      <c r="C33" s="61">
        <v>500</v>
      </c>
      <c r="D33" s="66">
        <v>158</v>
      </c>
      <c r="E33" s="80">
        <v>31.6</v>
      </c>
      <c r="F33" s="147">
        <v>42</v>
      </c>
      <c r="G33" s="146" t="s">
        <v>712</v>
      </c>
      <c r="H33" s="98">
        <v>19922</v>
      </c>
      <c r="J33" t="s">
        <v>14</v>
      </c>
      <c r="K33" s="17" t="s">
        <v>14</v>
      </c>
      <c r="L33" s="22">
        <v>753</v>
      </c>
      <c r="M33" s="76" t="s">
        <v>91</v>
      </c>
      <c r="N33" s="69">
        <v>753</v>
      </c>
    </row>
    <row r="34" spans="1:14" ht="15" thickBot="1" x14ac:dyDescent="0.35">
      <c r="A34" s="6" t="s">
        <v>64</v>
      </c>
      <c r="B34" s="63" t="s">
        <v>64</v>
      </c>
      <c r="C34" s="61">
        <v>450</v>
      </c>
      <c r="D34" s="66">
        <v>167</v>
      </c>
      <c r="E34" s="80">
        <v>37.1</v>
      </c>
      <c r="F34" s="147">
        <v>37.1</v>
      </c>
      <c r="G34" s="146" t="s">
        <v>713</v>
      </c>
      <c r="H34" s="97">
        <v>6988</v>
      </c>
      <c r="J34" t="s">
        <v>64</v>
      </c>
      <c r="K34" s="6" t="s">
        <v>64</v>
      </c>
      <c r="L34" s="22">
        <v>783</v>
      </c>
      <c r="M34" s="76" t="s">
        <v>64</v>
      </c>
      <c r="N34" s="69">
        <v>783</v>
      </c>
    </row>
    <row r="35" spans="1:14" ht="15" thickBot="1" x14ac:dyDescent="0.35">
      <c r="A35" s="17" t="s">
        <v>65</v>
      </c>
      <c r="B35" s="63" t="s">
        <v>65</v>
      </c>
      <c r="C35" s="61">
        <v>1900</v>
      </c>
      <c r="D35" s="66">
        <v>692</v>
      </c>
      <c r="E35" s="80">
        <v>36.4</v>
      </c>
      <c r="F35" s="147">
        <v>36.9</v>
      </c>
      <c r="G35" s="146" t="s">
        <v>714</v>
      </c>
      <c r="H35" s="98">
        <v>228274</v>
      </c>
      <c r="J35" t="s">
        <v>65</v>
      </c>
      <c r="K35" s="17" t="s">
        <v>65</v>
      </c>
      <c r="L35" s="22">
        <v>837</v>
      </c>
      <c r="M35" s="76" t="s">
        <v>92</v>
      </c>
      <c r="N35" s="69">
        <v>837</v>
      </c>
    </row>
    <row r="36" spans="1:14" ht="15" thickBot="1" x14ac:dyDescent="0.35">
      <c r="A36" s="6" t="s">
        <v>66</v>
      </c>
      <c r="B36" s="63" t="s">
        <v>66</v>
      </c>
      <c r="C36" s="61">
        <v>650</v>
      </c>
      <c r="D36" s="66">
        <v>202</v>
      </c>
      <c r="E36" s="80">
        <v>31.1</v>
      </c>
      <c r="F36" s="147">
        <v>36.9</v>
      </c>
      <c r="G36" s="146" t="s">
        <v>715</v>
      </c>
      <c r="H36" s="97">
        <v>22117</v>
      </c>
      <c r="J36" t="s">
        <v>66</v>
      </c>
      <c r="K36" s="6" t="s">
        <v>66</v>
      </c>
      <c r="L36" s="22">
        <v>851</v>
      </c>
      <c r="M36" s="76" t="s">
        <v>93</v>
      </c>
      <c r="N36" s="69">
        <v>851</v>
      </c>
    </row>
    <row r="37" spans="1:14" ht="15" thickBot="1" x14ac:dyDescent="0.35">
      <c r="A37" s="17" t="s">
        <v>15</v>
      </c>
      <c r="B37" s="63" t="s">
        <v>33</v>
      </c>
      <c r="C37" s="61">
        <v>1800</v>
      </c>
      <c r="D37" s="66">
        <v>627</v>
      </c>
      <c r="E37" s="80">
        <v>34.799999999999997</v>
      </c>
      <c r="F37" s="147">
        <v>38.1</v>
      </c>
      <c r="G37" s="146" t="s">
        <v>716</v>
      </c>
      <c r="H37" s="98">
        <v>187604</v>
      </c>
      <c r="J37" t="s">
        <v>15</v>
      </c>
      <c r="K37" s="17" t="s">
        <v>15</v>
      </c>
      <c r="L37" s="22">
        <v>853</v>
      </c>
      <c r="M37" s="76" t="s">
        <v>94</v>
      </c>
      <c r="N37" s="69">
        <v>853</v>
      </c>
    </row>
    <row r="38" spans="1:14" ht="15" thickBot="1" x14ac:dyDescent="0.35">
      <c r="A38" s="6" t="s">
        <v>16</v>
      </c>
      <c r="B38" s="63" t="s">
        <v>67</v>
      </c>
      <c r="C38" s="61">
        <v>1200</v>
      </c>
      <c r="D38" s="66">
        <v>387</v>
      </c>
      <c r="E38" s="80">
        <v>32.200000000000003</v>
      </c>
      <c r="F38" s="147">
        <v>35.799999999999997</v>
      </c>
      <c r="G38" s="146" t="s">
        <v>717</v>
      </c>
      <c r="H38" s="97">
        <v>67620</v>
      </c>
      <c r="J38" t="s">
        <v>16</v>
      </c>
      <c r="K38" s="6" t="s">
        <v>16</v>
      </c>
      <c r="L38" s="22">
        <v>905</v>
      </c>
      <c r="M38" s="76" t="s">
        <v>95</v>
      </c>
      <c r="N38" s="69">
        <v>905</v>
      </c>
    </row>
    <row r="39" spans="1:14" ht="15" thickBot="1" x14ac:dyDescent="0.35">
      <c r="A39" s="17" t="s">
        <v>68</v>
      </c>
      <c r="B39" s="63" t="s">
        <v>68</v>
      </c>
      <c r="C39" s="61">
        <v>1900</v>
      </c>
      <c r="D39" s="66">
        <v>624</v>
      </c>
      <c r="E39" s="80">
        <v>32.799999999999997</v>
      </c>
      <c r="F39" s="147">
        <v>36.700000000000003</v>
      </c>
      <c r="G39" s="146" t="s">
        <v>718</v>
      </c>
      <c r="H39" s="98">
        <v>219341</v>
      </c>
      <c r="J39" t="s">
        <v>68</v>
      </c>
      <c r="K39" s="17" t="s">
        <v>68</v>
      </c>
      <c r="L39" s="22">
        <v>92</v>
      </c>
      <c r="M39" s="76" t="s">
        <v>96</v>
      </c>
      <c r="N39" s="69">
        <v>92</v>
      </c>
    </row>
    <row r="40" spans="1:14" ht="15" thickBot="1" x14ac:dyDescent="0.35">
      <c r="A40" s="6" t="s">
        <v>17</v>
      </c>
      <c r="B40" s="63" t="s">
        <v>34</v>
      </c>
      <c r="C40" s="61">
        <v>300</v>
      </c>
      <c r="D40" s="66">
        <v>99</v>
      </c>
      <c r="E40" s="80">
        <v>33</v>
      </c>
      <c r="F40" s="147">
        <v>45.3</v>
      </c>
      <c r="G40" s="146" t="s">
        <v>719</v>
      </c>
      <c r="H40" s="97">
        <v>3025</v>
      </c>
      <c r="J40" t="s">
        <v>17</v>
      </c>
      <c r="K40" s="6" t="s">
        <v>17</v>
      </c>
      <c r="L40" s="22">
        <v>934</v>
      </c>
      <c r="M40" s="76" t="s">
        <v>34</v>
      </c>
      <c r="N40" s="69">
        <v>934</v>
      </c>
    </row>
    <row r="41" spans="1:14" ht="15" thickBot="1" x14ac:dyDescent="0.35">
      <c r="A41" s="17" t="s">
        <v>24</v>
      </c>
      <c r="B41" s="63" t="s">
        <v>24</v>
      </c>
      <c r="C41" s="61">
        <v>400</v>
      </c>
      <c r="D41" s="66">
        <v>185</v>
      </c>
      <c r="E41" s="80">
        <v>46.2</v>
      </c>
      <c r="F41" s="147">
        <v>46.8</v>
      </c>
      <c r="G41" s="146" t="s">
        <v>720</v>
      </c>
      <c r="H41" s="98">
        <v>6684</v>
      </c>
      <c r="J41" t="s">
        <v>24</v>
      </c>
      <c r="K41" s="17" t="s">
        <v>24</v>
      </c>
      <c r="L41" s="22">
        <v>946</v>
      </c>
      <c r="M41" s="76" t="s">
        <v>97</v>
      </c>
      <c r="N41" s="69">
        <v>946</v>
      </c>
    </row>
    <row r="42" spans="1:14" ht="14" thickBot="1" x14ac:dyDescent="0.3">
      <c r="B42" s="20" t="s">
        <v>35</v>
      </c>
      <c r="C42" s="52">
        <v>32450</v>
      </c>
      <c r="D42" s="51">
        <v>11856</v>
      </c>
      <c r="E42" s="81">
        <v>36.5</v>
      </c>
      <c r="F42" s="148">
        <v>39.299999999999997</v>
      </c>
    </row>
    <row r="44" spans="1:14" ht="14.5" x14ac:dyDescent="0.25">
      <c r="A44" s="82"/>
      <c r="B44" s="83"/>
      <c r="C44" s="84"/>
      <c r="D44" s="84"/>
      <c r="E44" s="84"/>
      <c r="F44" s="84"/>
      <c r="G44" s="85"/>
      <c r="H44" s="82"/>
      <c r="I44" s="82"/>
    </row>
    <row r="45" spans="1:14" ht="14.5" x14ac:dyDescent="0.25">
      <c r="A45" s="82"/>
      <c r="B45" s="83"/>
      <c r="C45" s="84"/>
      <c r="D45" s="84"/>
      <c r="E45" s="84"/>
      <c r="F45" s="84"/>
      <c r="G45" s="85"/>
      <c r="H45" s="82"/>
      <c r="I45" s="82"/>
    </row>
  </sheetData>
  <sortState ref="A2:E41">
    <sortCondition ref="A2:A41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activeCell="A6" sqref="A6"/>
    </sheetView>
  </sheetViews>
  <sheetFormatPr defaultColWidth="8.7109375" defaultRowHeight="13.5" x14ac:dyDescent="0.25"/>
  <cols>
    <col min="1" max="1" width="19" style="105" customWidth="1"/>
    <col min="2" max="16384" width="8.7109375" style="105"/>
  </cols>
  <sheetData>
    <row r="1" spans="1:14" x14ac:dyDescent="0.25">
      <c r="A1" s="135" t="s">
        <v>598</v>
      </c>
    </row>
    <row r="2" spans="1:14" x14ac:dyDescent="0.25">
      <c r="A2" s="104" t="s">
        <v>599</v>
      </c>
    </row>
    <row r="3" spans="1:14" x14ac:dyDescent="0.25">
      <c r="A3" s="104"/>
    </row>
    <row r="4" spans="1:14" x14ac:dyDescent="0.25">
      <c r="A4" s="104" t="s">
        <v>600</v>
      </c>
    </row>
    <row r="6" spans="1:14" x14ac:dyDescent="0.25">
      <c r="A6" s="104" t="s">
        <v>554</v>
      </c>
    </row>
    <row r="9" spans="1:14" ht="14" x14ac:dyDescent="0.3">
      <c r="A9" s="126" t="s">
        <v>435</v>
      </c>
    </row>
    <row r="10" spans="1:14" ht="14" x14ac:dyDescent="0.3">
      <c r="A10" s="128" t="s">
        <v>157</v>
      </c>
      <c r="B10" s="129" t="s">
        <v>601</v>
      </c>
      <c r="C10" s="129" t="s">
        <v>602</v>
      </c>
      <c r="D10" s="129" t="s">
        <v>603</v>
      </c>
      <c r="E10" s="129" t="s">
        <v>604</v>
      </c>
      <c r="F10" s="129" t="s">
        <v>605</v>
      </c>
      <c r="G10" s="129" t="s">
        <v>606</v>
      </c>
      <c r="H10" s="129" t="s">
        <v>607</v>
      </c>
      <c r="I10" s="129" t="s">
        <v>608</v>
      </c>
      <c r="J10" s="129" t="s">
        <v>609</v>
      </c>
      <c r="K10" s="129" t="s">
        <v>610</v>
      </c>
      <c r="L10" s="129" t="s">
        <v>611</v>
      </c>
      <c r="M10" s="129" t="s">
        <v>612</v>
      </c>
      <c r="N10" s="130" t="s">
        <v>421</v>
      </c>
    </row>
    <row r="11" spans="1:14" x14ac:dyDescent="0.25">
      <c r="A11" s="131" t="s">
        <v>42</v>
      </c>
      <c r="B11" s="132">
        <v>35.384615384615387</v>
      </c>
      <c r="C11" s="132">
        <v>26.229508196721312</v>
      </c>
      <c r="D11" s="132">
        <v>41.791044776119406</v>
      </c>
      <c r="E11" s="132">
        <v>34.782608695652172</v>
      </c>
      <c r="F11" s="132">
        <v>18.181818181818183</v>
      </c>
      <c r="G11" s="132">
        <v>26.666666666666668</v>
      </c>
      <c r="H11" s="132">
        <v>43.07692307692308</v>
      </c>
      <c r="I11" s="132">
        <v>40.298507462686565</v>
      </c>
      <c r="J11" s="132">
        <v>25.396825396825395</v>
      </c>
      <c r="K11" s="132">
        <v>31.818181818181817</v>
      </c>
      <c r="L11" s="132">
        <v>24.193548387096776</v>
      </c>
      <c r="M11" s="132">
        <v>26.865671641791046</v>
      </c>
      <c r="N11" s="131">
        <v>119</v>
      </c>
    </row>
    <row r="12" spans="1:14" x14ac:dyDescent="0.25">
      <c r="A12" s="131" t="s">
        <v>43</v>
      </c>
      <c r="B12" s="132">
        <v>40.102827763496144</v>
      </c>
      <c r="C12" s="132">
        <v>35.142118863049099</v>
      </c>
      <c r="D12" s="132">
        <v>37.309644670050758</v>
      </c>
      <c r="E12" s="132">
        <v>32.624113475177303</v>
      </c>
      <c r="F12" s="132">
        <v>19.788918205804748</v>
      </c>
      <c r="G12" s="132">
        <v>18.449197860962567</v>
      </c>
      <c r="H12" s="132">
        <v>42.318059299191376</v>
      </c>
      <c r="I12" s="132">
        <v>24.396782841823057</v>
      </c>
      <c r="J12" s="132">
        <v>24.409448818897637</v>
      </c>
      <c r="K12" s="132">
        <v>17.241379310344829</v>
      </c>
      <c r="L12" s="132">
        <v>25.271739130434781</v>
      </c>
      <c r="M12" s="132">
        <v>23.015873015873016</v>
      </c>
      <c r="N12" s="131">
        <v>667</v>
      </c>
    </row>
    <row r="13" spans="1:14" x14ac:dyDescent="0.25">
      <c r="A13" s="131" t="s">
        <v>44</v>
      </c>
      <c r="B13" s="132">
        <v>37.662337662337663</v>
      </c>
      <c r="C13" s="132">
        <v>34.722222222222221</v>
      </c>
      <c r="D13" s="132">
        <v>40.259740259740262</v>
      </c>
      <c r="E13" s="132">
        <v>36.904761904761905</v>
      </c>
      <c r="F13" s="132">
        <v>21.917808219178081</v>
      </c>
      <c r="G13" s="132">
        <v>15.942028985507246</v>
      </c>
      <c r="H13" s="132">
        <v>31.081081081081081</v>
      </c>
      <c r="I13" s="132">
        <v>32.394366197183096</v>
      </c>
      <c r="J13" s="132">
        <v>28.205128205128204</v>
      </c>
      <c r="K13" s="132">
        <v>21.05263157894737</v>
      </c>
      <c r="L13" s="132">
        <v>22.388059701492537</v>
      </c>
      <c r="M13" s="132">
        <v>28.205128205128204</v>
      </c>
      <c r="N13" s="131">
        <v>165</v>
      </c>
    </row>
    <row r="14" spans="1:14" x14ac:dyDescent="0.25">
      <c r="A14" s="131" t="s">
        <v>68</v>
      </c>
      <c r="B14" s="132">
        <v>36.764705882352942</v>
      </c>
      <c r="C14" s="132">
        <v>33.815028901734102</v>
      </c>
      <c r="D14" s="132">
        <v>32.721712538226299</v>
      </c>
      <c r="E14" s="132">
        <v>27.428571428571427</v>
      </c>
      <c r="F14" s="132">
        <v>21.296296296296298</v>
      </c>
      <c r="G14" s="132">
        <v>22.33009708737864</v>
      </c>
      <c r="H14" s="132">
        <v>39.811912225705328</v>
      </c>
      <c r="I14" s="132">
        <v>24.683544303797468</v>
      </c>
      <c r="J14" s="132">
        <v>26.785714285714285</v>
      </c>
      <c r="K14" s="132">
        <v>20.307692307692307</v>
      </c>
      <c r="L14" s="132">
        <v>19.047619047619047</v>
      </c>
      <c r="M14" s="132">
        <v>24.390243902439025</v>
      </c>
      <c r="N14" s="131">
        <v>624</v>
      </c>
    </row>
    <row r="15" spans="1:14" x14ac:dyDescent="0.25">
      <c r="A15" s="131" t="s">
        <v>2</v>
      </c>
      <c r="B15" s="132">
        <v>30</v>
      </c>
      <c r="C15" s="132">
        <v>18.64406779661017</v>
      </c>
      <c r="D15" s="132">
        <v>35.483870967741936</v>
      </c>
      <c r="E15" s="132">
        <v>29.850746268656717</v>
      </c>
      <c r="F15" s="132">
        <v>23.333333333333332</v>
      </c>
      <c r="G15" s="132">
        <v>20.338983050847457</v>
      </c>
      <c r="H15" s="132">
        <v>30</v>
      </c>
      <c r="I15" s="132">
        <v>31.746031746031747</v>
      </c>
      <c r="J15" s="132">
        <v>25.423728813559322</v>
      </c>
      <c r="K15" s="132">
        <v>26.153846153846153</v>
      </c>
      <c r="L15" s="132">
        <v>18.96551724137931</v>
      </c>
      <c r="M15" s="132">
        <v>27.419354838709676</v>
      </c>
      <c r="N15" s="131">
        <v>99</v>
      </c>
    </row>
    <row r="16" spans="1:14" x14ac:dyDescent="0.25">
      <c r="A16" s="131" t="s">
        <v>3</v>
      </c>
      <c r="B16" s="132">
        <v>36.645962732919251</v>
      </c>
      <c r="C16" s="132">
        <v>31.410256410256409</v>
      </c>
      <c r="D16" s="132">
        <v>34.838709677419352</v>
      </c>
      <c r="E16" s="132">
        <v>37.804878048780488</v>
      </c>
      <c r="F16" s="132">
        <v>26.490066225165563</v>
      </c>
      <c r="G16" s="132">
        <v>26.666666666666668</v>
      </c>
      <c r="H16" s="132">
        <v>47.019867549668874</v>
      </c>
      <c r="I16" s="132">
        <v>34.193548387096776</v>
      </c>
      <c r="J16" s="132">
        <v>29.220779220779221</v>
      </c>
      <c r="K16" s="132">
        <v>28.571428571428573</v>
      </c>
      <c r="L16" s="132">
        <v>26.530612244897959</v>
      </c>
      <c r="M16" s="132">
        <v>30.718954248366014</v>
      </c>
      <c r="N16" s="131">
        <v>301</v>
      </c>
    </row>
    <row r="17" spans="1:14" x14ac:dyDescent="0.25">
      <c r="A17" s="131" t="s">
        <v>4</v>
      </c>
      <c r="B17" s="132">
        <v>35.179153094462542</v>
      </c>
      <c r="C17" s="132">
        <v>29.934210526315791</v>
      </c>
      <c r="D17" s="132">
        <v>36.655948553054664</v>
      </c>
      <c r="E17" s="132">
        <v>31.195335276967931</v>
      </c>
      <c r="F17" s="132">
        <v>26.072607260726073</v>
      </c>
      <c r="G17" s="132">
        <v>21.54882154882155</v>
      </c>
      <c r="H17" s="132">
        <v>40.131578947368418</v>
      </c>
      <c r="I17" s="132">
        <v>29.801324503311257</v>
      </c>
      <c r="J17" s="132">
        <v>32.012195121951223</v>
      </c>
      <c r="K17" s="132">
        <v>22.222222222222221</v>
      </c>
      <c r="L17" s="132">
        <v>19.453924914675767</v>
      </c>
      <c r="M17" s="132">
        <v>26.851851851851851</v>
      </c>
      <c r="N17" s="131">
        <v>600</v>
      </c>
    </row>
    <row r="18" spans="1:14" x14ac:dyDescent="0.25">
      <c r="A18" s="131" t="s">
        <v>46</v>
      </c>
      <c r="B18" s="132">
        <v>39.506172839506171</v>
      </c>
      <c r="C18" s="132">
        <v>26.25</v>
      </c>
      <c r="D18" s="132">
        <v>37.179487179487182</v>
      </c>
      <c r="E18" s="132">
        <v>40.243902439024389</v>
      </c>
      <c r="F18" s="132">
        <v>27.5</v>
      </c>
      <c r="G18" s="132">
        <v>28.75</v>
      </c>
      <c r="H18" s="132">
        <v>38.961038961038959</v>
      </c>
      <c r="I18" s="132">
        <v>27.5</v>
      </c>
      <c r="J18" s="132">
        <v>20.481927710843372</v>
      </c>
      <c r="K18" s="132">
        <v>22.784810126582279</v>
      </c>
      <c r="L18" s="132">
        <v>25.316455696202532</v>
      </c>
      <c r="M18" s="132">
        <v>32.098765432098766</v>
      </c>
      <c r="N18" s="131">
        <v>148</v>
      </c>
    </row>
    <row r="19" spans="1:14" x14ac:dyDescent="0.25">
      <c r="A19" s="131" t="s">
        <v>5</v>
      </c>
      <c r="B19" s="132">
        <v>38.586956521739133</v>
      </c>
      <c r="C19" s="132">
        <v>35.88390501319261</v>
      </c>
      <c r="D19" s="132">
        <v>34.903047091412745</v>
      </c>
      <c r="E19" s="132">
        <v>30.95823095823096</v>
      </c>
      <c r="F19" s="132">
        <v>25.333333333333332</v>
      </c>
      <c r="G19" s="132">
        <v>25.956284153005466</v>
      </c>
      <c r="H19" s="132">
        <v>48.108108108108105</v>
      </c>
      <c r="I19" s="132">
        <v>30.434782608695652</v>
      </c>
      <c r="J19" s="132">
        <v>35.45918367346939</v>
      </c>
      <c r="K19" s="132">
        <v>19.047619047619047</v>
      </c>
      <c r="L19" s="132">
        <v>22.1606648199446</v>
      </c>
      <c r="M19" s="132">
        <v>24.128686327077748</v>
      </c>
      <c r="N19" s="131">
        <v>650</v>
      </c>
    </row>
    <row r="20" spans="1:14" x14ac:dyDescent="0.25">
      <c r="A20" s="131" t="s">
        <v>48</v>
      </c>
      <c r="B20" s="132">
        <v>43.055555555555557</v>
      </c>
      <c r="C20" s="132">
        <v>31.884057971014492</v>
      </c>
      <c r="D20" s="132">
        <v>31.884057971014492</v>
      </c>
      <c r="E20" s="132">
        <v>41.25</v>
      </c>
      <c r="F20" s="132">
        <v>25.35211267605634</v>
      </c>
      <c r="G20" s="132">
        <v>22.388059701492537</v>
      </c>
      <c r="H20" s="132">
        <v>35.61643835616438</v>
      </c>
      <c r="I20" s="132">
        <v>33.333333333333336</v>
      </c>
      <c r="J20" s="132">
        <v>30.379746835443036</v>
      </c>
      <c r="K20" s="132">
        <v>24.050632911392405</v>
      </c>
      <c r="L20" s="132">
        <v>18.571428571428573</v>
      </c>
      <c r="M20" s="132">
        <v>25.974025974025974</v>
      </c>
      <c r="N20" s="131">
        <v>135</v>
      </c>
    </row>
    <row r="21" spans="1:14" x14ac:dyDescent="0.25">
      <c r="A21" s="131" t="s">
        <v>49</v>
      </c>
      <c r="B21" s="132">
        <v>38.333333333333336</v>
      </c>
      <c r="C21" s="132">
        <v>31.147540983606557</v>
      </c>
      <c r="D21" s="132">
        <v>37.288135593220339</v>
      </c>
      <c r="E21" s="132">
        <v>48.484848484848484</v>
      </c>
      <c r="F21" s="132">
        <v>30.64516129032258</v>
      </c>
      <c r="G21" s="132">
        <v>37.288135593220339</v>
      </c>
      <c r="H21" s="132">
        <v>50.847457627118644</v>
      </c>
      <c r="I21" s="132">
        <v>44.827586206896555</v>
      </c>
      <c r="J21" s="132">
        <v>26.229508196721312</v>
      </c>
      <c r="K21" s="132">
        <v>34.375</v>
      </c>
      <c r="L21" s="132">
        <v>16.949152542372882</v>
      </c>
      <c r="M21" s="132">
        <v>28.571428571428573</v>
      </c>
      <c r="N21" s="131">
        <v>105</v>
      </c>
    </row>
    <row r="22" spans="1:14" x14ac:dyDescent="0.25">
      <c r="A22" s="131" t="s">
        <v>50</v>
      </c>
      <c r="B22" s="132">
        <v>41.228070175438596</v>
      </c>
      <c r="C22" s="132">
        <v>33.653846153846153</v>
      </c>
      <c r="D22" s="132">
        <v>34.313725490196077</v>
      </c>
      <c r="E22" s="132">
        <v>40.869565217391305</v>
      </c>
      <c r="F22" s="132">
        <v>35.57692307692308</v>
      </c>
      <c r="G22" s="132">
        <v>25.252525252525253</v>
      </c>
      <c r="H22" s="132">
        <v>40.594059405940591</v>
      </c>
      <c r="I22" s="132">
        <v>44.230769230769234</v>
      </c>
      <c r="J22" s="132">
        <v>38.679245283018865</v>
      </c>
      <c r="K22" s="132">
        <v>29.62962962962963</v>
      </c>
      <c r="L22" s="132">
        <v>27</v>
      </c>
      <c r="M22" s="132">
        <v>29.523809523809526</v>
      </c>
      <c r="N22" s="131">
        <v>194</v>
      </c>
    </row>
    <row r="23" spans="1:14" x14ac:dyDescent="0.25">
      <c r="A23" s="131" t="s">
        <v>69</v>
      </c>
      <c r="B23" s="132">
        <v>40.104166666666664</v>
      </c>
      <c r="C23" s="132">
        <v>32.777777777777779</v>
      </c>
      <c r="D23" s="132">
        <v>38.505747126436781</v>
      </c>
      <c r="E23" s="132">
        <v>39.705882352941174</v>
      </c>
      <c r="F23" s="132">
        <v>25.405405405405407</v>
      </c>
      <c r="G23" s="132">
        <v>23.888888888888889</v>
      </c>
      <c r="H23" s="132">
        <v>40.437158469945352</v>
      </c>
      <c r="I23" s="132">
        <v>30.555555555555557</v>
      </c>
      <c r="J23" s="132">
        <v>36.458333333333336</v>
      </c>
      <c r="K23" s="132">
        <v>24.468085106382979</v>
      </c>
      <c r="L23" s="132">
        <v>24.293785310734464</v>
      </c>
      <c r="M23" s="132">
        <v>27.368421052631579</v>
      </c>
      <c r="N23" s="131">
        <v>350</v>
      </c>
    </row>
    <row r="24" spans="1:14" x14ac:dyDescent="0.25">
      <c r="A24" s="131" t="s">
        <v>6</v>
      </c>
      <c r="B24" s="132">
        <v>32.835820895522389</v>
      </c>
      <c r="C24" s="132">
        <v>30</v>
      </c>
      <c r="D24" s="132">
        <v>31.443298969072163</v>
      </c>
      <c r="E24" s="132">
        <v>31.963470319634702</v>
      </c>
      <c r="F24" s="132">
        <v>26.262626262626263</v>
      </c>
      <c r="G24" s="132">
        <v>26.063829787234042</v>
      </c>
      <c r="H24" s="132">
        <v>38.541666666666664</v>
      </c>
      <c r="I24" s="132">
        <v>30.729166666666668</v>
      </c>
      <c r="J24" s="132">
        <v>38.613861386138616</v>
      </c>
      <c r="K24" s="132">
        <v>22.926829268292682</v>
      </c>
      <c r="L24" s="132">
        <v>27.083333333333332</v>
      </c>
      <c r="M24" s="132">
        <v>23.737373737373737</v>
      </c>
      <c r="N24" s="131">
        <v>389</v>
      </c>
    </row>
    <row r="25" spans="1:14" x14ac:dyDescent="0.25">
      <c r="A25" s="131" t="s">
        <v>70</v>
      </c>
      <c r="B25" s="132">
        <v>33.587786259541986</v>
      </c>
      <c r="C25" s="132">
        <v>25.396825396825395</v>
      </c>
      <c r="D25" s="132">
        <v>32.539682539682538</v>
      </c>
      <c r="E25" s="132">
        <v>41.428571428571431</v>
      </c>
      <c r="F25" s="132">
        <v>30.534351145038169</v>
      </c>
      <c r="G25" s="132">
        <v>21.951219512195124</v>
      </c>
      <c r="H25" s="132">
        <v>33.6</v>
      </c>
      <c r="I25" s="132">
        <v>38.28125</v>
      </c>
      <c r="J25" s="132">
        <v>28.8</v>
      </c>
      <c r="K25" s="132">
        <v>30.555555555555557</v>
      </c>
      <c r="L25" s="132">
        <v>18.253968253968253</v>
      </c>
      <c r="M25" s="132">
        <v>30</v>
      </c>
      <c r="N25" s="131">
        <v>239</v>
      </c>
    </row>
    <row r="26" spans="1:14" x14ac:dyDescent="0.25">
      <c r="A26" s="131" t="s">
        <v>7</v>
      </c>
      <c r="B26" s="132">
        <v>36.842105263157897</v>
      </c>
      <c r="C26" s="132">
        <v>31.818181818181817</v>
      </c>
      <c r="D26" s="132">
        <v>40</v>
      </c>
      <c r="E26" s="132">
        <v>44.086021505376344</v>
      </c>
      <c r="F26" s="132">
        <v>27.272727272727273</v>
      </c>
      <c r="G26" s="132">
        <v>27.058823529411764</v>
      </c>
      <c r="H26" s="132">
        <v>40.909090909090907</v>
      </c>
      <c r="I26" s="132">
        <v>40.449438202247194</v>
      </c>
      <c r="J26" s="132">
        <v>35.789473684210527</v>
      </c>
      <c r="K26" s="132">
        <v>32.222222222222221</v>
      </c>
      <c r="L26" s="132">
        <v>30.337078651685392</v>
      </c>
      <c r="M26" s="132">
        <v>32.584269662921351</v>
      </c>
      <c r="N26" s="131">
        <v>168</v>
      </c>
    </row>
    <row r="27" spans="1:14" x14ac:dyDescent="0.25">
      <c r="A27" s="131" t="s">
        <v>22</v>
      </c>
      <c r="B27" s="132">
        <v>39.583333333333336</v>
      </c>
      <c r="C27" s="132">
        <v>22.891566265060241</v>
      </c>
      <c r="D27" s="132">
        <v>33.333333333333336</v>
      </c>
      <c r="E27" s="132">
        <v>34.020618556701031</v>
      </c>
      <c r="F27" s="132">
        <v>25.974025974025974</v>
      </c>
      <c r="G27" s="132">
        <v>22.784810126582279</v>
      </c>
      <c r="H27" s="132">
        <v>33.333333333333336</v>
      </c>
      <c r="I27" s="132">
        <v>28.91566265060241</v>
      </c>
      <c r="J27" s="132">
        <v>20.512820512820515</v>
      </c>
      <c r="K27" s="132">
        <v>25.882352941176471</v>
      </c>
      <c r="L27" s="132">
        <v>24.050632911392405</v>
      </c>
      <c r="M27" s="132">
        <v>30.588235294117649</v>
      </c>
      <c r="N27" s="131">
        <v>177</v>
      </c>
    </row>
    <row r="28" spans="1:14" x14ac:dyDescent="0.25">
      <c r="A28" s="131" t="s">
        <v>8</v>
      </c>
      <c r="B28" s="132">
        <v>37.254901960784316</v>
      </c>
      <c r="C28" s="132">
        <v>35.051546391752581</v>
      </c>
      <c r="D28" s="132">
        <v>35.517241379310342</v>
      </c>
      <c r="E28" s="132">
        <v>31.875</v>
      </c>
      <c r="F28" s="132">
        <v>23.103448275862068</v>
      </c>
      <c r="G28" s="132">
        <v>20.921985815602838</v>
      </c>
      <c r="H28" s="132">
        <v>35.943060498220639</v>
      </c>
      <c r="I28" s="132">
        <v>29.078014184397162</v>
      </c>
      <c r="J28" s="132">
        <v>31.089743589743591</v>
      </c>
      <c r="K28" s="132">
        <v>19.322033898305083</v>
      </c>
      <c r="L28" s="132">
        <v>23.674911660777386</v>
      </c>
      <c r="M28" s="132">
        <v>25</v>
      </c>
      <c r="N28" s="131">
        <v>533</v>
      </c>
    </row>
    <row r="29" spans="1:14" x14ac:dyDescent="0.25">
      <c r="A29" s="131" t="s">
        <v>9</v>
      </c>
      <c r="B29" s="132">
        <v>38.620689655172413</v>
      </c>
      <c r="C29" s="132">
        <v>35.664335664335667</v>
      </c>
      <c r="D29" s="132">
        <v>31.060606060606062</v>
      </c>
      <c r="E29" s="132">
        <v>34</v>
      </c>
      <c r="F29" s="132">
        <v>14.960629921259843</v>
      </c>
      <c r="G29" s="132">
        <v>13.492063492063492</v>
      </c>
      <c r="H29" s="132">
        <v>43.939393939393938</v>
      </c>
      <c r="I29" s="132">
        <v>32.330827067669176</v>
      </c>
      <c r="J29" s="132">
        <v>25.563909774436091</v>
      </c>
      <c r="K29" s="132">
        <v>19.285714285714285</v>
      </c>
      <c r="L29" s="132">
        <v>22.222222222222221</v>
      </c>
      <c r="M29" s="132">
        <v>18.382352941176471</v>
      </c>
      <c r="N29" s="131">
        <v>262</v>
      </c>
    </row>
    <row r="30" spans="1:14" x14ac:dyDescent="0.25">
      <c r="A30" s="131" t="s">
        <v>54</v>
      </c>
      <c r="B30" s="132">
        <v>29.545454545454547</v>
      </c>
      <c r="C30" s="132">
        <v>27.38095238095238</v>
      </c>
      <c r="D30" s="132">
        <v>29.411764705882351</v>
      </c>
      <c r="E30" s="132">
        <v>33.695652173913047</v>
      </c>
      <c r="F30" s="132">
        <v>18.292682926829269</v>
      </c>
      <c r="G30" s="132">
        <v>20</v>
      </c>
      <c r="H30" s="132">
        <v>28.048780487804876</v>
      </c>
      <c r="I30" s="132">
        <v>27.710843373493976</v>
      </c>
      <c r="J30" s="132">
        <v>24.096385542168676</v>
      </c>
      <c r="K30" s="132">
        <v>27.058823529411764</v>
      </c>
      <c r="L30" s="132">
        <v>16.666666666666668</v>
      </c>
      <c r="M30" s="132">
        <v>20.689655172413794</v>
      </c>
      <c r="N30" s="131">
        <v>168</v>
      </c>
    </row>
    <row r="31" spans="1:14" x14ac:dyDescent="0.25">
      <c r="A31" s="131" t="s">
        <v>71</v>
      </c>
      <c r="B31" s="132">
        <v>32.911392405063289</v>
      </c>
      <c r="C31" s="132">
        <v>31.140350877192983</v>
      </c>
      <c r="D31" s="132">
        <v>38.157894736842103</v>
      </c>
      <c r="E31" s="132">
        <v>36.65338645418327</v>
      </c>
      <c r="F31" s="132">
        <v>25.777777777777779</v>
      </c>
      <c r="G31" s="132">
        <v>28.181818181818183</v>
      </c>
      <c r="H31" s="132">
        <v>43.111111111111114</v>
      </c>
      <c r="I31" s="132">
        <v>30.454545454545453</v>
      </c>
      <c r="J31" s="132">
        <v>35.16949152542373</v>
      </c>
      <c r="K31" s="132">
        <v>24.380165289256198</v>
      </c>
      <c r="L31" s="132">
        <v>25</v>
      </c>
      <c r="M31" s="132">
        <v>27.004219409282701</v>
      </c>
      <c r="N31" s="131">
        <v>437</v>
      </c>
    </row>
    <row r="32" spans="1:14" x14ac:dyDescent="0.25">
      <c r="A32" s="131" t="s">
        <v>10</v>
      </c>
      <c r="B32" s="132">
        <v>34.234234234234236</v>
      </c>
      <c r="C32" s="132">
        <v>23</v>
      </c>
      <c r="D32" s="132">
        <v>34.210526315789473</v>
      </c>
      <c r="E32" s="132">
        <v>34.45378151260504</v>
      </c>
      <c r="F32" s="132">
        <v>19.444444444444443</v>
      </c>
      <c r="G32" s="132">
        <v>15.686274509803921</v>
      </c>
      <c r="H32" s="132">
        <v>41.747572815533978</v>
      </c>
      <c r="I32" s="132">
        <v>29.411764705882351</v>
      </c>
      <c r="J32" s="132">
        <v>22.522522522522522</v>
      </c>
      <c r="K32" s="132">
        <v>25.688073394495412</v>
      </c>
      <c r="L32" s="132">
        <v>15.306122448979592</v>
      </c>
      <c r="M32" s="132">
        <v>17.757009345794394</v>
      </c>
      <c r="N32" s="131">
        <v>219</v>
      </c>
    </row>
    <row r="33" spans="1:14" x14ac:dyDescent="0.25">
      <c r="A33" s="131" t="s">
        <v>56</v>
      </c>
      <c r="B33" s="132">
        <v>33</v>
      </c>
      <c r="C33" s="132">
        <v>23.655913978494624</v>
      </c>
      <c r="D33" s="132">
        <v>45.744680851063826</v>
      </c>
      <c r="E33" s="132">
        <v>40.196078431372548</v>
      </c>
      <c r="F33" s="132">
        <v>19.565217391304348</v>
      </c>
      <c r="G33" s="132">
        <v>18.681318681318682</v>
      </c>
      <c r="H33" s="132">
        <v>39.393939393939391</v>
      </c>
      <c r="I33" s="132">
        <v>36.842105263157897</v>
      </c>
      <c r="J33" s="132">
        <v>28.865979381443299</v>
      </c>
      <c r="K33" s="132">
        <v>25</v>
      </c>
      <c r="L33" s="132">
        <v>16.304347826086957</v>
      </c>
      <c r="M33" s="132">
        <v>21.782178217821784</v>
      </c>
      <c r="N33" s="131">
        <v>179</v>
      </c>
    </row>
    <row r="34" spans="1:14" x14ac:dyDescent="0.25">
      <c r="A34" s="131" t="s">
        <v>11</v>
      </c>
      <c r="B34" s="132">
        <v>35.632183908045974</v>
      </c>
      <c r="C34" s="132">
        <v>28.530259365994237</v>
      </c>
      <c r="D34" s="132">
        <v>30.149253731343283</v>
      </c>
      <c r="E34" s="132">
        <v>29.032258064516128</v>
      </c>
      <c r="F34" s="132">
        <v>20.72072072072072</v>
      </c>
      <c r="G34" s="132">
        <v>24.397590361445783</v>
      </c>
      <c r="H34" s="132">
        <v>45.994065281899111</v>
      </c>
      <c r="I34" s="132">
        <v>31.722054380664652</v>
      </c>
      <c r="J34" s="132">
        <v>35.097493036211702</v>
      </c>
      <c r="K34" s="132">
        <v>20.689655172413794</v>
      </c>
      <c r="L34" s="132">
        <v>19.939577039274923</v>
      </c>
      <c r="M34" s="132">
        <v>22.318840579710145</v>
      </c>
      <c r="N34" s="131">
        <v>639</v>
      </c>
    </row>
    <row r="35" spans="1:14" x14ac:dyDescent="0.25">
      <c r="A35" s="131" t="s">
        <v>58</v>
      </c>
      <c r="B35" s="132">
        <v>40.909090909090907</v>
      </c>
      <c r="C35" s="132">
        <v>37.288135593220339</v>
      </c>
      <c r="D35" s="132">
        <v>28.571428571428573</v>
      </c>
      <c r="E35" s="132">
        <v>32.8125</v>
      </c>
      <c r="F35" s="132">
        <v>27.868852459016395</v>
      </c>
      <c r="G35" s="132">
        <v>28.8135593220339</v>
      </c>
      <c r="H35" s="132">
        <v>45.161290322580648</v>
      </c>
      <c r="I35" s="132">
        <v>40</v>
      </c>
      <c r="J35" s="132">
        <v>34.42622950819672</v>
      </c>
      <c r="K35" s="132">
        <v>30</v>
      </c>
      <c r="L35" s="132">
        <v>25.862068965517242</v>
      </c>
      <c r="M35" s="132">
        <v>27.868852459016395</v>
      </c>
      <c r="N35" s="131">
        <v>114</v>
      </c>
    </row>
    <row r="36" spans="1:14" x14ac:dyDescent="0.25">
      <c r="A36" s="131" t="s">
        <v>59</v>
      </c>
      <c r="B36" s="132">
        <v>34.117647058823529</v>
      </c>
      <c r="C36" s="132">
        <v>31.168831168831169</v>
      </c>
      <c r="D36" s="132">
        <v>36.363636363636367</v>
      </c>
      <c r="E36" s="132">
        <v>29.069767441860463</v>
      </c>
      <c r="F36" s="132">
        <v>18.421052631578949</v>
      </c>
      <c r="G36" s="132">
        <v>17.80821917808219</v>
      </c>
      <c r="H36" s="132">
        <v>30.666666666666668</v>
      </c>
      <c r="I36" s="132">
        <v>28.205128205128204</v>
      </c>
      <c r="J36" s="132">
        <v>25</v>
      </c>
      <c r="K36" s="132">
        <v>25</v>
      </c>
      <c r="L36" s="132">
        <v>17.567567567567568</v>
      </c>
      <c r="M36" s="132">
        <v>19.480519480519479</v>
      </c>
      <c r="N36" s="131">
        <v>143</v>
      </c>
    </row>
    <row r="37" spans="1:14" x14ac:dyDescent="0.25">
      <c r="A37" s="131" t="s">
        <v>60</v>
      </c>
      <c r="B37" s="132">
        <v>41.379310344827587</v>
      </c>
      <c r="C37" s="132">
        <v>34.523809523809526</v>
      </c>
      <c r="D37" s="132">
        <v>38.271604938271608</v>
      </c>
      <c r="E37" s="132">
        <v>45.161290322580648</v>
      </c>
      <c r="F37" s="132">
        <v>30.952380952380953</v>
      </c>
      <c r="G37" s="132">
        <v>27.710843373493976</v>
      </c>
      <c r="H37" s="132">
        <v>46.511627906976742</v>
      </c>
      <c r="I37" s="132">
        <v>40.963855421686745</v>
      </c>
      <c r="J37" s="132">
        <v>29.411764705882351</v>
      </c>
      <c r="K37" s="132">
        <v>26.436781609195403</v>
      </c>
      <c r="L37" s="132">
        <v>27.160493827160494</v>
      </c>
      <c r="M37" s="132">
        <v>31.818181818181817</v>
      </c>
      <c r="N37" s="131">
        <v>144</v>
      </c>
    </row>
    <row r="38" spans="1:14" x14ac:dyDescent="0.25">
      <c r="A38" s="131" t="s">
        <v>12</v>
      </c>
      <c r="B38" s="132">
        <v>38.356164383561641</v>
      </c>
      <c r="C38" s="132">
        <v>24.637681159420289</v>
      </c>
      <c r="D38" s="132">
        <v>35.714285714285715</v>
      </c>
      <c r="E38" s="132">
        <v>33.333333333333336</v>
      </c>
      <c r="F38" s="132">
        <v>22.058823529411764</v>
      </c>
      <c r="G38" s="132">
        <v>23.188405797101449</v>
      </c>
      <c r="H38" s="132">
        <v>43.243243243243242</v>
      </c>
      <c r="I38" s="132">
        <v>35.61643835616438</v>
      </c>
      <c r="J38" s="132">
        <v>24.285714285714285</v>
      </c>
      <c r="K38" s="132">
        <v>31.578947368421051</v>
      </c>
      <c r="L38" s="132">
        <v>18.309859154929576</v>
      </c>
      <c r="M38" s="132">
        <v>22.535211267605632</v>
      </c>
      <c r="N38" s="131">
        <v>135</v>
      </c>
    </row>
    <row r="39" spans="1:14" x14ac:dyDescent="0.25">
      <c r="A39" s="131" t="s">
        <v>61</v>
      </c>
      <c r="B39" s="132">
        <v>28.90625</v>
      </c>
      <c r="C39" s="132">
        <v>22.962962962962962</v>
      </c>
      <c r="D39" s="132">
        <v>30.4</v>
      </c>
      <c r="E39" s="132">
        <v>26.5625</v>
      </c>
      <c r="F39" s="132">
        <v>19.35483870967742</v>
      </c>
      <c r="G39" s="132">
        <v>15.254237288135593</v>
      </c>
      <c r="H39" s="132">
        <v>47.540983606557376</v>
      </c>
      <c r="I39" s="132">
        <v>29.411764705882351</v>
      </c>
      <c r="J39" s="132">
        <v>25.196850393700789</v>
      </c>
      <c r="K39" s="132">
        <v>23.80952380952381</v>
      </c>
      <c r="L39" s="132">
        <v>23.770491803278688</v>
      </c>
      <c r="M39" s="132">
        <v>22.834645669291337</v>
      </c>
      <c r="N39" s="131">
        <v>248</v>
      </c>
    </row>
    <row r="40" spans="1:14" x14ac:dyDescent="0.25">
      <c r="A40" s="131" t="s">
        <v>62</v>
      </c>
      <c r="B40" s="132">
        <v>43.333333333333336</v>
      </c>
      <c r="C40" s="132">
        <v>33.333333333333336</v>
      </c>
      <c r="D40" s="132">
        <v>37.288135593220339</v>
      </c>
      <c r="E40" s="132">
        <v>40.625</v>
      </c>
      <c r="F40" s="132">
        <v>45</v>
      </c>
      <c r="G40" s="132">
        <v>30.90909090909091</v>
      </c>
      <c r="H40" s="132">
        <v>41.935483870967744</v>
      </c>
      <c r="I40" s="132">
        <v>38.333333333333336</v>
      </c>
      <c r="J40" s="132">
        <v>30.508474576271187</v>
      </c>
      <c r="K40" s="132">
        <v>33.846153846153847</v>
      </c>
      <c r="L40" s="132">
        <v>31.03448275862069</v>
      </c>
      <c r="M40" s="132">
        <v>34.920634920634917</v>
      </c>
      <c r="N40" s="131">
        <v>115</v>
      </c>
    </row>
    <row r="41" spans="1:14" x14ac:dyDescent="0.25">
      <c r="A41" s="131" t="s">
        <v>23</v>
      </c>
      <c r="B41" s="132">
        <v>31.578947368421051</v>
      </c>
      <c r="C41" s="132">
        <v>24.305555555555557</v>
      </c>
      <c r="D41" s="132">
        <v>36.601307189542482</v>
      </c>
      <c r="E41" s="132">
        <v>36.904761904761905</v>
      </c>
      <c r="F41" s="132">
        <v>24</v>
      </c>
      <c r="G41" s="132">
        <v>21.739130434782609</v>
      </c>
      <c r="H41" s="132">
        <v>31.788079470198674</v>
      </c>
      <c r="I41" s="132">
        <v>30.405405405405407</v>
      </c>
      <c r="J41" s="132">
        <v>29.746835443037973</v>
      </c>
      <c r="K41" s="132">
        <v>22.727272727272727</v>
      </c>
      <c r="L41" s="132">
        <v>18.115942028985508</v>
      </c>
      <c r="M41" s="132">
        <v>21.383647798742139</v>
      </c>
      <c r="N41" s="131">
        <v>348</v>
      </c>
    </row>
    <row r="42" spans="1:14" x14ac:dyDescent="0.25">
      <c r="A42" s="131" t="s">
        <v>13</v>
      </c>
      <c r="B42" s="132">
        <v>32.028469750889677</v>
      </c>
      <c r="C42" s="132">
        <v>25.190839694656489</v>
      </c>
      <c r="D42" s="132">
        <v>33.582089552238806</v>
      </c>
      <c r="E42" s="132">
        <v>33.904109589041099</v>
      </c>
      <c r="F42" s="132">
        <v>20.87912087912088</v>
      </c>
      <c r="G42" s="132">
        <v>18.390804597701148</v>
      </c>
      <c r="H42" s="132">
        <v>37.362637362637365</v>
      </c>
      <c r="I42" s="132">
        <v>26.492537313432837</v>
      </c>
      <c r="J42" s="132">
        <v>26.408450704225352</v>
      </c>
      <c r="K42" s="132">
        <v>25.172413793103448</v>
      </c>
      <c r="L42" s="132">
        <v>21.673003802281368</v>
      </c>
      <c r="M42" s="132">
        <v>23.655913978494624</v>
      </c>
      <c r="N42" s="131">
        <v>525</v>
      </c>
    </row>
    <row r="43" spans="1:14" x14ac:dyDescent="0.25">
      <c r="A43" s="131" t="s">
        <v>14</v>
      </c>
      <c r="B43" s="132">
        <v>32.142857142857146</v>
      </c>
      <c r="C43" s="132">
        <v>35.802469135802468</v>
      </c>
      <c r="D43" s="132">
        <v>35.897435897435898</v>
      </c>
      <c r="E43" s="132">
        <v>34.146341463414636</v>
      </c>
      <c r="F43" s="132">
        <v>20</v>
      </c>
      <c r="G43" s="132">
        <v>19.117647058823529</v>
      </c>
      <c r="H43" s="132">
        <v>42.10526315789474</v>
      </c>
      <c r="I43" s="132">
        <v>33.333333333333336</v>
      </c>
      <c r="J43" s="132">
        <v>26.25</v>
      </c>
      <c r="K43" s="132">
        <v>22.784810126582279</v>
      </c>
      <c r="L43" s="132">
        <v>30.136986301369863</v>
      </c>
      <c r="M43" s="132">
        <v>25.641025641025642</v>
      </c>
      <c r="N43" s="131">
        <v>158</v>
      </c>
    </row>
    <row r="44" spans="1:14" x14ac:dyDescent="0.25">
      <c r="A44" s="131" t="s">
        <v>64</v>
      </c>
      <c r="B44" s="132">
        <v>50.467289719626166</v>
      </c>
      <c r="C44" s="132">
        <v>41.666666666666664</v>
      </c>
      <c r="D44" s="132">
        <v>42.857142857142854</v>
      </c>
      <c r="E44" s="132">
        <v>38.834951456310677</v>
      </c>
      <c r="F44" s="132">
        <v>31.25</v>
      </c>
      <c r="G44" s="132">
        <v>33.333333333333336</v>
      </c>
      <c r="H44" s="132">
        <v>45.544554455445542</v>
      </c>
      <c r="I44" s="132">
        <v>47.524752475247524</v>
      </c>
      <c r="J44" s="132">
        <v>35.922330097087375</v>
      </c>
      <c r="K44" s="132">
        <v>31.132075471698112</v>
      </c>
      <c r="L44" s="132">
        <v>30.208333333333332</v>
      </c>
      <c r="M44" s="132">
        <v>33.333333333333336</v>
      </c>
      <c r="N44" s="131">
        <v>167</v>
      </c>
    </row>
    <row r="45" spans="1:14" x14ac:dyDescent="0.25">
      <c r="A45" s="131" t="s">
        <v>65</v>
      </c>
      <c r="B45" s="132">
        <v>32.397959183673471</v>
      </c>
      <c r="C45" s="132">
        <v>30.413625304136254</v>
      </c>
      <c r="D45" s="132">
        <v>31.770833333333332</v>
      </c>
      <c r="E45" s="132">
        <v>31.951219512195124</v>
      </c>
      <c r="F45" s="132">
        <v>24.102564102564102</v>
      </c>
      <c r="G45" s="132">
        <v>24.390243902439025</v>
      </c>
      <c r="H45" s="132">
        <v>49.090909090909093</v>
      </c>
      <c r="I45" s="132">
        <v>31.926121372031663</v>
      </c>
      <c r="J45" s="132">
        <v>35.194174757281552</v>
      </c>
      <c r="K45" s="132">
        <v>17.875647668393782</v>
      </c>
      <c r="L45" s="132">
        <v>25.198938992042439</v>
      </c>
      <c r="M45" s="132">
        <v>27.386934673366834</v>
      </c>
      <c r="N45" s="131">
        <v>692</v>
      </c>
    </row>
    <row r="46" spans="1:14" x14ac:dyDescent="0.25">
      <c r="A46" s="131" t="s">
        <v>66</v>
      </c>
      <c r="B46" s="132">
        <v>36.44859813084112</v>
      </c>
      <c r="C46" s="132">
        <v>28.431372549019606</v>
      </c>
      <c r="D46" s="132">
        <v>37</v>
      </c>
      <c r="E46" s="132">
        <v>38.260869565217391</v>
      </c>
      <c r="F46" s="132">
        <v>22.33009708737864</v>
      </c>
      <c r="G46" s="132">
        <v>22.680412371134022</v>
      </c>
      <c r="H46" s="132">
        <v>32.67326732673267</v>
      </c>
      <c r="I46" s="132">
        <v>25.490196078431371</v>
      </c>
      <c r="J46" s="132">
        <v>32.075471698113205</v>
      </c>
      <c r="K46" s="132">
        <v>17.647058823529413</v>
      </c>
      <c r="L46" s="132">
        <v>21.212121212121211</v>
      </c>
      <c r="M46" s="132">
        <v>21.359223300970875</v>
      </c>
      <c r="N46" s="131">
        <v>202</v>
      </c>
    </row>
    <row r="47" spans="1:14" x14ac:dyDescent="0.25">
      <c r="A47" s="131" t="s">
        <v>15</v>
      </c>
      <c r="B47" s="132">
        <v>34.473684210526315</v>
      </c>
      <c r="C47" s="132">
        <v>32.808398950131235</v>
      </c>
      <c r="D47" s="132">
        <v>28.184281842818429</v>
      </c>
      <c r="E47" s="132">
        <v>27.806122448979593</v>
      </c>
      <c r="F47" s="132">
        <v>22.651933701657459</v>
      </c>
      <c r="G47" s="132">
        <v>23.783783783783782</v>
      </c>
      <c r="H47" s="132">
        <v>48.097826086956523</v>
      </c>
      <c r="I47" s="132">
        <v>30.362116991643454</v>
      </c>
      <c r="J47" s="132">
        <v>33.762886597938142</v>
      </c>
      <c r="K47" s="132">
        <v>18.157894736842106</v>
      </c>
      <c r="L47" s="132">
        <v>24.653739612188367</v>
      </c>
      <c r="M47" s="132">
        <v>25.593667546174142</v>
      </c>
      <c r="N47" s="131">
        <v>627</v>
      </c>
    </row>
    <row r="48" spans="1:14" x14ac:dyDescent="0.25">
      <c r="A48" s="131" t="s">
        <v>16</v>
      </c>
      <c r="B48" s="132">
        <v>35.820895522388057</v>
      </c>
      <c r="C48" s="132">
        <v>35.377358490566039</v>
      </c>
      <c r="D48" s="132">
        <v>33.165829145728644</v>
      </c>
      <c r="E48" s="132">
        <v>31.718061674008812</v>
      </c>
      <c r="F48" s="132">
        <v>19.17098445595855</v>
      </c>
      <c r="G48" s="132">
        <v>22.448979591836736</v>
      </c>
      <c r="H48" s="132">
        <v>48.205128205128204</v>
      </c>
      <c r="I48" s="132">
        <v>28.191489361702128</v>
      </c>
      <c r="J48" s="132">
        <v>36.407766990291265</v>
      </c>
      <c r="K48" s="132">
        <v>21.739130434782609</v>
      </c>
      <c r="L48" s="132">
        <v>20.212765957446809</v>
      </c>
      <c r="M48" s="132">
        <v>24.752475247524753</v>
      </c>
      <c r="N48" s="131">
        <v>387</v>
      </c>
    </row>
    <row r="49" spans="1:14" x14ac:dyDescent="0.25">
      <c r="A49" s="131" t="s">
        <v>17</v>
      </c>
      <c r="B49" s="132">
        <v>39.285714285714285</v>
      </c>
      <c r="C49" s="132">
        <v>30.612244897959183</v>
      </c>
      <c r="D49" s="132">
        <v>32</v>
      </c>
      <c r="E49" s="132">
        <v>56.451612903225808</v>
      </c>
      <c r="F49" s="132">
        <v>21.568627450980394</v>
      </c>
      <c r="G49" s="132">
        <v>26.923076923076923</v>
      </c>
      <c r="H49" s="132">
        <v>30</v>
      </c>
      <c r="I49" s="132">
        <v>22.641509433962263</v>
      </c>
      <c r="J49" s="132">
        <v>27.272727272727273</v>
      </c>
      <c r="K49" s="132">
        <v>33.333333333333336</v>
      </c>
      <c r="L49" s="132">
        <v>26</v>
      </c>
      <c r="M49" s="132">
        <v>30.188679245283019</v>
      </c>
      <c r="N49" s="131">
        <v>99</v>
      </c>
    </row>
    <row r="50" spans="1:14" x14ac:dyDescent="0.25">
      <c r="A50" s="131" t="s">
        <v>24</v>
      </c>
      <c r="B50" s="132">
        <v>30.303030303030305</v>
      </c>
      <c r="C50" s="132">
        <v>18.9873417721519</v>
      </c>
      <c r="D50" s="132">
        <v>32.967032967032964</v>
      </c>
      <c r="E50" s="132">
        <v>37.5</v>
      </c>
      <c r="F50" s="132">
        <v>23.529411764705884</v>
      </c>
      <c r="G50" s="132">
        <v>11.538461538461538</v>
      </c>
      <c r="H50" s="132">
        <v>25</v>
      </c>
      <c r="I50" s="132">
        <v>19.767441860465116</v>
      </c>
      <c r="J50" s="132">
        <v>20.224719101123597</v>
      </c>
      <c r="K50" s="132">
        <v>25.581395348837209</v>
      </c>
      <c r="L50" s="132">
        <v>9.3333333333333339</v>
      </c>
      <c r="M50" s="132">
        <v>16.470588235294116</v>
      </c>
      <c r="N50" s="131">
        <v>185</v>
      </c>
    </row>
    <row r="52" spans="1:14" x14ac:dyDescent="0.25">
      <c r="A52" s="104" t="s">
        <v>554</v>
      </c>
    </row>
    <row r="53" spans="1:14" ht="14" x14ac:dyDescent="0.3">
      <c r="A53" s="126" t="s">
        <v>439</v>
      </c>
    </row>
    <row r="54" spans="1:14" ht="14" x14ac:dyDescent="0.3">
      <c r="A54" s="133" t="s">
        <v>158</v>
      </c>
      <c r="B54" s="129" t="s">
        <v>601</v>
      </c>
      <c r="C54" s="129" t="s">
        <v>602</v>
      </c>
      <c r="D54" s="129" t="s">
        <v>603</v>
      </c>
      <c r="E54" s="129" t="s">
        <v>604</v>
      </c>
      <c r="F54" s="129" t="s">
        <v>605</v>
      </c>
      <c r="G54" s="129" t="s">
        <v>606</v>
      </c>
      <c r="H54" s="129" t="s">
        <v>607</v>
      </c>
      <c r="I54" s="129" t="s">
        <v>608</v>
      </c>
      <c r="J54" s="129" t="s">
        <v>609</v>
      </c>
      <c r="K54" s="129" t="s">
        <v>610</v>
      </c>
      <c r="L54" s="129" t="s">
        <v>611</v>
      </c>
      <c r="M54" s="129" t="s">
        <v>612</v>
      </c>
      <c r="N54" s="130" t="s">
        <v>421</v>
      </c>
    </row>
    <row r="55" spans="1:14" x14ac:dyDescent="0.25">
      <c r="A55" s="113" t="s">
        <v>74</v>
      </c>
      <c r="B55" s="132">
        <v>39.074550128534703</v>
      </c>
      <c r="C55" s="132">
        <v>31.182795698924732</v>
      </c>
      <c r="D55" s="132">
        <v>35.026737967914436</v>
      </c>
      <c r="E55" s="132">
        <v>42.307692307692307</v>
      </c>
      <c r="F55" s="132">
        <v>30.158730158730158</v>
      </c>
      <c r="G55" s="132">
        <v>28.610354223433241</v>
      </c>
      <c r="H55" s="132">
        <v>41.424802110817943</v>
      </c>
      <c r="I55" s="132">
        <v>36.870026525198938</v>
      </c>
      <c r="J55" s="132">
        <v>28.94736842105263</v>
      </c>
      <c r="K55" s="132">
        <v>30.402010050251256</v>
      </c>
      <c r="L55" s="132">
        <v>24.450549450549449</v>
      </c>
      <c r="M55" s="132">
        <v>30.256410256410255</v>
      </c>
      <c r="N55" s="131">
        <v>676</v>
      </c>
    </row>
    <row r="56" spans="1:14" x14ac:dyDescent="0.25">
      <c r="A56" s="110" t="s">
        <v>75</v>
      </c>
      <c r="B56" s="132">
        <v>38.563049853372434</v>
      </c>
      <c r="C56" s="132">
        <v>28.733766233766232</v>
      </c>
      <c r="D56" s="132">
        <v>37.61755485893417</v>
      </c>
      <c r="E56" s="132">
        <v>35.714285714285715</v>
      </c>
      <c r="F56" s="132">
        <v>23.870967741935484</v>
      </c>
      <c r="G56" s="132">
        <v>22.885572139303484</v>
      </c>
      <c r="H56" s="132">
        <v>36.523125996810208</v>
      </c>
      <c r="I56" s="132">
        <v>32.758620689655174</v>
      </c>
      <c r="J56" s="132">
        <v>25.3125</v>
      </c>
      <c r="K56" s="132">
        <v>26.940639269406393</v>
      </c>
      <c r="L56" s="132">
        <v>21.760797342192692</v>
      </c>
      <c r="M56" s="132">
        <v>26.356589147286822</v>
      </c>
      <c r="N56" s="131">
        <v>1238</v>
      </c>
    </row>
    <row r="57" spans="1:14" x14ac:dyDescent="0.25">
      <c r="A57" s="110" t="s">
        <v>76</v>
      </c>
      <c r="B57" s="132">
        <v>35.639097744360903</v>
      </c>
      <c r="C57" s="132">
        <v>29.35483870967742</v>
      </c>
      <c r="D57" s="132">
        <v>36.018957345971565</v>
      </c>
      <c r="E57" s="132">
        <v>38.304093567251464</v>
      </c>
      <c r="F57" s="132">
        <v>23.993558776167472</v>
      </c>
      <c r="G57" s="132">
        <v>21.079258010118043</v>
      </c>
      <c r="H57" s="132">
        <v>38.523274478330656</v>
      </c>
      <c r="I57" s="132">
        <v>35.275080906148865</v>
      </c>
      <c r="J57" s="132">
        <v>29.60122699386503</v>
      </c>
      <c r="K57" s="132">
        <v>26.717557251908396</v>
      </c>
      <c r="L57" s="132">
        <v>21.911037891268535</v>
      </c>
      <c r="M57" s="132">
        <v>24.806201550387598</v>
      </c>
      <c r="N57" s="131">
        <v>1223</v>
      </c>
    </row>
    <row r="58" spans="1:14" x14ac:dyDescent="0.25">
      <c r="A58" s="110" t="s">
        <v>77</v>
      </c>
      <c r="B58" s="132">
        <v>35.433070866141733</v>
      </c>
      <c r="C58" s="132">
        <v>29.006085192697768</v>
      </c>
      <c r="D58" s="132">
        <v>34.611398963730572</v>
      </c>
      <c r="E58" s="132">
        <v>36.669784845650142</v>
      </c>
      <c r="F58" s="132">
        <v>23.583934088568487</v>
      </c>
      <c r="G58" s="132">
        <v>21.137339055793991</v>
      </c>
      <c r="H58" s="132">
        <v>39.792746113989637</v>
      </c>
      <c r="I58" s="132">
        <v>31.709844559585491</v>
      </c>
      <c r="J58" s="132">
        <v>29.949748743718594</v>
      </c>
      <c r="K58" s="132">
        <v>24.206349206349206</v>
      </c>
      <c r="L58" s="132">
        <v>22.245989304812834</v>
      </c>
      <c r="M58" s="132">
        <v>24.849699398797597</v>
      </c>
      <c r="N58" s="131">
        <v>1950</v>
      </c>
    </row>
    <row r="59" spans="1:14" x14ac:dyDescent="0.25">
      <c r="A59" s="110" t="s">
        <v>78</v>
      </c>
      <c r="B59" s="132">
        <v>34.442270058708417</v>
      </c>
      <c r="C59" s="132">
        <v>31.062124248496993</v>
      </c>
      <c r="D59" s="132">
        <v>34.966442953020135</v>
      </c>
      <c r="E59" s="132">
        <v>32.828588734100542</v>
      </c>
      <c r="F59" s="132">
        <v>23.616734143049932</v>
      </c>
      <c r="G59" s="132">
        <v>22.576177285318561</v>
      </c>
      <c r="H59" s="132">
        <v>40.136054421768705</v>
      </c>
      <c r="I59" s="132">
        <v>29.0633608815427</v>
      </c>
      <c r="J59" s="132">
        <v>32.737715379706444</v>
      </c>
      <c r="K59" s="132">
        <v>22.586872586872587</v>
      </c>
      <c r="L59" s="132">
        <v>22.654621264767201</v>
      </c>
      <c r="M59" s="132">
        <v>25.259740259740258</v>
      </c>
      <c r="N59" s="131">
        <v>2870</v>
      </c>
    </row>
    <row r="60" spans="1:14" x14ac:dyDescent="0.25">
      <c r="A60" s="110" t="s">
        <v>79</v>
      </c>
      <c r="B60" s="132">
        <v>36.310329273793414</v>
      </c>
      <c r="C60" s="132">
        <v>32.785428698356284</v>
      </c>
      <c r="D60" s="132">
        <v>32.58064516129032</v>
      </c>
      <c r="E60" s="132">
        <v>30.076465590484283</v>
      </c>
      <c r="F60" s="132">
        <v>22.376329172445676</v>
      </c>
      <c r="G60" s="132">
        <v>23.20754716981132</v>
      </c>
      <c r="H60" s="132">
        <v>45.720930232558139</v>
      </c>
      <c r="I60" s="132">
        <v>28.974600188146756</v>
      </c>
      <c r="J60" s="132">
        <v>31.922398589065256</v>
      </c>
      <c r="K60" s="132">
        <v>18.824065633546034</v>
      </c>
      <c r="L60" s="132">
        <v>22.858495030761951</v>
      </c>
      <c r="M60" s="132">
        <v>24.53430258973194</v>
      </c>
      <c r="N60" s="131">
        <v>3899</v>
      </c>
    </row>
    <row r="62" spans="1:14" ht="14" x14ac:dyDescent="0.3">
      <c r="A62" s="128" t="s">
        <v>159</v>
      </c>
      <c r="B62" s="129" t="s">
        <v>601</v>
      </c>
      <c r="C62" s="129" t="s">
        <v>602</v>
      </c>
      <c r="D62" s="129" t="s">
        <v>603</v>
      </c>
      <c r="E62" s="129" t="s">
        <v>604</v>
      </c>
      <c r="F62" s="129" t="s">
        <v>605</v>
      </c>
      <c r="G62" s="129" t="s">
        <v>606</v>
      </c>
      <c r="H62" s="129" t="s">
        <v>607</v>
      </c>
      <c r="I62" s="129" t="s">
        <v>608</v>
      </c>
      <c r="J62" s="129" t="s">
        <v>609</v>
      </c>
      <c r="K62" s="129" t="s">
        <v>610</v>
      </c>
      <c r="L62" s="129" t="s">
        <v>611</v>
      </c>
      <c r="M62" s="129" t="s">
        <v>612</v>
      </c>
      <c r="N62" s="130" t="s">
        <v>421</v>
      </c>
    </row>
    <row r="63" spans="1:14" x14ac:dyDescent="0.25">
      <c r="B63" s="132">
        <v>36.065825899723166</v>
      </c>
      <c r="C63" s="132">
        <v>30.968148848943549</v>
      </c>
      <c r="D63" s="132">
        <v>34.465709728867623</v>
      </c>
      <c r="E63" s="132">
        <v>33.895839394821067</v>
      </c>
      <c r="F63" s="132">
        <v>23.640737770649558</v>
      </c>
      <c r="G63" s="132">
        <v>22.825548770424163</v>
      </c>
      <c r="H63" s="132">
        <v>41.567428387512066</v>
      </c>
      <c r="I63" s="132">
        <v>30.926165803108809</v>
      </c>
      <c r="J63" s="132">
        <v>30.759766225776684</v>
      </c>
      <c r="K63" s="132">
        <v>22.904423136405814</v>
      </c>
      <c r="L63" s="132">
        <v>22.607260726072607</v>
      </c>
      <c r="M63" s="132">
        <v>25.315469699330112</v>
      </c>
      <c r="N63" s="131">
        <v>11856</v>
      </c>
    </row>
    <row r="64" spans="1:14" x14ac:dyDescent="0.25"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1"/>
    </row>
    <row r="65" spans="1:3" ht="14" x14ac:dyDescent="0.3">
      <c r="A65" s="128" t="s">
        <v>159</v>
      </c>
    </row>
    <row r="66" spans="1:3" x14ac:dyDescent="0.25">
      <c r="A66" s="104" t="s">
        <v>554</v>
      </c>
    </row>
    <row r="67" spans="1:3" x14ac:dyDescent="0.25">
      <c r="A67" s="104"/>
    </row>
    <row r="68" spans="1:3" ht="14" x14ac:dyDescent="0.3">
      <c r="A68" s="129" t="s">
        <v>601</v>
      </c>
      <c r="B68" s="105" t="s">
        <v>586</v>
      </c>
      <c r="C68" s="134">
        <v>36.065825899723166</v>
      </c>
    </row>
    <row r="69" spans="1:3" ht="14" x14ac:dyDescent="0.3">
      <c r="A69" s="129" t="s">
        <v>602</v>
      </c>
      <c r="B69" s="105" t="s">
        <v>587</v>
      </c>
      <c r="C69" s="134">
        <v>30.968148848943549</v>
      </c>
    </row>
    <row r="70" spans="1:3" ht="14" x14ac:dyDescent="0.3">
      <c r="A70" s="129" t="s">
        <v>603</v>
      </c>
      <c r="B70" s="105" t="s">
        <v>588</v>
      </c>
      <c r="C70" s="134">
        <v>34.465709728867623</v>
      </c>
    </row>
    <row r="71" spans="1:3" ht="14" x14ac:dyDescent="0.3">
      <c r="A71" s="129" t="s">
        <v>604</v>
      </c>
      <c r="B71" s="105" t="s">
        <v>589</v>
      </c>
      <c r="C71" s="134">
        <v>33.895839394821067</v>
      </c>
    </row>
    <row r="72" spans="1:3" ht="14" x14ac:dyDescent="0.3">
      <c r="A72" s="129" t="s">
        <v>605</v>
      </c>
      <c r="B72" s="105" t="s">
        <v>590</v>
      </c>
      <c r="C72" s="134">
        <v>23.640737770649558</v>
      </c>
    </row>
    <row r="73" spans="1:3" ht="14" x14ac:dyDescent="0.3">
      <c r="A73" s="129" t="s">
        <v>606</v>
      </c>
      <c r="B73" s="105" t="s">
        <v>591</v>
      </c>
      <c r="C73" s="134">
        <v>22.825548770424163</v>
      </c>
    </row>
    <row r="74" spans="1:3" ht="14" x14ac:dyDescent="0.3">
      <c r="A74" s="129" t="s">
        <v>607</v>
      </c>
      <c r="B74" s="105" t="s">
        <v>592</v>
      </c>
      <c r="C74" s="134">
        <v>41.567428387512066</v>
      </c>
    </row>
    <row r="75" spans="1:3" ht="14" x14ac:dyDescent="0.3">
      <c r="A75" s="129" t="s">
        <v>608</v>
      </c>
      <c r="B75" s="105" t="s">
        <v>593</v>
      </c>
      <c r="C75" s="134">
        <v>30.926165803108809</v>
      </c>
    </row>
    <row r="76" spans="1:3" ht="14" x14ac:dyDescent="0.3">
      <c r="A76" s="129" t="s">
        <v>609</v>
      </c>
      <c r="B76" s="105" t="s">
        <v>594</v>
      </c>
      <c r="C76" s="134">
        <v>30.759766225776684</v>
      </c>
    </row>
    <row r="77" spans="1:3" ht="14" x14ac:dyDescent="0.3">
      <c r="A77" s="129" t="s">
        <v>610</v>
      </c>
      <c r="B77" s="105" t="s">
        <v>595</v>
      </c>
      <c r="C77" s="134">
        <v>22.904423136405814</v>
      </c>
    </row>
    <row r="78" spans="1:3" ht="14" x14ac:dyDescent="0.3">
      <c r="A78" s="129" t="s">
        <v>611</v>
      </c>
      <c r="B78" s="105" t="s">
        <v>596</v>
      </c>
      <c r="C78" s="134">
        <v>22.607260726072607</v>
      </c>
    </row>
    <row r="79" spans="1:3" ht="14" x14ac:dyDescent="0.3">
      <c r="A79" s="129" t="s">
        <v>612</v>
      </c>
      <c r="B79" s="105" t="s">
        <v>597</v>
      </c>
      <c r="C79" s="134">
        <v>25.315469699330112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A6" sqref="A6"/>
    </sheetView>
  </sheetViews>
  <sheetFormatPr defaultColWidth="8.7109375" defaultRowHeight="13.5" x14ac:dyDescent="0.25"/>
  <cols>
    <col min="1" max="1" width="24.5" style="105" customWidth="1"/>
    <col min="2" max="16384" width="8.7109375" style="105"/>
  </cols>
  <sheetData>
    <row r="1" spans="1:6" x14ac:dyDescent="0.25">
      <c r="A1" s="135" t="s">
        <v>613</v>
      </c>
    </row>
    <row r="2" spans="1:6" x14ac:dyDescent="0.25">
      <c r="A2" s="104" t="s">
        <v>599</v>
      </c>
    </row>
    <row r="3" spans="1:6" x14ac:dyDescent="0.25">
      <c r="A3" s="104"/>
    </row>
    <row r="4" spans="1:6" x14ac:dyDescent="0.25">
      <c r="A4" s="104" t="s">
        <v>614</v>
      </c>
    </row>
    <row r="6" spans="1:6" x14ac:dyDescent="0.25">
      <c r="A6" s="104" t="s">
        <v>757</v>
      </c>
    </row>
    <row r="9" spans="1:6" ht="14" x14ac:dyDescent="0.3">
      <c r="A9" s="126" t="s">
        <v>435</v>
      </c>
    </row>
    <row r="10" spans="1:6" ht="14" x14ac:dyDescent="0.3">
      <c r="A10" s="128" t="s">
        <v>157</v>
      </c>
      <c r="B10" s="129" t="s">
        <v>616</v>
      </c>
      <c r="C10" s="129" t="s">
        <v>617</v>
      </c>
      <c r="D10" s="129" t="s">
        <v>618</v>
      </c>
      <c r="E10" s="129" t="s">
        <v>619</v>
      </c>
      <c r="F10" s="130" t="s">
        <v>421</v>
      </c>
    </row>
    <row r="11" spans="1:6" x14ac:dyDescent="0.25">
      <c r="A11" s="131" t="s">
        <v>42</v>
      </c>
      <c r="B11" s="132">
        <v>34.234234234234236</v>
      </c>
      <c r="C11" s="132">
        <v>28.181818181818183</v>
      </c>
      <c r="D11" s="132">
        <v>11.926605504587156</v>
      </c>
      <c r="E11" s="132">
        <v>48.18181818181818</v>
      </c>
      <c r="F11" s="131">
        <v>119</v>
      </c>
    </row>
    <row r="12" spans="1:6" x14ac:dyDescent="0.25">
      <c r="A12" s="131" t="s">
        <v>43</v>
      </c>
      <c r="B12" s="132">
        <v>41.203703703703702</v>
      </c>
      <c r="C12" s="132">
        <v>35.303265940902023</v>
      </c>
      <c r="D12" s="132">
        <v>10.110584518167457</v>
      </c>
      <c r="E12" s="132">
        <v>38.364779874213838</v>
      </c>
      <c r="F12" s="131">
        <v>667</v>
      </c>
    </row>
    <row r="13" spans="1:6" x14ac:dyDescent="0.25">
      <c r="A13" s="131" t="s">
        <v>44</v>
      </c>
      <c r="B13" s="132">
        <v>33.121019108280258</v>
      </c>
      <c r="C13" s="132">
        <v>32.903225806451616</v>
      </c>
      <c r="D13" s="132">
        <v>5.7692307692307692</v>
      </c>
      <c r="E13" s="132">
        <v>42.038216560509554</v>
      </c>
      <c r="F13" s="131">
        <v>165</v>
      </c>
    </row>
    <row r="14" spans="1:6" x14ac:dyDescent="0.25">
      <c r="A14" s="131" t="s">
        <v>68</v>
      </c>
      <c r="B14" s="132">
        <v>41.089108910891092</v>
      </c>
      <c r="C14" s="132">
        <v>32.45469522240527</v>
      </c>
      <c r="D14" s="132">
        <v>9.9502487562189046</v>
      </c>
      <c r="E14" s="132">
        <v>35.489220563847432</v>
      </c>
      <c r="F14" s="131">
        <v>624</v>
      </c>
    </row>
    <row r="15" spans="1:6" x14ac:dyDescent="0.25">
      <c r="A15" s="131" t="s">
        <v>2</v>
      </c>
      <c r="B15" s="132">
        <v>45.263157894736842</v>
      </c>
      <c r="C15" s="132">
        <v>40.425531914893618</v>
      </c>
      <c r="D15" s="132">
        <v>5.3191489361702127</v>
      </c>
      <c r="E15" s="132">
        <v>45.744680851063826</v>
      </c>
      <c r="F15" s="131">
        <v>99</v>
      </c>
    </row>
    <row r="16" spans="1:6" x14ac:dyDescent="0.25">
      <c r="A16" s="131" t="s">
        <v>3</v>
      </c>
      <c r="B16" s="132">
        <v>43.298969072164951</v>
      </c>
      <c r="C16" s="132">
        <v>31.849315068493151</v>
      </c>
      <c r="D16" s="132">
        <v>10.452961672473867</v>
      </c>
      <c r="E16" s="132">
        <v>41.95804195804196</v>
      </c>
      <c r="F16" s="131">
        <v>301</v>
      </c>
    </row>
    <row r="17" spans="1:6" x14ac:dyDescent="0.25">
      <c r="A17" s="131" t="s">
        <v>4</v>
      </c>
      <c r="B17" s="132">
        <v>37.258347978910372</v>
      </c>
      <c r="C17" s="132">
        <v>30.511463844797177</v>
      </c>
      <c r="D17" s="132">
        <v>12.67605633802817</v>
      </c>
      <c r="E17" s="132">
        <v>38.407079646017699</v>
      </c>
      <c r="F17" s="131">
        <v>600</v>
      </c>
    </row>
    <row r="18" spans="1:6" x14ac:dyDescent="0.25">
      <c r="A18" s="131" t="s">
        <v>46</v>
      </c>
      <c r="B18" s="132">
        <v>40.277777777777779</v>
      </c>
      <c r="C18" s="132">
        <v>30.76923076923077</v>
      </c>
      <c r="D18" s="132">
        <v>11.267605633802816</v>
      </c>
      <c r="E18" s="132">
        <v>41.25874125874126</v>
      </c>
      <c r="F18" s="131">
        <v>148</v>
      </c>
    </row>
    <row r="19" spans="1:6" x14ac:dyDescent="0.25">
      <c r="A19" s="131" t="s">
        <v>5</v>
      </c>
      <c r="B19" s="132">
        <v>41.945773524720892</v>
      </c>
      <c r="C19" s="132">
        <v>36.942675159235669</v>
      </c>
      <c r="D19" s="132">
        <v>12.460063897763579</v>
      </c>
      <c r="E19" s="132">
        <v>34.345047923322682</v>
      </c>
      <c r="F19" s="131">
        <v>650</v>
      </c>
    </row>
    <row r="20" spans="1:6" x14ac:dyDescent="0.25">
      <c r="A20" s="131" t="s">
        <v>48</v>
      </c>
      <c r="B20" s="132">
        <v>37.903225806451616</v>
      </c>
      <c r="C20" s="132">
        <v>35.483870967741936</v>
      </c>
      <c r="D20" s="132">
        <v>11.382113821138212</v>
      </c>
      <c r="E20" s="132">
        <v>41.732283464566926</v>
      </c>
      <c r="F20" s="131">
        <v>135</v>
      </c>
    </row>
    <row r="21" spans="1:6" x14ac:dyDescent="0.25">
      <c r="A21" s="131" t="s">
        <v>49</v>
      </c>
      <c r="B21" s="132">
        <v>53.260869565217391</v>
      </c>
      <c r="C21" s="132">
        <v>38.70967741935484</v>
      </c>
      <c r="D21" s="132">
        <v>11.578947368421053</v>
      </c>
      <c r="E21" s="132">
        <v>57.446808510638299</v>
      </c>
      <c r="F21" s="131">
        <v>105</v>
      </c>
    </row>
    <row r="22" spans="1:6" x14ac:dyDescent="0.25">
      <c r="A22" s="131" t="s">
        <v>50</v>
      </c>
      <c r="B22" s="132">
        <v>42.934782608695649</v>
      </c>
      <c r="C22" s="132">
        <v>36.612021857923494</v>
      </c>
      <c r="D22" s="132">
        <v>9.94475138121547</v>
      </c>
      <c r="E22" s="132">
        <v>51.685393258426963</v>
      </c>
      <c r="F22" s="131">
        <v>194</v>
      </c>
    </row>
    <row r="23" spans="1:6" x14ac:dyDescent="0.25">
      <c r="A23" s="131" t="s">
        <v>69</v>
      </c>
      <c r="B23" s="132">
        <v>35.029940119760482</v>
      </c>
      <c r="C23" s="132">
        <v>33.832335329341319</v>
      </c>
      <c r="D23" s="132">
        <v>11.48036253776435</v>
      </c>
      <c r="E23" s="132">
        <v>39.457831325301207</v>
      </c>
      <c r="F23" s="131">
        <v>350</v>
      </c>
    </row>
    <row r="24" spans="1:6" x14ac:dyDescent="0.25">
      <c r="A24" s="131" t="s">
        <v>6</v>
      </c>
      <c r="B24" s="132">
        <v>41.643835616438359</v>
      </c>
      <c r="C24" s="132">
        <v>29.863013698630137</v>
      </c>
      <c r="D24" s="132">
        <v>9.1666666666666661</v>
      </c>
      <c r="E24" s="132">
        <v>44.846796657381617</v>
      </c>
      <c r="F24" s="131">
        <v>389</v>
      </c>
    </row>
    <row r="25" spans="1:6" x14ac:dyDescent="0.25">
      <c r="A25" s="131" t="s">
        <v>70</v>
      </c>
      <c r="B25" s="132">
        <v>35</v>
      </c>
      <c r="C25" s="132">
        <v>34.234234234234236</v>
      </c>
      <c r="D25" s="132">
        <v>9.9547511312217196</v>
      </c>
      <c r="E25" s="132">
        <v>47.297297297297298</v>
      </c>
      <c r="F25" s="131">
        <v>239</v>
      </c>
    </row>
    <row r="26" spans="1:6" x14ac:dyDescent="0.25">
      <c r="A26" s="131" t="s">
        <v>7</v>
      </c>
      <c r="B26" s="132">
        <v>44.654088050314463</v>
      </c>
      <c r="C26" s="132">
        <v>38.650306748466257</v>
      </c>
      <c r="D26" s="132">
        <v>16.875</v>
      </c>
      <c r="E26" s="132">
        <v>39.240506329113927</v>
      </c>
      <c r="F26" s="131">
        <v>168</v>
      </c>
    </row>
    <row r="27" spans="1:6" x14ac:dyDescent="0.25">
      <c r="A27" s="131" t="s">
        <v>22</v>
      </c>
      <c r="B27" s="132">
        <v>31.288343558282207</v>
      </c>
      <c r="C27" s="132">
        <v>24.691358024691358</v>
      </c>
      <c r="D27" s="132">
        <v>6.2111801242236027</v>
      </c>
      <c r="E27" s="132">
        <v>58.125</v>
      </c>
      <c r="F27" s="131">
        <v>177</v>
      </c>
    </row>
    <row r="28" spans="1:6" x14ac:dyDescent="0.25">
      <c r="A28" s="131" t="s">
        <v>8</v>
      </c>
      <c r="B28" s="132">
        <v>41.245136186770431</v>
      </c>
      <c r="C28" s="132">
        <v>36.274509803921568</v>
      </c>
      <c r="D28" s="132">
        <v>15.098039215686274</v>
      </c>
      <c r="E28" s="132">
        <v>34.516765285996058</v>
      </c>
      <c r="F28" s="131">
        <v>533</v>
      </c>
    </row>
    <row r="29" spans="1:6" x14ac:dyDescent="0.25">
      <c r="A29" s="131" t="s">
        <v>9</v>
      </c>
      <c r="B29" s="132">
        <v>41.365461847389561</v>
      </c>
      <c r="C29" s="132">
        <v>36</v>
      </c>
      <c r="D29" s="132">
        <v>7.1713147410358564</v>
      </c>
      <c r="E29" s="132">
        <v>50.199203187250994</v>
      </c>
      <c r="F29" s="131">
        <v>262</v>
      </c>
    </row>
    <row r="30" spans="1:6" x14ac:dyDescent="0.25">
      <c r="A30" s="131" t="s">
        <v>54</v>
      </c>
      <c r="B30" s="132">
        <v>41.139240506329116</v>
      </c>
      <c r="C30" s="132">
        <v>34.177215189873415</v>
      </c>
      <c r="D30" s="132">
        <v>18.354430379746834</v>
      </c>
      <c r="E30" s="132">
        <v>35.220125786163521</v>
      </c>
      <c r="F30" s="131">
        <v>168</v>
      </c>
    </row>
    <row r="31" spans="1:6" x14ac:dyDescent="0.25">
      <c r="A31" s="131" t="s">
        <v>71</v>
      </c>
      <c r="B31" s="132">
        <v>45.410628019323674</v>
      </c>
      <c r="C31" s="132">
        <v>41.707317073170735</v>
      </c>
      <c r="D31" s="132">
        <v>16.788321167883211</v>
      </c>
      <c r="E31" s="132">
        <v>32.926829268292686</v>
      </c>
      <c r="F31" s="131">
        <v>437</v>
      </c>
    </row>
    <row r="32" spans="1:6" x14ac:dyDescent="0.25">
      <c r="A32" s="131" t="s">
        <v>10</v>
      </c>
      <c r="B32" s="132">
        <v>51.674641148325357</v>
      </c>
      <c r="C32" s="132">
        <v>42.307692307692307</v>
      </c>
      <c r="D32" s="132">
        <v>4.7846889952153111</v>
      </c>
      <c r="E32" s="132">
        <v>56.796116504854368</v>
      </c>
      <c r="F32" s="131">
        <v>219</v>
      </c>
    </row>
    <row r="33" spans="1:6" x14ac:dyDescent="0.25">
      <c r="A33" s="131" t="s">
        <v>56</v>
      </c>
      <c r="B33" s="132">
        <v>29.885057471264368</v>
      </c>
      <c r="C33" s="132">
        <v>29.479768786127167</v>
      </c>
      <c r="D33" s="132">
        <v>8.7719298245614041</v>
      </c>
      <c r="E33" s="132">
        <v>43.604651162790695</v>
      </c>
      <c r="F33" s="131">
        <v>179</v>
      </c>
    </row>
    <row r="34" spans="1:6" x14ac:dyDescent="0.25">
      <c r="A34" s="131" t="s">
        <v>11</v>
      </c>
      <c r="B34" s="132">
        <v>41.12</v>
      </c>
      <c r="C34" s="132">
        <v>31.84</v>
      </c>
      <c r="D34" s="132">
        <v>12.721417069243156</v>
      </c>
      <c r="E34" s="132">
        <v>35.69131832797428</v>
      </c>
      <c r="F34" s="131">
        <v>639</v>
      </c>
    </row>
    <row r="35" spans="1:6" x14ac:dyDescent="0.25">
      <c r="A35" s="131" t="s">
        <v>58</v>
      </c>
      <c r="B35" s="132">
        <v>41.441441441441441</v>
      </c>
      <c r="C35" s="132">
        <v>31.531531531531531</v>
      </c>
      <c r="D35" s="132">
        <v>12.844036697247706</v>
      </c>
      <c r="E35" s="132">
        <v>30</v>
      </c>
      <c r="F35" s="131">
        <v>114</v>
      </c>
    </row>
    <row r="36" spans="1:6" x14ac:dyDescent="0.25">
      <c r="A36" s="131" t="s">
        <v>59</v>
      </c>
      <c r="B36" s="132">
        <v>30</v>
      </c>
      <c r="C36" s="132">
        <v>27.338129496402878</v>
      </c>
      <c r="D36" s="132">
        <v>5.0724637681159424</v>
      </c>
      <c r="E36" s="132">
        <v>46.043165467625897</v>
      </c>
      <c r="F36" s="131">
        <v>143</v>
      </c>
    </row>
    <row r="37" spans="1:6" x14ac:dyDescent="0.25">
      <c r="A37" s="131" t="s">
        <v>60</v>
      </c>
      <c r="B37" s="132">
        <v>37.226277372262771</v>
      </c>
      <c r="C37" s="132">
        <v>29.710144927536231</v>
      </c>
      <c r="D37" s="132">
        <v>5.7971014492753623</v>
      </c>
      <c r="E37" s="132">
        <v>43.065693430656935</v>
      </c>
      <c r="F37" s="131">
        <v>144</v>
      </c>
    </row>
    <row r="38" spans="1:6" x14ac:dyDescent="0.25">
      <c r="A38" s="131" t="s">
        <v>12</v>
      </c>
      <c r="B38" s="132">
        <v>37.795275590551178</v>
      </c>
      <c r="C38" s="132">
        <v>33.333333333333336</v>
      </c>
      <c r="D38" s="132">
        <v>14.173228346456693</v>
      </c>
      <c r="E38" s="132">
        <v>44.53125</v>
      </c>
      <c r="F38" s="131">
        <v>135</v>
      </c>
    </row>
    <row r="39" spans="1:6" x14ac:dyDescent="0.25">
      <c r="A39" s="131" t="s">
        <v>61</v>
      </c>
      <c r="B39" s="132">
        <v>41.078838174273862</v>
      </c>
      <c r="C39" s="132">
        <v>35.950413223140494</v>
      </c>
      <c r="D39" s="132">
        <v>9.9173553719008272</v>
      </c>
      <c r="E39" s="132">
        <v>40.248962655601659</v>
      </c>
      <c r="F39" s="131">
        <v>248</v>
      </c>
    </row>
    <row r="40" spans="1:6" x14ac:dyDescent="0.25">
      <c r="A40" s="131" t="s">
        <v>62</v>
      </c>
      <c r="B40" s="132">
        <v>46.601941747572816</v>
      </c>
      <c r="C40" s="132">
        <v>46.078431372549019</v>
      </c>
      <c r="D40" s="132">
        <v>14.563106796116505</v>
      </c>
      <c r="E40" s="132">
        <v>46.601941747572816</v>
      </c>
      <c r="F40" s="131">
        <v>115</v>
      </c>
    </row>
    <row r="41" spans="1:6" x14ac:dyDescent="0.25">
      <c r="A41" s="131" t="s">
        <v>23</v>
      </c>
      <c r="B41" s="132">
        <v>33.841463414634148</v>
      </c>
      <c r="C41" s="132">
        <v>23.475609756097562</v>
      </c>
      <c r="D41" s="132">
        <v>8.8685015290519882</v>
      </c>
      <c r="E41" s="132">
        <v>50.153846153846153</v>
      </c>
      <c r="F41" s="131">
        <v>348</v>
      </c>
    </row>
    <row r="42" spans="1:6" x14ac:dyDescent="0.25">
      <c r="A42" s="131" t="s">
        <v>13</v>
      </c>
      <c r="B42" s="132">
        <v>37.724550898203596</v>
      </c>
      <c r="C42" s="132">
        <v>30.339321357285428</v>
      </c>
      <c r="D42" s="132">
        <v>7</v>
      </c>
      <c r="E42" s="132">
        <v>47.904191616766468</v>
      </c>
      <c r="F42" s="131">
        <v>525</v>
      </c>
    </row>
    <row r="43" spans="1:6" x14ac:dyDescent="0.25">
      <c r="A43" s="131" t="s">
        <v>14</v>
      </c>
      <c r="B43" s="132">
        <v>42.384105960264904</v>
      </c>
      <c r="C43" s="132">
        <v>38.255033557046978</v>
      </c>
      <c r="D43" s="132">
        <v>8.8435374149659864</v>
      </c>
      <c r="E43" s="132">
        <v>49.664429530201339</v>
      </c>
      <c r="F43" s="131">
        <v>158</v>
      </c>
    </row>
    <row r="44" spans="1:6" x14ac:dyDescent="0.25">
      <c r="A44" s="131" t="s">
        <v>64</v>
      </c>
      <c r="B44" s="132">
        <v>40.625</v>
      </c>
      <c r="C44" s="132">
        <v>37.267080745341616</v>
      </c>
      <c r="D44" s="132">
        <v>7.5949367088607591</v>
      </c>
      <c r="E44" s="132">
        <v>61.0062893081761</v>
      </c>
      <c r="F44" s="131">
        <v>167</v>
      </c>
    </row>
    <row r="45" spans="1:6" x14ac:dyDescent="0.25">
      <c r="A45" s="131" t="s">
        <v>65</v>
      </c>
      <c r="B45" s="132">
        <v>38.704819277108435</v>
      </c>
      <c r="C45" s="132">
        <v>33.383458646616539</v>
      </c>
      <c r="D45" s="132">
        <v>10.960960960960961</v>
      </c>
      <c r="E45" s="132">
        <v>34.290030211480364</v>
      </c>
      <c r="F45" s="131">
        <v>692</v>
      </c>
    </row>
    <row r="46" spans="1:6" x14ac:dyDescent="0.25">
      <c r="A46" s="131" t="s">
        <v>66</v>
      </c>
      <c r="B46" s="132">
        <v>46.354166666666664</v>
      </c>
      <c r="C46" s="132">
        <v>38.541666666666664</v>
      </c>
      <c r="D46" s="132">
        <v>11.702127659574469</v>
      </c>
      <c r="E46" s="132">
        <v>47.61904761904762</v>
      </c>
      <c r="F46" s="131">
        <v>202</v>
      </c>
    </row>
    <row r="47" spans="1:6" x14ac:dyDescent="0.25">
      <c r="A47" s="131" t="s">
        <v>15</v>
      </c>
      <c r="B47" s="132">
        <v>38.259441707717571</v>
      </c>
      <c r="C47" s="132">
        <v>29.440789473684209</v>
      </c>
      <c r="D47" s="132">
        <v>9.2715231788079464</v>
      </c>
      <c r="E47" s="132">
        <v>43.801652892561982</v>
      </c>
      <c r="F47" s="131">
        <v>627</v>
      </c>
    </row>
    <row r="48" spans="1:6" x14ac:dyDescent="0.25">
      <c r="A48" s="131" t="s">
        <v>16</v>
      </c>
      <c r="B48" s="132">
        <v>46.467391304347828</v>
      </c>
      <c r="C48" s="132">
        <v>34.946236559139784</v>
      </c>
      <c r="D48" s="132">
        <v>5.7220708446866482</v>
      </c>
      <c r="E48" s="132">
        <v>48.907103825136609</v>
      </c>
      <c r="F48" s="131">
        <v>387</v>
      </c>
    </row>
    <row r="49" spans="1:6" x14ac:dyDescent="0.25">
      <c r="A49" s="131" t="s">
        <v>17</v>
      </c>
      <c r="B49" s="132">
        <v>30.434782608695652</v>
      </c>
      <c r="C49" s="132">
        <v>33.695652173913047</v>
      </c>
      <c r="D49" s="132">
        <v>8.695652173913043</v>
      </c>
      <c r="E49" s="132">
        <v>46.739130434782609</v>
      </c>
      <c r="F49" s="131">
        <v>99</v>
      </c>
    </row>
    <row r="50" spans="1:6" x14ac:dyDescent="0.25">
      <c r="A50" s="131" t="s">
        <v>24</v>
      </c>
      <c r="B50" s="132">
        <v>48.022598870056498</v>
      </c>
      <c r="C50" s="132">
        <v>31.638418079096045</v>
      </c>
      <c r="D50" s="132">
        <v>5.7142857142857144</v>
      </c>
      <c r="E50" s="132">
        <v>50</v>
      </c>
      <c r="F50" s="131">
        <v>185</v>
      </c>
    </row>
    <row r="52" spans="1:6" x14ac:dyDescent="0.25">
      <c r="A52" s="104" t="s">
        <v>615</v>
      </c>
    </row>
    <row r="53" spans="1:6" ht="14" x14ac:dyDescent="0.3">
      <c r="A53" s="126" t="s">
        <v>439</v>
      </c>
    </row>
    <row r="54" spans="1:6" ht="14" x14ac:dyDescent="0.3">
      <c r="A54" s="133" t="s">
        <v>158</v>
      </c>
      <c r="B54" s="129" t="s">
        <v>616</v>
      </c>
      <c r="C54" s="129" t="s">
        <v>617</v>
      </c>
      <c r="D54" s="129" t="s">
        <v>618</v>
      </c>
      <c r="E54" s="129" t="s">
        <v>619</v>
      </c>
      <c r="F54" s="130" t="s">
        <v>421</v>
      </c>
    </row>
    <row r="55" spans="1:6" x14ac:dyDescent="0.25">
      <c r="A55" s="113" t="s">
        <v>74</v>
      </c>
      <c r="B55" s="132">
        <v>42.063492063492063</v>
      </c>
      <c r="C55" s="132">
        <v>36.19047619047619</v>
      </c>
      <c r="D55" s="132">
        <v>9.6671949286846282</v>
      </c>
      <c r="E55" s="132">
        <v>44.444444444444443</v>
      </c>
      <c r="F55" s="131">
        <v>676</v>
      </c>
    </row>
    <row r="56" spans="1:6" x14ac:dyDescent="0.25">
      <c r="A56" s="110" t="s">
        <v>75</v>
      </c>
      <c r="B56" s="132">
        <v>37.351443123938878</v>
      </c>
      <c r="C56" s="132">
        <v>30.887372013651877</v>
      </c>
      <c r="D56" s="132">
        <v>8.2403433476394845</v>
      </c>
      <c r="E56" s="132">
        <v>49.275362318840578</v>
      </c>
      <c r="F56" s="131">
        <v>1238</v>
      </c>
    </row>
    <row r="57" spans="1:6" x14ac:dyDescent="0.25">
      <c r="A57" s="110" t="s">
        <v>76</v>
      </c>
      <c r="B57" s="132">
        <v>41.860465116279073</v>
      </c>
      <c r="C57" s="132">
        <v>36.551724137931032</v>
      </c>
      <c r="D57" s="132">
        <v>10.947002606429193</v>
      </c>
      <c r="E57" s="132">
        <v>45.960034752389227</v>
      </c>
      <c r="F57" s="131">
        <v>1223</v>
      </c>
    </row>
    <row r="58" spans="1:6" x14ac:dyDescent="0.25">
      <c r="A58" s="110" t="s">
        <v>77</v>
      </c>
      <c r="B58" s="132">
        <v>38.921832884097036</v>
      </c>
      <c r="C58" s="132">
        <v>32.795698924731184</v>
      </c>
      <c r="D58" s="132">
        <v>9.9079588521927455</v>
      </c>
      <c r="E58" s="132">
        <v>45.070422535211264</v>
      </c>
      <c r="F58" s="131">
        <v>1950</v>
      </c>
    </row>
    <row r="59" spans="1:6" x14ac:dyDescent="0.25">
      <c r="A59" s="110" t="s">
        <v>78</v>
      </c>
      <c r="B59" s="132">
        <v>41.135531135531139</v>
      </c>
      <c r="C59" s="132">
        <v>33.773861967694565</v>
      </c>
      <c r="D59" s="132">
        <v>11.270718232044199</v>
      </c>
      <c r="E59" s="132">
        <v>40.893978574067233</v>
      </c>
      <c r="F59" s="131">
        <v>2870</v>
      </c>
    </row>
    <row r="60" spans="1:6" x14ac:dyDescent="0.25">
      <c r="A60" s="110" t="s">
        <v>79</v>
      </c>
      <c r="B60" s="132">
        <v>40.381053188674251</v>
      </c>
      <c r="C60" s="132">
        <v>33.262711864406782</v>
      </c>
      <c r="D60" s="132">
        <v>10.924593658406607</v>
      </c>
      <c r="E60" s="132">
        <v>36.947256259989345</v>
      </c>
      <c r="F60" s="131">
        <v>3899</v>
      </c>
    </row>
    <row r="62" spans="1:6" ht="14" x14ac:dyDescent="0.3">
      <c r="A62" s="128" t="s">
        <v>159</v>
      </c>
      <c r="B62" s="129" t="s">
        <v>616</v>
      </c>
      <c r="C62" s="129" t="s">
        <v>617</v>
      </c>
      <c r="D62" s="129" t="s">
        <v>618</v>
      </c>
      <c r="E62" s="129" t="s">
        <v>619</v>
      </c>
      <c r="F62" s="130" t="s">
        <v>421</v>
      </c>
    </row>
    <row r="63" spans="1:6" x14ac:dyDescent="0.25">
      <c r="B63" s="132">
        <v>40.2541251213271</v>
      </c>
      <c r="C63" s="132">
        <v>33.56297473944533</v>
      </c>
      <c r="D63" s="132">
        <v>10.495471497069792</v>
      </c>
      <c r="E63" s="132">
        <v>41.852410975934639</v>
      </c>
      <c r="F63" s="131">
        <v>11856</v>
      </c>
    </row>
    <row r="64" spans="1:6" x14ac:dyDescent="0.25">
      <c r="B64" s="132"/>
      <c r="C64" s="132"/>
      <c r="D64" s="132"/>
      <c r="E64" s="132"/>
      <c r="F64" s="131"/>
    </row>
    <row r="65" spans="1:6" ht="14" x14ac:dyDescent="0.3">
      <c r="A65" s="128" t="s">
        <v>159</v>
      </c>
    </row>
    <row r="66" spans="1:6" x14ac:dyDescent="0.25">
      <c r="A66" s="104" t="s">
        <v>615</v>
      </c>
      <c r="B66" s="132">
        <v>40.2541251213271</v>
      </c>
      <c r="C66" s="132">
        <v>33.56297473944533</v>
      </c>
      <c r="D66" s="132">
        <v>10.495471497069792</v>
      </c>
      <c r="E66" s="132">
        <v>41.852410975934639</v>
      </c>
      <c r="F66" s="131">
        <v>11856</v>
      </c>
    </row>
    <row r="67" spans="1:6" x14ac:dyDescent="0.25">
      <c r="A67" s="104"/>
    </row>
    <row r="68" spans="1:6" ht="14" x14ac:dyDescent="0.3">
      <c r="A68" s="129" t="s">
        <v>616</v>
      </c>
      <c r="B68" s="105" t="s">
        <v>620</v>
      </c>
      <c r="C68" s="132">
        <v>40.2541251213271</v>
      </c>
    </row>
    <row r="69" spans="1:6" ht="14" x14ac:dyDescent="0.3">
      <c r="A69" s="129" t="s">
        <v>617</v>
      </c>
      <c r="B69" s="105" t="s">
        <v>621</v>
      </c>
      <c r="C69" s="132">
        <v>33.56297473944533</v>
      </c>
    </row>
    <row r="70" spans="1:6" ht="14" x14ac:dyDescent="0.3">
      <c r="A70" s="129" t="s">
        <v>618</v>
      </c>
      <c r="B70" s="105" t="s">
        <v>622</v>
      </c>
      <c r="C70" s="132">
        <v>10.495471497069792</v>
      </c>
    </row>
    <row r="71" spans="1:6" ht="14" x14ac:dyDescent="0.3">
      <c r="A71" s="129" t="s">
        <v>619</v>
      </c>
      <c r="B71" s="105" t="s">
        <v>623</v>
      </c>
      <c r="C71" s="132">
        <v>41.852410975934639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A6" sqref="A6"/>
    </sheetView>
  </sheetViews>
  <sheetFormatPr defaultColWidth="8.7109375" defaultRowHeight="13.5" x14ac:dyDescent="0.25"/>
  <cols>
    <col min="1" max="1" width="19.7109375" style="105" customWidth="1"/>
    <col min="2" max="3" width="8.7109375" style="105"/>
    <col min="4" max="4" width="12.0703125" style="105" customWidth="1"/>
    <col min="5" max="16384" width="8.7109375" style="105"/>
  </cols>
  <sheetData>
    <row r="1" spans="1:5" x14ac:dyDescent="0.25">
      <c r="A1" s="135" t="s">
        <v>624</v>
      </c>
    </row>
    <row r="4" spans="1:5" ht="14" x14ac:dyDescent="0.3">
      <c r="A4" s="128" t="s">
        <v>157</v>
      </c>
      <c r="B4" s="129" t="s">
        <v>625</v>
      </c>
      <c r="C4" s="129" t="s">
        <v>443</v>
      </c>
      <c r="D4" s="129" t="s">
        <v>626</v>
      </c>
      <c r="E4" s="130" t="s">
        <v>421</v>
      </c>
    </row>
    <row r="5" spans="1:5" x14ac:dyDescent="0.25">
      <c r="A5" s="131" t="s">
        <v>42</v>
      </c>
      <c r="B5" s="132">
        <v>7.6271186440677967</v>
      </c>
      <c r="C5" s="132">
        <v>69.491525423728817</v>
      </c>
      <c r="D5" s="132">
        <v>22.881355932203391</v>
      </c>
      <c r="E5" s="131">
        <v>119</v>
      </c>
    </row>
    <row r="6" spans="1:5" x14ac:dyDescent="0.25">
      <c r="A6" s="131" t="s">
        <v>43</v>
      </c>
      <c r="B6" s="132">
        <v>3.0303030303030303</v>
      </c>
      <c r="C6" s="132">
        <v>80.606060606060609</v>
      </c>
      <c r="D6" s="132">
        <v>16.363636363636363</v>
      </c>
      <c r="E6" s="131">
        <v>667</v>
      </c>
    </row>
    <row r="7" spans="1:5" x14ac:dyDescent="0.25">
      <c r="A7" s="131" t="s">
        <v>44</v>
      </c>
      <c r="B7" s="132">
        <v>3.6809815950920246</v>
      </c>
      <c r="C7" s="132">
        <v>66.871165644171782</v>
      </c>
      <c r="D7" s="132">
        <v>29.447852760736197</v>
      </c>
      <c r="E7" s="131">
        <v>165</v>
      </c>
    </row>
    <row r="8" spans="1:5" x14ac:dyDescent="0.25">
      <c r="A8" s="131" t="s">
        <v>68</v>
      </c>
      <c r="B8" s="132">
        <v>2.9363784665579118</v>
      </c>
      <c r="C8" s="132">
        <v>72.430668841761829</v>
      </c>
      <c r="D8" s="132">
        <v>24.632952691680259</v>
      </c>
      <c r="E8" s="131">
        <v>624</v>
      </c>
    </row>
    <row r="9" spans="1:5" x14ac:dyDescent="0.25">
      <c r="A9" s="131" t="s">
        <v>2</v>
      </c>
      <c r="B9" s="132">
        <v>5.208333333333333</v>
      </c>
      <c r="C9" s="132">
        <v>61.458333333333336</v>
      </c>
      <c r="D9" s="132">
        <v>33.333333333333336</v>
      </c>
      <c r="E9" s="131">
        <v>99</v>
      </c>
    </row>
    <row r="10" spans="1:5" x14ac:dyDescent="0.25">
      <c r="A10" s="131" t="s">
        <v>3</v>
      </c>
      <c r="B10" s="132">
        <v>5.802047781569966</v>
      </c>
      <c r="C10" s="132">
        <v>67.918088737201359</v>
      </c>
      <c r="D10" s="132">
        <v>26.27986348122867</v>
      </c>
      <c r="E10" s="131">
        <v>301</v>
      </c>
    </row>
    <row r="11" spans="1:5" x14ac:dyDescent="0.25">
      <c r="A11" s="131" t="s">
        <v>4</v>
      </c>
      <c r="B11" s="132">
        <v>5.4607508532423212</v>
      </c>
      <c r="C11" s="132">
        <v>68.941979522184297</v>
      </c>
      <c r="D11" s="132">
        <v>25.597269624573379</v>
      </c>
      <c r="E11" s="131">
        <v>600</v>
      </c>
    </row>
    <row r="12" spans="1:5" x14ac:dyDescent="0.25">
      <c r="A12" s="131" t="s">
        <v>46</v>
      </c>
      <c r="B12" s="132">
        <v>5.4794520547945202</v>
      </c>
      <c r="C12" s="132">
        <v>65.753424657534254</v>
      </c>
      <c r="D12" s="132">
        <v>28.767123287671232</v>
      </c>
      <c r="E12" s="131">
        <v>148</v>
      </c>
    </row>
    <row r="13" spans="1:5" x14ac:dyDescent="0.25">
      <c r="A13" s="131" t="s">
        <v>5</v>
      </c>
      <c r="B13" s="132">
        <v>4.3681747269890794</v>
      </c>
      <c r="C13" s="132">
        <v>68.330733229329169</v>
      </c>
      <c r="D13" s="132">
        <v>27.301092043681749</v>
      </c>
      <c r="E13" s="131">
        <v>650</v>
      </c>
    </row>
    <row r="14" spans="1:5" x14ac:dyDescent="0.25">
      <c r="A14" s="131" t="s">
        <v>48</v>
      </c>
      <c r="B14" s="132">
        <v>3.053435114503817</v>
      </c>
      <c r="C14" s="132">
        <v>67.938931297709928</v>
      </c>
      <c r="D14" s="132">
        <v>29.007633587786259</v>
      </c>
      <c r="E14" s="131">
        <v>135</v>
      </c>
    </row>
    <row r="15" spans="1:5" x14ac:dyDescent="0.25">
      <c r="A15" s="131" t="s">
        <v>49</v>
      </c>
      <c r="B15" s="132">
        <v>3.8461538461538463</v>
      </c>
      <c r="C15" s="132">
        <v>75.961538461538467</v>
      </c>
      <c r="D15" s="132">
        <v>20.192307692307693</v>
      </c>
      <c r="E15" s="131">
        <v>105</v>
      </c>
    </row>
    <row r="16" spans="1:5" x14ac:dyDescent="0.25">
      <c r="A16" s="131" t="s">
        <v>50</v>
      </c>
      <c r="B16" s="132">
        <v>5.1813471502590671</v>
      </c>
      <c r="C16" s="132">
        <v>66.321243523316056</v>
      </c>
      <c r="D16" s="132">
        <v>28.497409326424872</v>
      </c>
      <c r="E16" s="131">
        <v>194</v>
      </c>
    </row>
    <row r="17" spans="1:5" x14ac:dyDescent="0.25">
      <c r="A17" s="131" t="s">
        <v>69</v>
      </c>
      <c r="B17" s="132">
        <v>5.7803468208092488</v>
      </c>
      <c r="C17" s="132">
        <v>66.473988439306353</v>
      </c>
      <c r="D17" s="132">
        <v>27.745664739884393</v>
      </c>
      <c r="E17" s="131">
        <v>350</v>
      </c>
    </row>
    <row r="18" spans="1:5" x14ac:dyDescent="0.25">
      <c r="A18" s="131" t="s">
        <v>6</v>
      </c>
      <c r="B18" s="132">
        <v>6.5616797900262469</v>
      </c>
      <c r="C18" s="132">
        <v>69.028871391076109</v>
      </c>
      <c r="D18" s="132">
        <v>24.409448818897637</v>
      </c>
      <c r="E18" s="131">
        <v>389</v>
      </c>
    </row>
    <row r="19" spans="1:5" x14ac:dyDescent="0.25">
      <c r="A19" s="131" t="s">
        <v>70</v>
      </c>
      <c r="B19" s="132">
        <v>6.4102564102564106</v>
      </c>
      <c r="C19" s="132">
        <v>66.666666666666671</v>
      </c>
      <c r="D19" s="132">
        <v>26.923076923076923</v>
      </c>
      <c r="E19" s="131">
        <v>239</v>
      </c>
    </row>
    <row r="20" spans="1:5" x14ac:dyDescent="0.25">
      <c r="A20" s="131" t="s">
        <v>7</v>
      </c>
      <c r="B20" s="132">
        <v>6.024096385542169</v>
      </c>
      <c r="C20" s="132">
        <v>68.07228915662651</v>
      </c>
      <c r="D20" s="132">
        <v>25.903614457831324</v>
      </c>
      <c r="E20" s="131">
        <v>168</v>
      </c>
    </row>
    <row r="21" spans="1:5" x14ac:dyDescent="0.25">
      <c r="A21" s="131" t="s">
        <v>22</v>
      </c>
      <c r="B21" s="132">
        <v>3.4285714285714284</v>
      </c>
      <c r="C21" s="132">
        <v>65.142857142857139</v>
      </c>
      <c r="D21" s="132">
        <v>31.428571428571427</v>
      </c>
      <c r="E21" s="131">
        <v>177</v>
      </c>
    </row>
    <row r="22" spans="1:5" x14ac:dyDescent="0.25">
      <c r="A22" s="131" t="s">
        <v>8</v>
      </c>
      <c r="B22" s="132">
        <v>6.3339731285988483</v>
      </c>
      <c r="C22" s="132">
        <v>68.330134357005761</v>
      </c>
      <c r="D22" s="132">
        <v>25.335892514395393</v>
      </c>
      <c r="E22" s="131">
        <v>533</v>
      </c>
    </row>
    <row r="23" spans="1:5" x14ac:dyDescent="0.25">
      <c r="A23" s="131" t="s">
        <v>9</v>
      </c>
      <c r="B23" s="132">
        <v>4.2801556420233462</v>
      </c>
      <c r="C23" s="132">
        <v>67.704280155642024</v>
      </c>
      <c r="D23" s="132">
        <v>28.01556420233463</v>
      </c>
      <c r="E23" s="131">
        <v>262</v>
      </c>
    </row>
    <row r="24" spans="1:5" x14ac:dyDescent="0.25">
      <c r="A24" s="131" t="s">
        <v>54</v>
      </c>
      <c r="B24" s="132">
        <v>9.8765432098765427</v>
      </c>
      <c r="C24" s="132">
        <v>62.345679012345677</v>
      </c>
      <c r="D24" s="132">
        <v>27.777777777777779</v>
      </c>
      <c r="E24" s="131">
        <v>168</v>
      </c>
    </row>
    <row r="25" spans="1:5" x14ac:dyDescent="0.25">
      <c r="A25" s="131" t="s">
        <v>71</v>
      </c>
      <c r="B25" s="132">
        <v>3.9627039627039626</v>
      </c>
      <c r="C25" s="132">
        <v>71.095571095571103</v>
      </c>
      <c r="D25" s="132">
        <v>24.941724941724942</v>
      </c>
      <c r="E25" s="131">
        <v>437</v>
      </c>
    </row>
    <row r="26" spans="1:5" x14ac:dyDescent="0.25">
      <c r="A26" s="131" t="s">
        <v>10</v>
      </c>
      <c r="B26" s="132">
        <v>1.8604651162790697</v>
      </c>
      <c r="C26" s="132">
        <v>73.95348837209302</v>
      </c>
      <c r="D26" s="132">
        <v>24.186046511627907</v>
      </c>
      <c r="E26" s="131">
        <v>219</v>
      </c>
    </row>
    <row r="27" spans="1:5" x14ac:dyDescent="0.25">
      <c r="A27" s="131" t="s">
        <v>56</v>
      </c>
      <c r="B27" s="132">
        <v>6.2146892655367232</v>
      </c>
      <c r="C27" s="132">
        <v>65.536723163841813</v>
      </c>
      <c r="D27" s="132">
        <v>28.248587570621471</v>
      </c>
      <c r="E27" s="131">
        <v>179</v>
      </c>
    </row>
    <row r="28" spans="1:5" x14ac:dyDescent="0.25">
      <c r="A28" s="131" t="s">
        <v>11</v>
      </c>
      <c r="B28" s="132">
        <v>4.4374009508716323</v>
      </c>
      <c r="C28" s="132">
        <v>71.632329635499204</v>
      </c>
      <c r="D28" s="132">
        <v>23.930269413629158</v>
      </c>
      <c r="E28" s="131">
        <v>639</v>
      </c>
    </row>
    <row r="29" spans="1:5" x14ac:dyDescent="0.25">
      <c r="A29" s="131" t="s">
        <v>58</v>
      </c>
      <c r="B29" s="132">
        <v>3.5087719298245612</v>
      </c>
      <c r="C29" s="132">
        <v>63.157894736842103</v>
      </c>
      <c r="D29" s="132">
        <v>33.333333333333336</v>
      </c>
      <c r="E29" s="131">
        <v>114</v>
      </c>
    </row>
    <row r="30" spans="1:5" x14ac:dyDescent="0.25">
      <c r="A30" s="131" t="s">
        <v>59</v>
      </c>
      <c r="B30" s="132">
        <v>3.6496350364963503</v>
      </c>
      <c r="C30" s="132">
        <v>62.773722627737229</v>
      </c>
      <c r="D30" s="132">
        <v>33.576642335766422</v>
      </c>
      <c r="E30" s="131">
        <v>143</v>
      </c>
    </row>
    <row r="31" spans="1:5" x14ac:dyDescent="0.25">
      <c r="A31" s="131" t="s">
        <v>60</v>
      </c>
      <c r="B31" s="132">
        <v>6.3380281690140849</v>
      </c>
      <c r="C31" s="132">
        <v>70.422535211267601</v>
      </c>
      <c r="D31" s="132">
        <v>23.239436619718308</v>
      </c>
      <c r="E31" s="131">
        <v>144</v>
      </c>
    </row>
    <row r="32" spans="1:5" x14ac:dyDescent="0.25">
      <c r="A32" s="131" t="s">
        <v>12</v>
      </c>
      <c r="B32" s="132">
        <v>9.022556390977444</v>
      </c>
      <c r="C32" s="132">
        <v>62.406015037593988</v>
      </c>
      <c r="D32" s="132">
        <v>28.571428571428573</v>
      </c>
      <c r="E32" s="131">
        <v>135</v>
      </c>
    </row>
    <row r="33" spans="1:5" x14ac:dyDescent="0.25">
      <c r="A33" s="131" t="s">
        <v>61</v>
      </c>
      <c r="B33" s="132">
        <v>4.048582995951417</v>
      </c>
      <c r="C33" s="132">
        <v>74.089068825910928</v>
      </c>
      <c r="D33" s="132">
        <v>21.862348178137651</v>
      </c>
      <c r="E33" s="131">
        <v>248</v>
      </c>
    </row>
    <row r="34" spans="1:5" x14ac:dyDescent="0.25">
      <c r="A34" s="131" t="s">
        <v>62</v>
      </c>
      <c r="B34" s="132">
        <v>3.7037037037037037</v>
      </c>
      <c r="C34" s="132">
        <v>71.296296296296291</v>
      </c>
      <c r="D34" s="132">
        <v>25</v>
      </c>
      <c r="E34" s="131">
        <v>115</v>
      </c>
    </row>
    <row r="35" spans="1:5" x14ac:dyDescent="0.25">
      <c r="A35" s="131" t="s">
        <v>23</v>
      </c>
      <c r="B35" s="132">
        <v>7.8947368421052628</v>
      </c>
      <c r="C35" s="132">
        <v>63.742690058479532</v>
      </c>
      <c r="D35" s="132">
        <v>28.362573099415204</v>
      </c>
      <c r="E35" s="131">
        <v>348</v>
      </c>
    </row>
    <row r="36" spans="1:5" x14ac:dyDescent="0.25">
      <c r="A36" s="131" t="s">
        <v>13</v>
      </c>
      <c r="B36" s="132">
        <v>6.5891472868217056</v>
      </c>
      <c r="C36" s="132">
        <v>64.147286821705421</v>
      </c>
      <c r="D36" s="132">
        <v>29.263565891472869</v>
      </c>
      <c r="E36" s="131">
        <v>525</v>
      </c>
    </row>
    <row r="37" spans="1:5" x14ac:dyDescent="0.25">
      <c r="A37" s="131" t="s">
        <v>14</v>
      </c>
      <c r="B37" s="132">
        <v>1.9607843137254901</v>
      </c>
      <c r="C37" s="132">
        <v>70.588235294117652</v>
      </c>
      <c r="D37" s="132">
        <v>27.450980392156861</v>
      </c>
      <c r="E37" s="131">
        <v>158</v>
      </c>
    </row>
    <row r="38" spans="1:5" x14ac:dyDescent="0.25">
      <c r="A38" s="131" t="s">
        <v>64</v>
      </c>
      <c r="B38" s="132">
        <v>4.8484848484848486</v>
      </c>
      <c r="C38" s="132">
        <v>75.757575757575751</v>
      </c>
      <c r="D38" s="132">
        <v>19.393939393939394</v>
      </c>
      <c r="E38" s="131">
        <v>167</v>
      </c>
    </row>
    <row r="39" spans="1:5" x14ac:dyDescent="0.25">
      <c r="A39" s="131" t="s">
        <v>65</v>
      </c>
      <c r="B39" s="132">
        <v>4.4117647058823533</v>
      </c>
      <c r="C39" s="132">
        <v>70.588235294117652</v>
      </c>
      <c r="D39" s="132">
        <v>25</v>
      </c>
      <c r="E39" s="131">
        <v>692</v>
      </c>
    </row>
    <row r="40" spans="1:5" x14ac:dyDescent="0.25">
      <c r="A40" s="131" t="s">
        <v>66</v>
      </c>
      <c r="B40" s="132">
        <v>3.5</v>
      </c>
      <c r="C40" s="132">
        <v>69.5</v>
      </c>
      <c r="D40" s="132">
        <v>27</v>
      </c>
      <c r="E40" s="131">
        <v>202</v>
      </c>
    </row>
    <row r="41" spans="1:5" x14ac:dyDescent="0.25">
      <c r="A41" s="131" t="s">
        <v>15</v>
      </c>
      <c r="B41" s="132">
        <v>3.7096774193548385</v>
      </c>
      <c r="C41" s="132">
        <v>69.838709677419359</v>
      </c>
      <c r="D41" s="132">
        <v>26.451612903225808</v>
      </c>
      <c r="E41" s="131">
        <v>627</v>
      </c>
    </row>
    <row r="42" spans="1:5" x14ac:dyDescent="0.25">
      <c r="A42" s="131" t="s">
        <v>16</v>
      </c>
      <c r="B42" s="132">
        <v>2.8871391076115485</v>
      </c>
      <c r="C42" s="132">
        <v>69.028871391076109</v>
      </c>
      <c r="D42" s="132">
        <v>28.083989501312335</v>
      </c>
      <c r="E42" s="131">
        <v>387</v>
      </c>
    </row>
    <row r="43" spans="1:5" x14ac:dyDescent="0.25">
      <c r="A43" s="131" t="s">
        <v>17</v>
      </c>
      <c r="B43" s="132">
        <v>3.1914893617021276</v>
      </c>
      <c r="C43" s="132">
        <v>67.021276595744681</v>
      </c>
      <c r="D43" s="132">
        <v>29.787234042553191</v>
      </c>
      <c r="E43" s="131">
        <v>99</v>
      </c>
    </row>
    <row r="44" spans="1:5" x14ac:dyDescent="0.25">
      <c r="A44" s="131" t="s">
        <v>24</v>
      </c>
      <c r="B44" s="132">
        <v>6.0439560439560438</v>
      </c>
      <c r="C44" s="132">
        <v>63.736263736263737</v>
      </c>
      <c r="D44" s="132">
        <v>30.219780219780219</v>
      </c>
      <c r="E44" s="131">
        <v>185</v>
      </c>
    </row>
    <row r="47" spans="1:5" ht="14" x14ac:dyDescent="0.3">
      <c r="A47" s="133" t="s">
        <v>158</v>
      </c>
      <c r="B47" s="129" t="s">
        <v>625</v>
      </c>
      <c r="C47" s="129" t="s">
        <v>443</v>
      </c>
      <c r="D47" s="129" t="s">
        <v>626</v>
      </c>
      <c r="E47" s="130" t="s">
        <v>421</v>
      </c>
    </row>
    <row r="48" spans="1:5" x14ac:dyDescent="0.25">
      <c r="A48" s="113" t="s">
        <v>74</v>
      </c>
      <c r="B48" s="132">
        <v>4.4072948328267474</v>
      </c>
      <c r="C48" s="132">
        <v>68.389057750759875</v>
      </c>
      <c r="D48" s="132">
        <v>27.203647416413375</v>
      </c>
      <c r="E48" s="131">
        <v>676</v>
      </c>
    </row>
    <row r="49" spans="1:5" x14ac:dyDescent="0.25">
      <c r="A49" s="110" t="s">
        <v>75</v>
      </c>
      <c r="B49" s="132">
        <v>5.2545155993431854</v>
      </c>
      <c r="C49" s="132">
        <v>66.666666666666671</v>
      </c>
      <c r="D49" s="132">
        <v>28.078817733990149</v>
      </c>
      <c r="E49" s="131">
        <v>1238</v>
      </c>
    </row>
    <row r="50" spans="1:5" x14ac:dyDescent="0.25">
      <c r="A50" s="110" t="s">
        <v>76</v>
      </c>
      <c r="B50" s="132">
        <v>4.9207673060884067</v>
      </c>
      <c r="C50" s="132">
        <v>67.88990825688073</v>
      </c>
      <c r="D50" s="132">
        <v>27.189324437030859</v>
      </c>
      <c r="E50" s="131">
        <v>1223</v>
      </c>
    </row>
    <row r="51" spans="1:5" x14ac:dyDescent="0.25">
      <c r="A51" s="110" t="s">
        <v>77</v>
      </c>
      <c r="B51" s="132">
        <v>5.5758207399687336</v>
      </c>
      <c r="C51" s="132">
        <v>67.691505992704535</v>
      </c>
      <c r="D51" s="132">
        <v>26.732673267326732</v>
      </c>
      <c r="E51" s="131">
        <v>1950</v>
      </c>
    </row>
    <row r="52" spans="1:5" x14ac:dyDescent="0.25">
      <c r="A52" s="110" t="s">
        <v>78</v>
      </c>
      <c r="B52" s="132">
        <v>5.4034838250977604</v>
      </c>
      <c r="C52" s="132">
        <v>68.290081763242085</v>
      </c>
      <c r="D52" s="132">
        <v>26.306434411660149</v>
      </c>
      <c r="E52" s="131">
        <v>2870</v>
      </c>
    </row>
    <row r="53" spans="1:5" x14ac:dyDescent="0.25">
      <c r="A53" s="110" t="s">
        <v>79</v>
      </c>
      <c r="B53" s="132">
        <v>3.8231469440832249</v>
      </c>
      <c r="C53" s="132">
        <v>72.275682704811445</v>
      </c>
      <c r="D53" s="132">
        <v>23.901170351105332</v>
      </c>
      <c r="E53" s="131">
        <v>3899</v>
      </c>
    </row>
    <row r="55" spans="1:5" ht="14" x14ac:dyDescent="0.3">
      <c r="A55" s="128" t="s">
        <v>159</v>
      </c>
      <c r="B55" s="129" t="s">
        <v>625</v>
      </c>
      <c r="C55" s="129" t="s">
        <v>443</v>
      </c>
      <c r="D55" s="129" t="s">
        <v>626</v>
      </c>
      <c r="E55" s="130" t="s">
        <v>421</v>
      </c>
    </row>
    <row r="56" spans="1:5" x14ac:dyDescent="0.25">
      <c r="B56" s="132">
        <v>4.7888774459320285</v>
      </c>
      <c r="C56" s="132">
        <v>69.301407483693779</v>
      </c>
      <c r="D56" s="132">
        <v>25.909715070374183</v>
      </c>
      <c r="E56" s="131">
        <v>11856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6" sqref="A6"/>
    </sheetView>
  </sheetViews>
  <sheetFormatPr defaultColWidth="8.7109375" defaultRowHeight="13.5" x14ac:dyDescent="0.25"/>
  <cols>
    <col min="1" max="1" width="32.5" style="105" customWidth="1"/>
    <col min="2" max="16384" width="8.7109375" style="105"/>
  </cols>
  <sheetData>
    <row r="1" spans="1:13" x14ac:dyDescent="0.25">
      <c r="A1" s="135" t="s">
        <v>627</v>
      </c>
    </row>
    <row r="2" spans="1:13" x14ac:dyDescent="0.25">
      <c r="A2" s="104" t="s">
        <v>628</v>
      </c>
    </row>
    <row r="4" spans="1:13" x14ac:dyDescent="0.25">
      <c r="A4" s="104" t="s">
        <v>629</v>
      </c>
    </row>
    <row r="6" spans="1:13" ht="14" x14ac:dyDescent="0.3">
      <c r="A6" s="126" t="s">
        <v>435</v>
      </c>
    </row>
    <row r="7" spans="1:13" ht="14" x14ac:dyDescent="0.3">
      <c r="A7" s="128" t="s">
        <v>157</v>
      </c>
      <c r="B7" s="129" t="s">
        <v>630</v>
      </c>
      <c r="C7" s="129" t="s">
        <v>631</v>
      </c>
      <c r="D7" s="129" t="s">
        <v>632</v>
      </c>
      <c r="E7" s="129" t="s">
        <v>633</v>
      </c>
      <c r="F7" s="129" t="s">
        <v>634</v>
      </c>
      <c r="G7" s="129" t="s">
        <v>635</v>
      </c>
      <c r="H7" s="129" t="s">
        <v>636</v>
      </c>
      <c r="I7" s="129" t="s">
        <v>637</v>
      </c>
      <c r="J7" s="129" t="s">
        <v>638</v>
      </c>
      <c r="K7" s="129" t="s">
        <v>639</v>
      </c>
      <c r="L7" s="129" t="s">
        <v>640</v>
      </c>
      <c r="M7" s="130" t="s">
        <v>421</v>
      </c>
    </row>
    <row r="8" spans="1:13" x14ac:dyDescent="0.25">
      <c r="A8" s="131" t="s">
        <v>42</v>
      </c>
      <c r="B8" s="132">
        <v>75.438596491228068</v>
      </c>
      <c r="C8" s="132">
        <v>88.695652173913047</v>
      </c>
      <c r="D8" s="132">
        <v>79.824561403508767</v>
      </c>
      <c r="E8" s="132">
        <v>56.637168141592923</v>
      </c>
      <c r="F8" s="132">
        <v>46.902654867256636</v>
      </c>
      <c r="G8" s="132">
        <v>50.442477876106196</v>
      </c>
      <c r="H8" s="132">
        <v>16.814159292035399</v>
      </c>
      <c r="I8" s="132">
        <v>54.86725663716814</v>
      </c>
      <c r="J8" s="132">
        <v>50.434782608695649</v>
      </c>
      <c r="K8" s="132">
        <v>15.929203539823009</v>
      </c>
      <c r="L8" s="132">
        <v>60.176991150442475</v>
      </c>
      <c r="M8" s="131">
        <v>119</v>
      </c>
    </row>
    <row r="9" spans="1:13" x14ac:dyDescent="0.25">
      <c r="A9" s="131" t="s">
        <v>43</v>
      </c>
      <c r="B9" s="132">
        <v>67.026194144838215</v>
      </c>
      <c r="C9" s="132">
        <v>87.63358778625954</v>
      </c>
      <c r="D9" s="132">
        <v>70.615384615384613</v>
      </c>
      <c r="E9" s="132">
        <v>59.476117103235744</v>
      </c>
      <c r="F9" s="132">
        <v>55.981595092024541</v>
      </c>
      <c r="G9" s="132">
        <v>65.902140672782878</v>
      </c>
      <c r="H9" s="132">
        <v>21.658986175115206</v>
      </c>
      <c r="I9" s="132">
        <v>60.983102918586788</v>
      </c>
      <c r="J9" s="132">
        <v>59.476117103235744</v>
      </c>
      <c r="K9" s="132">
        <v>22.052067381316999</v>
      </c>
      <c r="L9" s="132">
        <v>65.797546012269933</v>
      </c>
      <c r="M9" s="131">
        <v>667</v>
      </c>
    </row>
    <row r="10" spans="1:13" x14ac:dyDescent="0.25">
      <c r="A10" s="131" t="s">
        <v>44</v>
      </c>
      <c r="B10" s="132">
        <v>72.392638036809814</v>
      </c>
      <c r="C10" s="132">
        <v>87.037037037037038</v>
      </c>
      <c r="D10" s="132">
        <v>66.871165644171782</v>
      </c>
      <c r="E10" s="132">
        <v>59.119496855345915</v>
      </c>
      <c r="F10" s="132">
        <v>47.5</v>
      </c>
      <c r="G10" s="132">
        <v>50.943396226415096</v>
      </c>
      <c r="H10" s="132">
        <v>20.625</v>
      </c>
      <c r="I10" s="132">
        <v>48.125</v>
      </c>
      <c r="J10" s="132">
        <v>60.248447204968947</v>
      </c>
      <c r="K10" s="132">
        <v>15.09433962264151</v>
      </c>
      <c r="L10" s="132">
        <v>67.088607594936704</v>
      </c>
      <c r="M10" s="131">
        <v>165</v>
      </c>
    </row>
    <row r="11" spans="1:13" x14ac:dyDescent="0.25">
      <c r="A11" s="131" t="s">
        <v>68</v>
      </c>
      <c r="B11" s="132">
        <v>65.742251223491024</v>
      </c>
      <c r="C11" s="132">
        <v>87.397708674304425</v>
      </c>
      <c r="D11" s="132">
        <v>76.83523654159869</v>
      </c>
      <c r="E11" s="132">
        <v>61.967213114754095</v>
      </c>
      <c r="F11" s="132">
        <v>55.993431855500823</v>
      </c>
      <c r="G11" s="132">
        <v>62.41721854304636</v>
      </c>
      <c r="H11" s="132">
        <v>22.131147540983605</v>
      </c>
      <c r="I11" s="132">
        <v>58.881578947368418</v>
      </c>
      <c r="J11" s="132">
        <v>52.709359605911331</v>
      </c>
      <c r="K11" s="132">
        <v>20.723684210526315</v>
      </c>
      <c r="L11" s="132">
        <v>66.886326194398677</v>
      </c>
      <c r="M11" s="131">
        <v>624</v>
      </c>
    </row>
    <row r="12" spans="1:13" x14ac:dyDescent="0.25">
      <c r="A12" s="131" t="s">
        <v>2</v>
      </c>
      <c r="B12" s="132">
        <v>74.226804123711347</v>
      </c>
      <c r="C12" s="132">
        <v>93.939393939393938</v>
      </c>
      <c r="D12" s="132">
        <v>73.19587628865979</v>
      </c>
      <c r="E12" s="132">
        <v>56.25</v>
      </c>
      <c r="F12" s="132">
        <v>39.560439560439562</v>
      </c>
      <c r="G12" s="132">
        <v>50.537634408602152</v>
      </c>
      <c r="H12" s="132">
        <v>21.875</v>
      </c>
      <c r="I12" s="132">
        <v>48.958333333333336</v>
      </c>
      <c r="J12" s="132">
        <v>53.608247422680414</v>
      </c>
      <c r="K12" s="132">
        <v>9.375</v>
      </c>
      <c r="L12" s="132">
        <v>60</v>
      </c>
      <c r="M12" s="131">
        <v>99</v>
      </c>
    </row>
    <row r="13" spans="1:13" x14ac:dyDescent="0.25">
      <c r="A13" s="131" t="s">
        <v>3</v>
      </c>
      <c r="B13" s="132">
        <v>79.391891891891888</v>
      </c>
      <c r="C13" s="132">
        <v>90.3010033444816</v>
      </c>
      <c r="D13" s="132">
        <v>69.360269360269356</v>
      </c>
      <c r="E13" s="132">
        <v>58.38926174496644</v>
      </c>
      <c r="F13" s="132">
        <v>45.454545454545453</v>
      </c>
      <c r="G13" s="132">
        <v>51.351351351351354</v>
      </c>
      <c r="H13" s="132">
        <v>24.914675767918087</v>
      </c>
      <c r="I13" s="132">
        <v>54.729729729729726</v>
      </c>
      <c r="J13" s="132">
        <v>56.949152542372879</v>
      </c>
      <c r="K13" s="132">
        <v>15.017064846416382</v>
      </c>
      <c r="L13" s="132">
        <v>64.745762711864401</v>
      </c>
      <c r="M13" s="131">
        <v>301</v>
      </c>
    </row>
    <row r="14" spans="1:13" x14ac:dyDescent="0.25">
      <c r="A14" s="131" t="s">
        <v>4</v>
      </c>
      <c r="B14" s="132">
        <v>73.36769759450172</v>
      </c>
      <c r="C14" s="132">
        <v>87.64805414551607</v>
      </c>
      <c r="D14" s="132">
        <v>57.417102966841185</v>
      </c>
      <c r="E14" s="132">
        <v>54.782608695652172</v>
      </c>
      <c r="F14" s="132">
        <v>46.409807355516641</v>
      </c>
      <c r="G14" s="132">
        <v>49.303135888501743</v>
      </c>
      <c r="H14" s="132">
        <v>22.495606326889281</v>
      </c>
      <c r="I14" s="132">
        <v>54.929577464788736</v>
      </c>
      <c r="J14" s="132">
        <v>54.181184668989545</v>
      </c>
      <c r="K14" s="132">
        <v>16.464471403812826</v>
      </c>
      <c r="L14" s="132">
        <v>67.015706806282722</v>
      </c>
      <c r="M14" s="131">
        <v>600</v>
      </c>
    </row>
    <row r="15" spans="1:13" x14ac:dyDescent="0.25">
      <c r="A15" s="131" t="s">
        <v>46</v>
      </c>
      <c r="B15" s="132">
        <v>83.802816901408448</v>
      </c>
      <c r="C15" s="132">
        <v>92.307692307692307</v>
      </c>
      <c r="D15" s="132">
        <v>55.633802816901408</v>
      </c>
      <c r="E15" s="132">
        <v>53.571428571428569</v>
      </c>
      <c r="F15" s="132">
        <v>38.571428571428569</v>
      </c>
      <c r="G15" s="132">
        <v>55.714285714285715</v>
      </c>
      <c r="H15" s="132">
        <v>29.37062937062937</v>
      </c>
      <c r="I15" s="132">
        <v>47.142857142857146</v>
      </c>
      <c r="J15" s="132">
        <v>57.04225352112676</v>
      </c>
      <c r="K15" s="132">
        <v>13.571428571428571</v>
      </c>
      <c r="L15" s="132">
        <v>64.539007092198588</v>
      </c>
      <c r="M15" s="131">
        <v>148</v>
      </c>
    </row>
    <row r="16" spans="1:13" x14ac:dyDescent="0.25">
      <c r="A16" s="131" t="s">
        <v>5</v>
      </c>
      <c r="B16" s="132">
        <v>69.339622641509436</v>
      </c>
      <c r="C16" s="132">
        <v>86.09375</v>
      </c>
      <c r="D16" s="132">
        <v>59.905660377358494</v>
      </c>
      <c r="E16" s="132">
        <v>60.094637223974765</v>
      </c>
      <c r="F16" s="132">
        <v>48.652931854199686</v>
      </c>
      <c r="G16" s="132">
        <v>61.269841269841272</v>
      </c>
      <c r="H16" s="132">
        <v>27.17219589257504</v>
      </c>
      <c r="I16" s="132">
        <v>53.090332805071313</v>
      </c>
      <c r="J16" s="132">
        <v>57.389937106918239</v>
      </c>
      <c r="K16" s="132">
        <v>14.533965244865719</v>
      </c>
      <c r="L16" s="132">
        <v>68.818897637795274</v>
      </c>
      <c r="M16" s="131">
        <v>650</v>
      </c>
    </row>
    <row r="17" spans="1:13" x14ac:dyDescent="0.25">
      <c r="A17" s="131" t="s">
        <v>48</v>
      </c>
      <c r="B17" s="132">
        <v>76.515151515151516</v>
      </c>
      <c r="C17" s="132">
        <v>85.496183206106863</v>
      </c>
      <c r="D17" s="132">
        <v>75.968992248062023</v>
      </c>
      <c r="E17" s="132">
        <v>67.1875</v>
      </c>
      <c r="F17" s="132">
        <v>62.015503875968989</v>
      </c>
      <c r="G17" s="132">
        <v>50</v>
      </c>
      <c r="H17" s="132">
        <v>24.21875</v>
      </c>
      <c r="I17" s="132">
        <v>55.038759689922479</v>
      </c>
      <c r="J17" s="132">
        <v>53.54330708661417</v>
      </c>
      <c r="K17" s="132">
        <v>16.153846153846153</v>
      </c>
      <c r="L17" s="132">
        <v>74.809160305343511</v>
      </c>
      <c r="M17" s="131">
        <v>135</v>
      </c>
    </row>
    <row r="18" spans="1:13" x14ac:dyDescent="0.25">
      <c r="A18" s="131" t="s">
        <v>49</v>
      </c>
      <c r="B18" s="132">
        <v>81.372549019607845</v>
      </c>
      <c r="C18" s="132">
        <v>97.058823529411768</v>
      </c>
      <c r="D18" s="132">
        <v>90.196078431372555</v>
      </c>
      <c r="E18" s="132">
        <v>71.428571428571431</v>
      </c>
      <c r="F18" s="132">
        <v>50.505050505050505</v>
      </c>
      <c r="G18" s="132">
        <v>48.979591836734691</v>
      </c>
      <c r="H18" s="132">
        <v>22.222222222222221</v>
      </c>
      <c r="I18" s="132">
        <v>48.484848484848484</v>
      </c>
      <c r="J18" s="132">
        <v>64.356435643564353</v>
      </c>
      <c r="K18" s="132">
        <v>11</v>
      </c>
      <c r="L18" s="132">
        <v>64</v>
      </c>
      <c r="M18" s="131">
        <v>105</v>
      </c>
    </row>
    <row r="19" spans="1:13" x14ac:dyDescent="0.25">
      <c r="A19" s="131" t="s">
        <v>50</v>
      </c>
      <c r="B19" s="132">
        <v>76.96335078534031</v>
      </c>
      <c r="C19" s="132">
        <v>89.637305699481871</v>
      </c>
      <c r="D19" s="132">
        <v>72.192513368983953</v>
      </c>
      <c r="E19" s="132">
        <v>59.782608695652172</v>
      </c>
      <c r="F19" s="132">
        <v>46.994535519125684</v>
      </c>
      <c r="G19" s="132">
        <v>45.405405405405403</v>
      </c>
      <c r="H19" s="132">
        <v>25.405405405405407</v>
      </c>
      <c r="I19" s="132">
        <v>52.717391304347828</v>
      </c>
      <c r="J19" s="132">
        <v>52.659574468085104</v>
      </c>
      <c r="K19" s="132">
        <v>10.27027027027027</v>
      </c>
      <c r="L19" s="132">
        <v>64.171122994652407</v>
      </c>
      <c r="M19" s="131">
        <v>194</v>
      </c>
    </row>
    <row r="20" spans="1:13" x14ac:dyDescent="0.25">
      <c r="A20" s="131" t="s">
        <v>69</v>
      </c>
      <c r="B20" s="132">
        <v>73.177842565597672</v>
      </c>
      <c r="C20" s="132">
        <v>88.235294117647058</v>
      </c>
      <c r="D20" s="132">
        <v>55.05952380952381</v>
      </c>
      <c r="E20" s="132">
        <v>53.012048192771083</v>
      </c>
      <c r="F20" s="132">
        <v>47.590361445783131</v>
      </c>
      <c r="G20" s="132">
        <v>52.852852852852855</v>
      </c>
      <c r="H20" s="132">
        <v>19.461077844311376</v>
      </c>
      <c r="I20" s="132">
        <v>47.747747747747745</v>
      </c>
      <c r="J20" s="132">
        <v>54.790419161676645</v>
      </c>
      <c r="K20" s="132">
        <v>10.574018126888218</v>
      </c>
      <c r="L20" s="132">
        <v>67.261904761904759</v>
      </c>
      <c r="M20" s="131">
        <v>350</v>
      </c>
    </row>
    <row r="21" spans="1:13" x14ac:dyDescent="0.25">
      <c r="A21" s="131" t="s">
        <v>6</v>
      </c>
      <c r="B21" s="132">
        <v>69.393139841688651</v>
      </c>
      <c r="C21" s="132">
        <v>84.816753926701566</v>
      </c>
      <c r="D21" s="132">
        <v>57.10455764075067</v>
      </c>
      <c r="E21" s="132">
        <v>54.716981132075475</v>
      </c>
      <c r="F21" s="132">
        <v>45.945945945945944</v>
      </c>
      <c r="G21" s="132">
        <v>46.361185983827497</v>
      </c>
      <c r="H21" s="132">
        <v>21.715817694369974</v>
      </c>
      <c r="I21" s="132">
        <v>56.568364611260051</v>
      </c>
      <c r="J21" s="132">
        <v>55.675675675675677</v>
      </c>
      <c r="K21" s="132">
        <v>14.363143631436314</v>
      </c>
      <c r="L21" s="132">
        <v>67.391304347826093</v>
      </c>
      <c r="M21" s="131">
        <v>389</v>
      </c>
    </row>
    <row r="22" spans="1:13" x14ac:dyDescent="0.25">
      <c r="A22" s="131" t="s">
        <v>70</v>
      </c>
      <c r="B22" s="132">
        <v>83.333333333333329</v>
      </c>
      <c r="C22" s="132">
        <v>92.307692307692307</v>
      </c>
      <c r="D22" s="132">
        <v>75.757575757575751</v>
      </c>
      <c r="E22" s="132">
        <v>66.521739130434781</v>
      </c>
      <c r="F22" s="132">
        <v>39.393939393939391</v>
      </c>
      <c r="G22" s="132">
        <v>40.350877192982459</v>
      </c>
      <c r="H22" s="132">
        <v>20.704845814977972</v>
      </c>
      <c r="I22" s="132">
        <v>53.043478260869563</v>
      </c>
      <c r="J22" s="132">
        <v>50.434782608695649</v>
      </c>
      <c r="K22" s="132">
        <v>14.096916299559471</v>
      </c>
      <c r="L22" s="132">
        <v>69.432314410480345</v>
      </c>
      <c r="M22" s="131">
        <v>239</v>
      </c>
    </row>
    <row r="23" spans="1:13" x14ac:dyDescent="0.25">
      <c r="A23" s="131" t="s">
        <v>7</v>
      </c>
      <c r="B23" s="132">
        <v>78.048780487804876</v>
      </c>
      <c r="C23" s="132">
        <v>90.184049079754601</v>
      </c>
      <c r="D23" s="132">
        <v>58.385093167701861</v>
      </c>
      <c r="E23" s="132">
        <v>61.635220125786162</v>
      </c>
      <c r="F23" s="132">
        <v>53.503184713375795</v>
      </c>
      <c r="G23" s="132">
        <v>59.493670886075947</v>
      </c>
      <c r="H23" s="132">
        <v>25.157232704402517</v>
      </c>
      <c r="I23" s="132">
        <v>67.0807453416149</v>
      </c>
      <c r="J23" s="132">
        <v>70.186335403726702</v>
      </c>
      <c r="K23" s="132">
        <v>20.496894409937887</v>
      </c>
      <c r="L23" s="132">
        <v>57.763975155279503</v>
      </c>
      <c r="M23" s="131">
        <v>168</v>
      </c>
    </row>
    <row r="24" spans="1:13" x14ac:dyDescent="0.25">
      <c r="A24" s="131" t="s">
        <v>22</v>
      </c>
      <c r="B24" s="132">
        <v>80.813953488372093</v>
      </c>
      <c r="C24" s="132">
        <v>91.812865497076018</v>
      </c>
      <c r="D24" s="132">
        <v>65.882352941176464</v>
      </c>
      <c r="E24" s="132">
        <v>59.523809523809526</v>
      </c>
      <c r="F24" s="132">
        <v>47.590361445783131</v>
      </c>
      <c r="G24" s="132">
        <v>43.113772455089823</v>
      </c>
      <c r="H24" s="132">
        <v>31.547619047619047</v>
      </c>
      <c r="I24" s="132">
        <v>57.058823529411768</v>
      </c>
      <c r="J24" s="132">
        <v>57.988165680473372</v>
      </c>
      <c r="K24" s="132">
        <v>11.764705882352942</v>
      </c>
      <c r="L24" s="132">
        <v>62.650602409638552</v>
      </c>
      <c r="M24" s="131">
        <v>177</v>
      </c>
    </row>
    <row r="25" spans="1:13" x14ac:dyDescent="0.25">
      <c r="A25" s="131" t="s">
        <v>8</v>
      </c>
      <c r="B25" s="132">
        <v>71.863117870722434</v>
      </c>
      <c r="C25" s="132">
        <v>87.310606060606062</v>
      </c>
      <c r="D25" s="132">
        <v>61.78707224334601</v>
      </c>
      <c r="E25" s="132">
        <v>58.54126679462572</v>
      </c>
      <c r="F25" s="132">
        <v>51.153846153846153</v>
      </c>
      <c r="G25" s="132">
        <v>53.75722543352601</v>
      </c>
      <c r="H25" s="132">
        <v>29.174664107485604</v>
      </c>
      <c r="I25" s="132">
        <v>57.307692307692307</v>
      </c>
      <c r="J25" s="132">
        <v>57.523809523809526</v>
      </c>
      <c r="K25" s="132">
        <v>19.311663479923517</v>
      </c>
      <c r="L25" s="132">
        <v>66.15384615384616</v>
      </c>
      <c r="M25" s="131">
        <v>533</v>
      </c>
    </row>
    <row r="26" spans="1:13" x14ac:dyDescent="0.25">
      <c r="A26" s="131" t="s">
        <v>9</v>
      </c>
      <c r="B26" s="132">
        <v>78.431372549019613</v>
      </c>
      <c r="C26" s="132">
        <v>90.272373540856037</v>
      </c>
      <c r="D26" s="132">
        <v>65.490196078431367</v>
      </c>
      <c r="E26" s="132">
        <v>61.023622047244096</v>
      </c>
      <c r="F26" s="132">
        <v>45.275590551181104</v>
      </c>
      <c r="G26" s="132">
        <v>56.078431372549019</v>
      </c>
      <c r="H26" s="132">
        <v>18.03921568627451</v>
      </c>
      <c r="I26" s="132">
        <v>55.686274509803923</v>
      </c>
      <c r="J26" s="132">
        <v>58.203125</v>
      </c>
      <c r="K26" s="132">
        <v>13.333333333333334</v>
      </c>
      <c r="L26" s="132">
        <v>71.372549019607845</v>
      </c>
      <c r="M26" s="131">
        <v>262</v>
      </c>
    </row>
    <row r="27" spans="1:13" x14ac:dyDescent="0.25">
      <c r="A27" s="131" t="s">
        <v>54</v>
      </c>
      <c r="B27" s="132">
        <v>72.560975609756099</v>
      </c>
      <c r="C27" s="132">
        <v>87.195121951219505</v>
      </c>
      <c r="D27" s="132">
        <v>71.069182389937112</v>
      </c>
      <c r="E27" s="132">
        <v>60.377358490566039</v>
      </c>
      <c r="F27" s="132">
        <v>46.875</v>
      </c>
      <c r="G27" s="132">
        <v>56.050955414012741</v>
      </c>
      <c r="H27" s="132">
        <v>28.395061728395063</v>
      </c>
      <c r="I27" s="132">
        <v>51.898734177215189</v>
      </c>
      <c r="J27" s="132">
        <v>59.006211180124225</v>
      </c>
      <c r="K27" s="132">
        <v>12.578616352201259</v>
      </c>
      <c r="L27" s="132">
        <v>70.625</v>
      </c>
      <c r="M27" s="131">
        <v>168</v>
      </c>
    </row>
    <row r="28" spans="1:13" x14ac:dyDescent="0.25">
      <c r="A28" s="131" t="s">
        <v>71</v>
      </c>
      <c r="B28" s="132">
        <v>72.38095238095238</v>
      </c>
      <c r="C28" s="132">
        <v>88.009592326139085</v>
      </c>
      <c r="D28" s="132">
        <v>59.90338164251208</v>
      </c>
      <c r="E28" s="132">
        <v>59.90338164251208</v>
      </c>
      <c r="F28" s="132">
        <v>51.219512195121951</v>
      </c>
      <c r="G28" s="132">
        <v>53.398058252427184</v>
      </c>
      <c r="H28" s="132">
        <v>30.917874396135264</v>
      </c>
      <c r="I28" s="132">
        <v>54.501216545012163</v>
      </c>
      <c r="J28" s="132">
        <v>60.144927536231883</v>
      </c>
      <c r="K28" s="132">
        <v>15.384615384615385</v>
      </c>
      <c r="L28" s="132">
        <v>65.45893719806763</v>
      </c>
      <c r="M28" s="131">
        <v>437</v>
      </c>
    </row>
    <row r="29" spans="1:13" x14ac:dyDescent="0.25">
      <c r="A29" s="131" t="s">
        <v>10</v>
      </c>
      <c r="B29" s="132">
        <v>77.10280373831776</v>
      </c>
      <c r="C29" s="132">
        <v>86.915887850467286</v>
      </c>
      <c r="D29" s="132">
        <v>74.766355140186917</v>
      </c>
      <c r="E29" s="132">
        <v>66.19047619047619</v>
      </c>
      <c r="F29" s="132">
        <v>53.051643192488264</v>
      </c>
      <c r="G29" s="132">
        <v>52.884615384615387</v>
      </c>
      <c r="H29" s="132">
        <v>30.476190476190474</v>
      </c>
      <c r="I29" s="132">
        <v>49.760765550239235</v>
      </c>
      <c r="J29" s="132">
        <v>49.056603773584904</v>
      </c>
      <c r="K29" s="132">
        <v>12.264150943396226</v>
      </c>
      <c r="L29" s="132">
        <v>61.722488038277511</v>
      </c>
      <c r="M29" s="131">
        <v>219</v>
      </c>
    </row>
    <row r="30" spans="1:13" x14ac:dyDescent="0.25">
      <c r="A30" s="131" t="s">
        <v>56</v>
      </c>
      <c r="B30" s="132">
        <v>76.966292134831463</v>
      </c>
      <c r="C30" s="132">
        <v>87.861271676300575</v>
      </c>
      <c r="D30" s="132">
        <v>74.431818181818187</v>
      </c>
      <c r="E30" s="132">
        <v>54.913294797687861</v>
      </c>
      <c r="F30" s="132">
        <v>44.571428571428569</v>
      </c>
      <c r="G30" s="132">
        <v>53.75722543352601</v>
      </c>
      <c r="H30" s="132">
        <v>29.885057471264368</v>
      </c>
      <c r="I30" s="132">
        <v>54.285714285714285</v>
      </c>
      <c r="J30" s="132">
        <v>55.113636363636367</v>
      </c>
      <c r="K30" s="132">
        <v>13.714285714285714</v>
      </c>
      <c r="L30" s="132">
        <v>61.714285714285715</v>
      </c>
      <c r="M30" s="131">
        <v>179</v>
      </c>
    </row>
    <row r="31" spans="1:13" x14ac:dyDescent="0.25">
      <c r="A31" s="131" t="s">
        <v>11</v>
      </c>
      <c r="B31" s="132">
        <v>70.793650793650798</v>
      </c>
      <c r="C31" s="132">
        <v>84.834123222748815</v>
      </c>
      <c r="D31" s="132">
        <v>58.982511923688392</v>
      </c>
      <c r="E31" s="132">
        <v>61.526232114467412</v>
      </c>
      <c r="F31" s="132">
        <v>51.273885350318473</v>
      </c>
      <c r="G31" s="132">
        <v>62.679425837320572</v>
      </c>
      <c r="H31" s="132">
        <v>25.199362041467303</v>
      </c>
      <c r="I31" s="132">
        <v>55.183413078149918</v>
      </c>
      <c r="J31" s="132">
        <v>53.090332805071313</v>
      </c>
      <c r="K31" s="132">
        <v>14.513556618819777</v>
      </c>
      <c r="L31" s="132">
        <v>71.929824561403507</v>
      </c>
      <c r="M31" s="131">
        <v>639</v>
      </c>
    </row>
    <row r="32" spans="1:13" x14ac:dyDescent="0.25">
      <c r="A32" s="131" t="s">
        <v>58</v>
      </c>
      <c r="B32" s="132">
        <v>74.336283185840713</v>
      </c>
      <c r="C32" s="132">
        <v>90.26548672566372</v>
      </c>
      <c r="D32" s="132">
        <v>83.333333333333329</v>
      </c>
      <c r="E32" s="132">
        <v>66.964285714285708</v>
      </c>
      <c r="F32" s="132">
        <v>46.491228070175438</v>
      </c>
      <c r="G32" s="132">
        <v>62.831858407079643</v>
      </c>
      <c r="H32" s="132">
        <v>31.858407079646017</v>
      </c>
      <c r="I32" s="132">
        <v>50</v>
      </c>
      <c r="J32" s="132">
        <v>48.672566371681413</v>
      </c>
      <c r="K32" s="132">
        <v>10.714285714285714</v>
      </c>
      <c r="L32" s="132">
        <v>63.636363636363633</v>
      </c>
      <c r="M32" s="131">
        <v>114</v>
      </c>
    </row>
    <row r="33" spans="1:13" x14ac:dyDescent="0.25">
      <c r="A33" s="131" t="s">
        <v>59</v>
      </c>
      <c r="B33" s="132">
        <v>78.16901408450704</v>
      </c>
      <c r="C33" s="132">
        <v>89.285714285714292</v>
      </c>
      <c r="D33" s="132">
        <v>75</v>
      </c>
      <c r="E33" s="132">
        <v>62.857142857142854</v>
      </c>
      <c r="F33" s="132">
        <v>51.079136690647481</v>
      </c>
      <c r="G33" s="132">
        <v>45</v>
      </c>
      <c r="H33" s="132">
        <v>22.302158273381295</v>
      </c>
      <c r="I33" s="132">
        <v>60.431654676258994</v>
      </c>
      <c r="J33" s="132">
        <v>56.834532374100718</v>
      </c>
      <c r="K33" s="132">
        <v>19.424460431654676</v>
      </c>
      <c r="L33" s="132">
        <v>61.428571428571431</v>
      </c>
      <c r="M33" s="131">
        <v>143</v>
      </c>
    </row>
    <row r="34" spans="1:13" x14ac:dyDescent="0.25">
      <c r="A34" s="131" t="s">
        <v>60</v>
      </c>
      <c r="B34" s="132">
        <v>76.59574468085107</v>
      </c>
      <c r="C34" s="132">
        <v>90.579710144927532</v>
      </c>
      <c r="D34" s="132">
        <v>73.381294964028783</v>
      </c>
      <c r="E34" s="132">
        <v>59.574468085106382</v>
      </c>
      <c r="F34" s="132">
        <v>36.690647482014391</v>
      </c>
      <c r="G34" s="132">
        <v>51.824817518248175</v>
      </c>
      <c r="H34" s="132">
        <v>26.618705035971225</v>
      </c>
      <c r="I34" s="132">
        <v>46.376811594202898</v>
      </c>
      <c r="J34" s="132">
        <v>55</v>
      </c>
      <c r="K34" s="132">
        <v>12.949640287769784</v>
      </c>
      <c r="L34" s="132">
        <v>70.289855072463766</v>
      </c>
      <c r="M34" s="131">
        <v>144</v>
      </c>
    </row>
    <row r="35" spans="1:13" x14ac:dyDescent="0.25">
      <c r="A35" s="131" t="s">
        <v>12</v>
      </c>
      <c r="B35" s="132">
        <v>78.94736842105263</v>
      </c>
      <c r="C35" s="132">
        <v>92.307692307692307</v>
      </c>
      <c r="D35" s="132">
        <v>61.904761904761905</v>
      </c>
      <c r="E35" s="132">
        <v>55.555555555555557</v>
      </c>
      <c r="F35" s="132">
        <v>54.330708661417326</v>
      </c>
      <c r="G35" s="132">
        <v>53.968253968253968</v>
      </c>
      <c r="H35" s="132">
        <v>27.559055118110237</v>
      </c>
      <c r="I35" s="132">
        <v>50.793650793650791</v>
      </c>
      <c r="J35" s="132">
        <v>60.769230769230766</v>
      </c>
      <c r="K35" s="132">
        <v>13.28125</v>
      </c>
      <c r="L35" s="132">
        <v>71.31782945736434</v>
      </c>
      <c r="M35" s="131">
        <v>135</v>
      </c>
    </row>
    <row r="36" spans="1:13" x14ac:dyDescent="0.25">
      <c r="A36" s="131" t="s">
        <v>61</v>
      </c>
      <c r="B36" s="132">
        <v>77.777777777777771</v>
      </c>
      <c r="C36" s="132">
        <v>84.489795918367349</v>
      </c>
      <c r="D36" s="132">
        <v>63.265306122448976</v>
      </c>
      <c r="E36" s="132">
        <v>53.086419753086417</v>
      </c>
      <c r="F36" s="132">
        <v>49.166666666666664</v>
      </c>
      <c r="G36" s="132">
        <v>53.497942386831276</v>
      </c>
      <c r="H36" s="132">
        <v>16.942148760330578</v>
      </c>
      <c r="I36" s="132">
        <v>52.263374485596707</v>
      </c>
      <c r="J36" s="132">
        <v>45.491803278688522</v>
      </c>
      <c r="K36" s="132">
        <v>17.283950617283949</v>
      </c>
      <c r="L36" s="132">
        <v>59.83606557377049</v>
      </c>
      <c r="M36" s="131">
        <v>248</v>
      </c>
    </row>
    <row r="37" spans="1:13" x14ac:dyDescent="0.25">
      <c r="A37" s="131" t="s">
        <v>62</v>
      </c>
      <c r="B37" s="132">
        <v>78.571428571428569</v>
      </c>
      <c r="C37" s="132">
        <v>86.36363636363636</v>
      </c>
      <c r="D37" s="132">
        <v>82.568807339449535</v>
      </c>
      <c r="E37" s="132">
        <v>65.740740740740748</v>
      </c>
      <c r="F37" s="132">
        <v>43.80952380952381</v>
      </c>
      <c r="G37" s="132">
        <v>53.271028037383175</v>
      </c>
      <c r="H37" s="132">
        <v>30.555555555555557</v>
      </c>
      <c r="I37" s="132">
        <v>48.113207547169814</v>
      </c>
      <c r="J37" s="132">
        <v>57.142857142857146</v>
      </c>
      <c r="K37" s="132">
        <v>16.981132075471699</v>
      </c>
      <c r="L37" s="132">
        <v>66.666666666666671</v>
      </c>
      <c r="M37" s="131">
        <v>115</v>
      </c>
    </row>
    <row r="38" spans="1:13" x14ac:dyDescent="0.25">
      <c r="A38" s="131" t="s">
        <v>23</v>
      </c>
      <c r="B38" s="132">
        <v>73.684210526315795</v>
      </c>
      <c r="C38" s="132">
        <v>88.081395348837205</v>
      </c>
      <c r="D38" s="132">
        <v>67.655786350148361</v>
      </c>
      <c r="E38" s="132">
        <v>60.66066066066066</v>
      </c>
      <c r="F38" s="132">
        <v>55.621301775147927</v>
      </c>
      <c r="G38" s="132">
        <v>48.377581120943951</v>
      </c>
      <c r="H38" s="132">
        <v>37.091988130563799</v>
      </c>
      <c r="I38" s="132">
        <v>58.805970149253731</v>
      </c>
      <c r="J38" s="132">
        <v>50.737463126843657</v>
      </c>
      <c r="K38" s="132">
        <v>16.519174041297934</v>
      </c>
      <c r="L38" s="132">
        <v>59.701492537313435</v>
      </c>
      <c r="M38" s="131">
        <v>348</v>
      </c>
    </row>
    <row r="39" spans="1:13" x14ac:dyDescent="0.25">
      <c r="A39" s="131" t="s">
        <v>13</v>
      </c>
      <c r="B39" s="132">
        <v>79.56777996070727</v>
      </c>
      <c r="C39" s="132">
        <v>90.4296875</v>
      </c>
      <c r="D39" s="132">
        <v>65.940594059405939</v>
      </c>
      <c r="E39" s="132">
        <v>56.039603960396036</v>
      </c>
      <c r="F39" s="132">
        <v>43.548387096774192</v>
      </c>
      <c r="G39" s="132">
        <v>48.702594810379239</v>
      </c>
      <c r="H39" s="132">
        <v>28.256513026052104</v>
      </c>
      <c r="I39" s="132">
        <v>54.473161033797219</v>
      </c>
      <c r="J39" s="132">
        <v>56.944444444444443</v>
      </c>
      <c r="K39" s="132">
        <v>15.230460921843687</v>
      </c>
      <c r="L39" s="132">
        <v>65.261044176706832</v>
      </c>
      <c r="M39" s="131">
        <v>525</v>
      </c>
    </row>
    <row r="40" spans="1:13" x14ac:dyDescent="0.25">
      <c r="A40" s="131" t="s">
        <v>14</v>
      </c>
      <c r="B40" s="132">
        <v>75.483870967741936</v>
      </c>
      <c r="C40" s="132">
        <v>88.961038961038966</v>
      </c>
      <c r="D40" s="132">
        <v>70.779220779220779</v>
      </c>
      <c r="E40" s="132">
        <v>54.60526315789474</v>
      </c>
      <c r="F40" s="132">
        <v>49.019607843137258</v>
      </c>
      <c r="G40" s="132">
        <v>50</v>
      </c>
      <c r="H40" s="132">
        <v>22</v>
      </c>
      <c r="I40" s="132">
        <v>51.65562913907285</v>
      </c>
      <c r="J40" s="132">
        <v>51.612903225806448</v>
      </c>
      <c r="K40" s="132">
        <v>18.300653594771241</v>
      </c>
      <c r="L40" s="132">
        <v>66.44736842105263</v>
      </c>
      <c r="M40" s="131">
        <v>158</v>
      </c>
    </row>
    <row r="41" spans="1:13" x14ac:dyDescent="0.25">
      <c r="A41" s="131" t="s">
        <v>64</v>
      </c>
      <c r="B41" s="132">
        <v>85.454545454545453</v>
      </c>
      <c r="C41" s="132">
        <v>92.771084337349393</v>
      </c>
      <c r="D41" s="132">
        <v>78.313253012048193</v>
      </c>
      <c r="E41" s="132">
        <v>65.243902439024396</v>
      </c>
      <c r="F41" s="132">
        <v>42.073170731707314</v>
      </c>
      <c r="G41" s="132">
        <v>42.944785276073617</v>
      </c>
      <c r="H41" s="132">
        <v>24.242424242424242</v>
      </c>
      <c r="I41" s="132">
        <v>44.171779141104295</v>
      </c>
      <c r="J41" s="132">
        <v>55.151515151515149</v>
      </c>
      <c r="K41" s="132">
        <v>17.073170731707318</v>
      </c>
      <c r="L41" s="132">
        <v>68.292682926829272</v>
      </c>
      <c r="M41" s="131">
        <v>167</v>
      </c>
    </row>
    <row r="42" spans="1:13" x14ac:dyDescent="0.25">
      <c r="A42" s="131" t="s">
        <v>65</v>
      </c>
      <c r="B42" s="132">
        <v>71.681415929203538</v>
      </c>
      <c r="C42" s="132">
        <v>87.481590574374081</v>
      </c>
      <c r="D42" s="132">
        <v>51.415797317436663</v>
      </c>
      <c r="E42" s="132">
        <v>55.671641791044777</v>
      </c>
      <c r="F42" s="132">
        <v>49.327354260089685</v>
      </c>
      <c r="G42" s="132">
        <v>52.309985096870342</v>
      </c>
      <c r="H42" s="132">
        <v>22.604790419161677</v>
      </c>
      <c r="I42" s="132">
        <v>56.101190476190474</v>
      </c>
      <c r="J42" s="132">
        <v>53.937592867756315</v>
      </c>
      <c r="K42" s="132">
        <v>13.114754098360656</v>
      </c>
      <c r="L42" s="132">
        <v>68.059701492537314</v>
      </c>
      <c r="M42" s="131">
        <v>692</v>
      </c>
    </row>
    <row r="43" spans="1:13" x14ac:dyDescent="0.25">
      <c r="A43" s="131" t="s">
        <v>66</v>
      </c>
      <c r="B43" s="132">
        <v>81.818181818181813</v>
      </c>
      <c r="C43" s="132">
        <v>89.393939393939391</v>
      </c>
      <c r="D43" s="132">
        <v>75.384615384615387</v>
      </c>
      <c r="E43" s="132">
        <v>65.306122448979593</v>
      </c>
      <c r="F43" s="132">
        <v>53.333333333333336</v>
      </c>
      <c r="G43" s="132">
        <v>55.897435897435898</v>
      </c>
      <c r="H43" s="132">
        <v>25.773195876288661</v>
      </c>
      <c r="I43" s="132">
        <v>60.512820512820511</v>
      </c>
      <c r="J43" s="132">
        <v>57.512953367875646</v>
      </c>
      <c r="K43" s="132">
        <v>13.333333333333334</v>
      </c>
      <c r="L43" s="132">
        <v>67.857142857142861</v>
      </c>
      <c r="M43" s="131">
        <v>202</v>
      </c>
    </row>
    <row r="44" spans="1:13" x14ac:dyDescent="0.25">
      <c r="A44" s="131" t="s">
        <v>15</v>
      </c>
      <c r="B44" s="132">
        <v>76.54723127035831</v>
      </c>
      <c r="C44" s="132">
        <v>90.538336052202283</v>
      </c>
      <c r="D44" s="132">
        <v>56.065573770491802</v>
      </c>
      <c r="E44" s="132">
        <v>50.407830342577491</v>
      </c>
      <c r="F44" s="132">
        <v>49.83660130718954</v>
      </c>
      <c r="G44" s="132">
        <v>54.084967320261441</v>
      </c>
      <c r="H44" s="132">
        <v>19.180327868852459</v>
      </c>
      <c r="I44" s="132">
        <v>47.290640394088669</v>
      </c>
      <c r="J44" s="132">
        <v>43.464052287581701</v>
      </c>
      <c r="K44" s="132">
        <v>13.235294117647058</v>
      </c>
      <c r="L44" s="132">
        <v>64.744645799011536</v>
      </c>
      <c r="M44" s="131">
        <v>627</v>
      </c>
    </row>
    <row r="45" spans="1:13" x14ac:dyDescent="0.25">
      <c r="A45" s="131" t="s">
        <v>16</v>
      </c>
      <c r="B45" s="132">
        <v>79.581151832460733</v>
      </c>
      <c r="C45" s="132">
        <v>88.020833333333329</v>
      </c>
      <c r="D45" s="132">
        <v>58.51063829787234</v>
      </c>
      <c r="E45" s="132">
        <v>58.93333333333333</v>
      </c>
      <c r="F45" s="132">
        <v>53.457446808510639</v>
      </c>
      <c r="G45" s="132">
        <v>55.227882037533512</v>
      </c>
      <c r="H45" s="132">
        <v>27.733333333333334</v>
      </c>
      <c r="I45" s="132">
        <v>57.486631016042779</v>
      </c>
      <c r="J45" s="132">
        <v>54.736842105263158</v>
      </c>
      <c r="K45" s="132">
        <v>13.066666666666666</v>
      </c>
      <c r="L45" s="132">
        <v>66.223404255319153</v>
      </c>
      <c r="M45" s="131">
        <v>387</v>
      </c>
    </row>
    <row r="46" spans="1:13" x14ac:dyDescent="0.25">
      <c r="A46" s="131" t="s">
        <v>17</v>
      </c>
      <c r="B46" s="132">
        <v>83.505154639175259</v>
      </c>
      <c r="C46" s="132">
        <v>92.783505154639172</v>
      </c>
      <c r="D46" s="132">
        <v>76.59574468085107</v>
      </c>
      <c r="E46" s="132">
        <v>62.365591397849464</v>
      </c>
      <c r="F46" s="132">
        <v>49.462365591397848</v>
      </c>
      <c r="G46" s="132">
        <v>52.688172043010752</v>
      </c>
      <c r="H46" s="132">
        <v>22.580645161290324</v>
      </c>
      <c r="I46" s="132">
        <v>51.063829787234042</v>
      </c>
      <c r="J46" s="132">
        <v>64.516129032258064</v>
      </c>
      <c r="K46" s="132">
        <v>16.129032258064516</v>
      </c>
      <c r="L46" s="132">
        <v>62.765957446808514</v>
      </c>
      <c r="M46" s="131">
        <v>99</v>
      </c>
    </row>
    <row r="47" spans="1:13" x14ac:dyDescent="0.25">
      <c r="A47" s="131" t="s">
        <v>24</v>
      </c>
      <c r="B47" s="132">
        <v>85</v>
      </c>
      <c r="C47" s="132">
        <v>92.777777777777771</v>
      </c>
      <c r="D47" s="132">
        <v>76.404494382022477</v>
      </c>
      <c r="E47" s="132">
        <v>60.919540229885058</v>
      </c>
      <c r="F47" s="132">
        <v>54.857142857142854</v>
      </c>
      <c r="G47" s="132">
        <v>49.132947976878611</v>
      </c>
      <c r="H47" s="132">
        <v>35.632183908045974</v>
      </c>
      <c r="I47" s="132">
        <v>47.752808988764045</v>
      </c>
      <c r="J47" s="132">
        <v>53.142857142857146</v>
      </c>
      <c r="K47" s="132">
        <v>12.5</v>
      </c>
      <c r="L47" s="132">
        <v>60.571428571428569</v>
      </c>
      <c r="M47" s="131">
        <v>185</v>
      </c>
    </row>
    <row r="49" spans="1:13" x14ac:dyDescent="0.25">
      <c r="A49" s="104" t="s">
        <v>629</v>
      </c>
    </row>
    <row r="50" spans="1:13" ht="14" x14ac:dyDescent="0.3">
      <c r="A50" s="126" t="s">
        <v>439</v>
      </c>
    </row>
    <row r="51" spans="1:13" ht="14" x14ac:dyDescent="0.3">
      <c r="A51" s="133" t="s">
        <v>158</v>
      </c>
      <c r="B51" s="129" t="s">
        <v>630</v>
      </c>
      <c r="C51" s="129" t="s">
        <v>631</v>
      </c>
      <c r="D51" s="129" t="s">
        <v>632</v>
      </c>
      <c r="E51" s="129" t="s">
        <v>633</v>
      </c>
      <c r="F51" s="129" t="s">
        <v>634</v>
      </c>
      <c r="G51" s="129" t="s">
        <v>635</v>
      </c>
      <c r="H51" s="129" t="s">
        <v>636</v>
      </c>
      <c r="I51" s="129" t="s">
        <v>637</v>
      </c>
      <c r="J51" s="129" t="s">
        <v>638</v>
      </c>
      <c r="K51" s="129" t="s">
        <v>639</v>
      </c>
      <c r="L51" s="129" t="s">
        <v>640</v>
      </c>
      <c r="M51" s="130" t="s">
        <v>421</v>
      </c>
    </row>
    <row r="52" spans="1:13" x14ac:dyDescent="0.25">
      <c r="A52" s="113" t="s">
        <v>74</v>
      </c>
      <c r="B52" s="132">
        <v>77.94561933534743</v>
      </c>
      <c r="C52" s="132">
        <v>91.654021244309561</v>
      </c>
      <c r="D52" s="132">
        <v>79.694656488549612</v>
      </c>
      <c r="E52" s="132">
        <v>63.580246913580247</v>
      </c>
      <c r="F52" s="132">
        <v>43.993759750390012</v>
      </c>
      <c r="G52" s="132">
        <v>53.510140405616227</v>
      </c>
      <c r="H52" s="132">
        <v>26.234567901234566</v>
      </c>
      <c r="I52" s="132">
        <v>48.68217054263566</v>
      </c>
      <c r="J52" s="132">
        <v>56.856702619414484</v>
      </c>
      <c r="K52" s="132">
        <v>12.84829721362229</v>
      </c>
      <c r="L52" s="132">
        <v>64.953271028037378</v>
      </c>
      <c r="M52" s="131">
        <v>676</v>
      </c>
    </row>
    <row r="53" spans="1:13" x14ac:dyDescent="0.25">
      <c r="A53" s="110" t="s">
        <v>75</v>
      </c>
      <c r="B53" s="132">
        <v>80.247933884297524</v>
      </c>
      <c r="C53" s="132">
        <v>90.961857379767821</v>
      </c>
      <c r="D53" s="132">
        <v>70.116861435726207</v>
      </c>
      <c r="E53" s="132">
        <v>59.425190194420964</v>
      </c>
      <c r="F53" s="132">
        <v>47.844463229078613</v>
      </c>
      <c r="G53" s="132">
        <v>48.644067796610166</v>
      </c>
      <c r="H53" s="132">
        <v>26.515151515151516</v>
      </c>
      <c r="I53" s="132">
        <v>51.094276094276097</v>
      </c>
      <c r="J53" s="132">
        <v>56.485355648535567</v>
      </c>
      <c r="K53" s="132">
        <v>14.73063973063973</v>
      </c>
      <c r="L53" s="132">
        <v>64.472573839662445</v>
      </c>
      <c r="M53" s="131">
        <v>1238</v>
      </c>
    </row>
    <row r="54" spans="1:13" x14ac:dyDescent="0.25">
      <c r="A54" s="110" t="s">
        <v>76</v>
      </c>
      <c r="B54" s="132">
        <v>76.25</v>
      </c>
      <c r="C54" s="132">
        <v>88.107202680067005</v>
      </c>
      <c r="D54" s="132">
        <v>71.150592216582069</v>
      </c>
      <c r="E54" s="132">
        <v>60.75407026563839</v>
      </c>
      <c r="F54" s="132">
        <v>50.597269624573379</v>
      </c>
      <c r="G54" s="132">
        <v>52.450558899398111</v>
      </c>
      <c r="H54" s="132">
        <v>26.837606837606838</v>
      </c>
      <c r="I54" s="132">
        <v>54.4054747647562</v>
      </c>
      <c r="J54" s="132">
        <v>55.66835871404399</v>
      </c>
      <c r="K54" s="132">
        <v>14.528462192013594</v>
      </c>
      <c r="L54" s="132">
        <v>64.910790144434998</v>
      </c>
      <c r="M54" s="131">
        <v>1223</v>
      </c>
    </row>
    <row r="55" spans="1:13" x14ac:dyDescent="0.25">
      <c r="A55" s="110" t="s">
        <v>77</v>
      </c>
      <c r="B55" s="132">
        <v>77.65567765567765</v>
      </c>
      <c r="C55" s="132">
        <v>88.94105372978612</v>
      </c>
      <c r="D55" s="132">
        <v>66.613924050632917</v>
      </c>
      <c r="E55" s="132">
        <v>59.225874867444325</v>
      </c>
      <c r="F55" s="132">
        <v>48.171701112877585</v>
      </c>
      <c r="G55" s="132">
        <v>51.138168343038643</v>
      </c>
      <c r="H55" s="132">
        <v>23.751328374070138</v>
      </c>
      <c r="I55" s="132">
        <v>54.425013248542662</v>
      </c>
      <c r="J55" s="132">
        <v>53.410893707033317</v>
      </c>
      <c r="K55" s="132">
        <v>14.285714285714286</v>
      </c>
      <c r="L55" s="132">
        <v>65.449735449735456</v>
      </c>
      <c r="M55" s="131">
        <v>1950</v>
      </c>
    </row>
    <row r="56" spans="1:13" x14ac:dyDescent="0.25">
      <c r="A56" s="110" t="s">
        <v>78</v>
      </c>
      <c r="B56" s="132">
        <v>74.401144082946018</v>
      </c>
      <c r="C56" s="132">
        <v>87.8066121578386</v>
      </c>
      <c r="D56" s="132">
        <v>60.26753434562545</v>
      </c>
      <c r="E56" s="132">
        <v>57.028985507246375</v>
      </c>
      <c r="F56" s="132">
        <v>48.395331874544127</v>
      </c>
      <c r="G56" s="132">
        <v>51.036740632957439</v>
      </c>
      <c r="H56" s="132">
        <v>26.654545454545456</v>
      </c>
      <c r="I56" s="132">
        <v>55.786026200873366</v>
      </c>
      <c r="J56" s="132">
        <v>56.471438900939987</v>
      </c>
      <c r="K56" s="132">
        <v>15.881073241479333</v>
      </c>
      <c r="L56" s="132">
        <v>66.229985443959237</v>
      </c>
      <c r="M56" s="131">
        <v>2870</v>
      </c>
    </row>
    <row r="57" spans="1:13" x14ac:dyDescent="0.25">
      <c r="A57" s="110" t="s">
        <v>79</v>
      </c>
      <c r="B57" s="132">
        <v>70.183246073298434</v>
      </c>
      <c r="C57" s="132">
        <v>87.314017227877841</v>
      </c>
      <c r="D57" s="132">
        <v>62.194801785245474</v>
      </c>
      <c r="E57" s="132">
        <v>58.186596583442835</v>
      </c>
      <c r="F57" s="132">
        <v>51.828466193107076</v>
      </c>
      <c r="G57" s="132">
        <v>59.741969457609265</v>
      </c>
      <c r="H57" s="132">
        <v>23.006054224795999</v>
      </c>
      <c r="I57" s="132">
        <v>55.318588730911003</v>
      </c>
      <c r="J57" s="132">
        <v>53.438320209973753</v>
      </c>
      <c r="K57" s="132">
        <v>16.351209253417455</v>
      </c>
      <c r="L57" s="132">
        <v>67.71985255397577</v>
      </c>
      <c r="M57" s="131">
        <v>3899</v>
      </c>
    </row>
    <row r="59" spans="1:13" ht="14" x14ac:dyDescent="0.3">
      <c r="A59" s="128" t="s">
        <v>159</v>
      </c>
      <c r="B59" s="129" t="s">
        <v>630</v>
      </c>
      <c r="C59" s="129" t="s">
        <v>631</v>
      </c>
      <c r="D59" s="129" t="s">
        <v>632</v>
      </c>
      <c r="E59" s="129" t="s">
        <v>633</v>
      </c>
      <c r="F59" s="129" t="s">
        <v>634</v>
      </c>
      <c r="G59" s="129" t="s">
        <v>635</v>
      </c>
      <c r="H59" s="129" t="s">
        <v>636</v>
      </c>
      <c r="I59" s="129" t="s">
        <v>637</v>
      </c>
      <c r="J59" s="129" t="s">
        <v>638</v>
      </c>
      <c r="K59" s="129" t="s">
        <v>639</v>
      </c>
      <c r="L59" s="129" t="s">
        <v>640</v>
      </c>
      <c r="M59" s="130" t="s">
        <v>421</v>
      </c>
    </row>
    <row r="60" spans="1:13" x14ac:dyDescent="0.25">
      <c r="B60" s="132">
        <v>74.551724137931032</v>
      </c>
      <c r="C60" s="132">
        <v>88.407917383821001</v>
      </c>
      <c r="D60" s="132">
        <v>65.200764818355637</v>
      </c>
      <c r="E60" s="132">
        <v>58.77369202550441</v>
      </c>
      <c r="F60" s="132">
        <v>49.422370033257486</v>
      </c>
      <c r="G60" s="132">
        <v>53.984238178633973</v>
      </c>
      <c r="H60" s="132">
        <v>24.945352802308296</v>
      </c>
      <c r="I60" s="132">
        <v>54.376912986445127</v>
      </c>
      <c r="J60" s="132">
        <v>54.902984425302357</v>
      </c>
      <c r="K60" s="132">
        <v>15.345670391061452</v>
      </c>
      <c r="L60" s="132">
        <v>66.206293706293707</v>
      </c>
      <c r="M60" s="131">
        <v>11856</v>
      </c>
    </row>
    <row r="61" spans="1:13" x14ac:dyDescent="0.25"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1"/>
    </row>
    <row r="62" spans="1:13" ht="14" x14ac:dyDescent="0.3">
      <c r="A62" s="128" t="s">
        <v>159</v>
      </c>
    </row>
    <row r="63" spans="1:13" x14ac:dyDescent="0.25">
      <c r="A63" s="104" t="s">
        <v>629</v>
      </c>
    </row>
    <row r="64" spans="1:13" x14ac:dyDescent="0.25">
      <c r="A64" s="104"/>
    </row>
    <row r="65" spans="1:3" ht="14" x14ac:dyDescent="0.3">
      <c r="A65" s="129" t="s">
        <v>630</v>
      </c>
      <c r="B65" s="105" t="s">
        <v>641</v>
      </c>
      <c r="C65" s="132">
        <v>74.551724137931032</v>
      </c>
    </row>
    <row r="66" spans="1:3" ht="14" x14ac:dyDescent="0.3">
      <c r="A66" s="129" t="s">
        <v>631</v>
      </c>
      <c r="B66" s="105" t="s">
        <v>642</v>
      </c>
      <c r="C66" s="132">
        <v>88.407917383821001</v>
      </c>
    </row>
    <row r="67" spans="1:3" ht="14" x14ac:dyDescent="0.3">
      <c r="A67" s="129" t="s">
        <v>632</v>
      </c>
      <c r="B67" s="105" t="s">
        <v>643</v>
      </c>
      <c r="C67" s="132">
        <v>65.200764818355637</v>
      </c>
    </row>
    <row r="68" spans="1:3" ht="14" x14ac:dyDescent="0.3">
      <c r="A68" s="129" t="s">
        <v>633</v>
      </c>
      <c r="B68" s="105" t="s">
        <v>644</v>
      </c>
      <c r="C68" s="132">
        <v>58.77369202550441</v>
      </c>
    </row>
    <row r="69" spans="1:3" ht="14" x14ac:dyDescent="0.3">
      <c r="A69" s="129" t="s">
        <v>634</v>
      </c>
      <c r="B69" s="105" t="s">
        <v>645</v>
      </c>
      <c r="C69" s="132">
        <v>49.422370033257486</v>
      </c>
    </row>
    <row r="70" spans="1:3" ht="14" x14ac:dyDescent="0.3">
      <c r="A70" s="129" t="s">
        <v>635</v>
      </c>
      <c r="B70" s="105" t="s">
        <v>646</v>
      </c>
      <c r="C70" s="132">
        <v>53.984238178633973</v>
      </c>
    </row>
    <row r="71" spans="1:3" ht="14" x14ac:dyDescent="0.3">
      <c r="A71" s="129" t="s">
        <v>636</v>
      </c>
      <c r="B71" s="105" t="s">
        <v>647</v>
      </c>
      <c r="C71" s="132">
        <v>24.945352802308296</v>
      </c>
    </row>
    <row r="72" spans="1:3" ht="14" x14ac:dyDescent="0.3">
      <c r="A72" s="129" t="s">
        <v>637</v>
      </c>
      <c r="B72" s="105" t="s">
        <v>648</v>
      </c>
      <c r="C72" s="132">
        <v>54.376912986445127</v>
      </c>
    </row>
    <row r="73" spans="1:3" ht="14" x14ac:dyDescent="0.3">
      <c r="A73" s="129" t="s">
        <v>638</v>
      </c>
      <c r="B73" s="105" t="s">
        <v>649</v>
      </c>
      <c r="C73" s="132">
        <v>54.902984425302357</v>
      </c>
    </row>
    <row r="74" spans="1:3" ht="14" x14ac:dyDescent="0.3">
      <c r="A74" s="129" t="s">
        <v>639</v>
      </c>
      <c r="B74" s="105" t="s">
        <v>650</v>
      </c>
      <c r="C74" s="132">
        <v>15.345670391061452</v>
      </c>
    </row>
    <row r="75" spans="1:3" ht="14" x14ac:dyDescent="0.3">
      <c r="A75" s="129" t="s">
        <v>640</v>
      </c>
      <c r="B75" s="105" t="s">
        <v>651</v>
      </c>
      <c r="C75" s="132">
        <v>66.206293706293707</v>
      </c>
    </row>
    <row r="76" spans="1:3" ht="14" x14ac:dyDescent="0.3">
      <c r="B76" s="134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N217" sqref="N217"/>
    </sheetView>
  </sheetViews>
  <sheetFormatPr defaultRowHeight="12.5" x14ac:dyDescent="0.25"/>
  <cols>
    <col min="1" max="1" width="15.85546875" style="107" customWidth="1"/>
    <col min="2" max="2" width="36.140625" style="107" customWidth="1"/>
    <col min="3" max="255" width="8.7109375" style="107"/>
    <col min="256" max="256" width="9" style="107" customWidth="1"/>
    <col min="257" max="257" width="15.85546875" style="107" customWidth="1"/>
    <col min="258" max="258" width="9" style="107" customWidth="1"/>
    <col min="259" max="511" width="8.7109375" style="107"/>
    <col min="512" max="512" width="9" style="107" customWidth="1"/>
    <col min="513" max="513" width="15.85546875" style="107" customWidth="1"/>
    <col min="514" max="514" width="9" style="107" customWidth="1"/>
    <col min="515" max="767" width="8.7109375" style="107"/>
    <col min="768" max="768" width="9" style="107" customWidth="1"/>
    <col min="769" max="769" width="15.85546875" style="107" customWidth="1"/>
    <col min="770" max="770" width="9" style="107" customWidth="1"/>
    <col min="771" max="1023" width="8.7109375" style="107"/>
    <col min="1024" max="1024" width="9" style="107" customWidth="1"/>
    <col min="1025" max="1025" width="15.85546875" style="107" customWidth="1"/>
    <col min="1026" max="1026" width="9" style="107" customWidth="1"/>
    <col min="1027" max="1279" width="8.7109375" style="107"/>
    <col min="1280" max="1280" width="9" style="107" customWidth="1"/>
    <col min="1281" max="1281" width="15.85546875" style="107" customWidth="1"/>
    <col min="1282" max="1282" width="9" style="107" customWidth="1"/>
    <col min="1283" max="1535" width="8.7109375" style="107"/>
    <col min="1536" max="1536" width="9" style="107" customWidth="1"/>
    <col min="1537" max="1537" width="15.85546875" style="107" customWidth="1"/>
    <col min="1538" max="1538" width="9" style="107" customWidth="1"/>
    <col min="1539" max="1791" width="8.7109375" style="107"/>
    <col min="1792" max="1792" width="9" style="107" customWidth="1"/>
    <col min="1793" max="1793" width="15.85546875" style="107" customWidth="1"/>
    <col min="1794" max="1794" width="9" style="107" customWidth="1"/>
    <col min="1795" max="2047" width="8.7109375" style="107"/>
    <col min="2048" max="2048" width="9" style="107" customWidth="1"/>
    <col min="2049" max="2049" width="15.85546875" style="107" customWidth="1"/>
    <col min="2050" max="2050" width="9" style="107" customWidth="1"/>
    <col min="2051" max="2303" width="8.7109375" style="107"/>
    <col min="2304" max="2304" width="9" style="107" customWidth="1"/>
    <col min="2305" max="2305" width="15.85546875" style="107" customWidth="1"/>
    <col min="2306" max="2306" width="9" style="107" customWidth="1"/>
    <col min="2307" max="2559" width="8.7109375" style="107"/>
    <col min="2560" max="2560" width="9" style="107" customWidth="1"/>
    <col min="2561" max="2561" width="15.85546875" style="107" customWidth="1"/>
    <col min="2562" max="2562" width="9" style="107" customWidth="1"/>
    <col min="2563" max="2815" width="8.7109375" style="107"/>
    <col min="2816" max="2816" width="9" style="107" customWidth="1"/>
    <col min="2817" max="2817" width="15.85546875" style="107" customWidth="1"/>
    <col min="2818" max="2818" width="9" style="107" customWidth="1"/>
    <col min="2819" max="3071" width="8.7109375" style="107"/>
    <col min="3072" max="3072" width="9" style="107" customWidth="1"/>
    <col min="3073" max="3073" width="15.85546875" style="107" customWidth="1"/>
    <col min="3074" max="3074" width="9" style="107" customWidth="1"/>
    <col min="3075" max="3327" width="8.7109375" style="107"/>
    <col min="3328" max="3328" width="9" style="107" customWidth="1"/>
    <col min="3329" max="3329" width="15.85546875" style="107" customWidth="1"/>
    <col min="3330" max="3330" width="9" style="107" customWidth="1"/>
    <col min="3331" max="3583" width="8.7109375" style="107"/>
    <col min="3584" max="3584" width="9" style="107" customWidth="1"/>
    <col min="3585" max="3585" width="15.85546875" style="107" customWidth="1"/>
    <col min="3586" max="3586" width="9" style="107" customWidth="1"/>
    <col min="3587" max="3839" width="8.7109375" style="107"/>
    <col min="3840" max="3840" width="9" style="107" customWidth="1"/>
    <col min="3841" max="3841" width="15.85546875" style="107" customWidth="1"/>
    <col min="3842" max="3842" width="9" style="107" customWidth="1"/>
    <col min="3843" max="4095" width="8.7109375" style="107"/>
    <col min="4096" max="4096" width="9" style="107" customWidth="1"/>
    <col min="4097" max="4097" width="15.85546875" style="107" customWidth="1"/>
    <col min="4098" max="4098" width="9" style="107" customWidth="1"/>
    <col min="4099" max="4351" width="8.7109375" style="107"/>
    <col min="4352" max="4352" width="9" style="107" customWidth="1"/>
    <col min="4353" max="4353" width="15.85546875" style="107" customWidth="1"/>
    <col min="4354" max="4354" width="9" style="107" customWidth="1"/>
    <col min="4355" max="4607" width="8.7109375" style="107"/>
    <col min="4608" max="4608" width="9" style="107" customWidth="1"/>
    <col min="4609" max="4609" width="15.85546875" style="107" customWidth="1"/>
    <col min="4610" max="4610" width="9" style="107" customWidth="1"/>
    <col min="4611" max="4863" width="8.7109375" style="107"/>
    <col min="4864" max="4864" width="9" style="107" customWidth="1"/>
    <col min="4865" max="4865" width="15.85546875" style="107" customWidth="1"/>
    <col min="4866" max="4866" width="9" style="107" customWidth="1"/>
    <col min="4867" max="5119" width="8.7109375" style="107"/>
    <col min="5120" max="5120" width="9" style="107" customWidth="1"/>
    <col min="5121" max="5121" width="15.85546875" style="107" customWidth="1"/>
    <col min="5122" max="5122" width="9" style="107" customWidth="1"/>
    <col min="5123" max="5375" width="8.7109375" style="107"/>
    <col min="5376" max="5376" width="9" style="107" customWidth="1"/>
    <col min="5377" max="5377" width="15.85546875" style="107" customWidth="1"/>
    <col min="5378" max="5378" width="9" style="107" customWidth="1"/>
    <col min="5379" max="5631" width="8.7109375" style="107"/>
    <col min="5632" max="5632" width="9" style="107" customWidth="1"/>
    <col min="5633" max="5633" width="15.85546875" style="107" customWidth="1"/>
    <col min="5634" max="5634" width="9" style="107" customWidth="1"/>
    <col min="5635" max="5887" width="8.7109375" style="107"/>
    <col min="5888" max="5888" width="9" style="107" customWidth="1"/>
    <col min="5889" max="5889" width="15.85546875" style="107" customWidth="1"/>
    <col min="5890" max="5890" width="9" style="107" customWidth="1"/>
    <col min="5891" max="6143" width="8.7109375" style="107"/>
    <col min="6144" max="6144" width="9" style="107" customWidth="1"/>
    <col min="6145" max="6145" width="15.85546875" style="107" customWidth="1"/>
    <col min="6146" max="6146" width="9" style="107" customWidth="1"/>
    <col min="6147" max="6399" width="8.7109375" style="107"/>
    <col min="6400" max="6400" width="9" style="107" customWidth="1"/>
    <col min="6401" max="6401" width="15.85546875" style="107" customWidth="1"/>
    <col min="6402" max="6402" width="9" style="107" customWidth="1"/>
    <col min="6403" max="6655" width="8.7109375" style="107"/>
    <col min="6656" max="6656" width="9" style="107" customWidth="1"/>
    <col min="6657" max="6657" width="15.85546875" style="107" customWidth="1"/>
    <col min="6658" max="6658" width="9" style="107" customWidth="1"/>
    <col min="6659" max="6911" width="8.7109375" style="107"/>
    <col min="6912" max="6912" width="9" style="107" customWidth="1"/>
    <col min="6913" max="6913" width="15.85546875" style="107" customWidth="1"/>
    <col min="6914" max="6914" width="9" style="107" customWidth="1"/>
    <col min="6915" max="7167" width="8.7109375" style="107"/>
    <col min="7168" max="7168" width="9" style="107" customWidth="1"/>
    <col min="7169" max="7169" width="15.85546875" style="107" customWidth="1"/>
    <col min="7170" max="7170" width="9" style="107" customWidth="1"/>
    <col min="7171" max="7423" width="8.7109375" style="107"/>
    <col min="7424" max="7424" width="9" style="107" customWidth="1"/>
    <col min="7425" max="7425" width="15.85546875" style="107" customWidth="1"/>
    <col min="7426" max="7426" width="9" style="107" customWidth="1"/>
    <col min="7427" max="7679" width="8.7109375" style="107"/>
    <col min="7680" max="7680" width="9" style="107" customWidth="1"/>
    <col min="7681" max="7681" width="15.85546875" style="107" customWidth="1"/>
    <col min="7682" max="7682" width="9" style="107" customWidth="1"/>
    <col min="7683" max="7935" width="8.7109375" style="107"/>
    <col min="7936" max="7936" width="9" style="107" customWidth="1"/>
    <col min="7937" max="7937" width="15.85546875" style="107" customWidth="1"/>
    <col min="7938" max="7938" width="9" style="107" customWidth="1"/>
    <col min="7939" max="8191" width="8.7109375" style="107"/>
    <col min="8192" max="8192" width="9" style="107" customWidth="1"/>
    <col min="8193" max="8193" width="15.85546875" style="107" customWidth="1"/>
    <col min="8194" max="8194" width="9" style="107" customWidth="1"/>
    <col min="8195" max="8447" width="8.7109375" style="107"/>
    <col min="8448" max="8448" width="9" style="107" customWidth="1"/>
    <col min="8449" max="8449" width="15.85546875" style="107" customWidth="1"/>
    <col min="8450" max="8450" width="9" style="107" customWidth="1"/>
    <col min="8451" max="8703" width="8.7109375" style="107"/>
    <col min="8704" max="8704" width="9" style="107" customWidth="1"/>
    <col min="8705" max="8705" width="15.85546875" style="107" customWidth="1"/>
    <col min="8706" max="8706" width="9" style="107" customWidth="1"/>
    <col min="8707" max="8959" width="8.7109375" style="107"/>
    <col min="8960" max="8960" width="9" style="107" customWidth="1"/>
    <col min="8961" max="8961" width="15.85546875" style="107" customWidth="1"/>
    <col min="8962" max="8962" width="9" style="107" customWidth="1"/>
    <col min="8963" max="9215" width="8.7109375" style="107"/>
    <col min="9216" max="9216" width="9" style="107" customWidth="1"/>
    <col min="9217" max="9217" width="15.85546875" style="107" customWidth="1"/>
    <col min="9218" max="9218" width="9" style="107" customWidth="1"/>
    <col min="9219" max="9471" width="8.7109375" style="107"/>
    <col min="9472" max="9472" width="9" style="107" customWidth="1"/>
    <col min="9473" max="9473" width="15.85546875" style="107" customWidth="1"/>
    <col min="9474" max="9474" width="9" style="107" customWidth="1"/>
    <col min="9475" max="9727" width="8.7109375" style="107"/>
    <col min="9728" max="9728" width="9" style="107" customWidth="1"/>
    <col min="9729" max="9729" width="15.85546875" style="107" customWidth="1"/>
    <col min="9730" max="9730" width="9" style="107" customWidth="1"/>
    <col min="9731" max="9983" width="8.7109375" style="107"/>
    <col min="9984" max="9984" width="9" style="107" customWidth="1"/>
    <col min="9985" max="9985" width="15.85546875" style="107" customWidth="1"/>
    <col min="9986" max="9986" width="9" style="107" customWidth="1"/>
    <col min="9987" max="10239" width="8.7109375" style="107"/>
    <col min="10240" max="10240" width="9" style="107" customWidth="1"/>
    <col min="10241" max="10241" width="15.85546875" style="107" customWidth="1"/>
    <col min="10242" max="10242" width="9" style="107" customWidth="1"/>
    <col min="10243" max="10495" width="8.7109375" style="107"/>
    <col min="10496" max="10496" width="9" style="107" customWidth="1"/>
    <col min="10497" max="10497" width="15.85546875" style="107" customWidth="1"/>
    <col min="10498" max="10498" width="9" style="107" customWidth="1"/>
    <col min="10499" max="10751" width="8.7109375" style="107"/>
    <col min="10752" max="10752" width="9" style="107" customWidth="1"/>
    <col min="10753" max="10753" width="15.85546875" style="107" customWidth="1"/>
    <col min="10754" max="10754" width="9" style="107" customWidth="1"/>
    <col min="10755" max="11007" width="8.7109375" style="107"/>
    <col min="11008" max="11008" width="9" style="107" customWidth="1"/>
    <col min="11009" max="11009" width="15.85546875" style="107" customWidth="1"/>
    <col min="11010" max="11010" width="9" style="107" customWidth="1"/>
    <col min="11011" max="11263" width="8.7109375" style="107"/>
    <col min="11264" max="11264" width="9" style="107" customWidth="1"/>
    <col min="11265" max="11265" width="15.85546875" style="107" customWidth="1"/>
    <col min="11266" max="11266" width="9" style="107" customWidth="1"/>
    <col min="11267" max="11519" width="8.7109375" style="107"/>
    <col min="11520" max="11520" width="9" style="107" customWidth="1"/>
    <col min="11521" max="11521" width="15.85546875" style="107" customWidth="1"/>
    <col min="11522" max="11522" width="9" style="107" customWidth="1"/>
    <col min="11523" max="11775" width="8.7109375" style="107"/>
    <col min="11776" max="11776" width="9" style="107" customWidth="1"/>
    <col min="11777" max="11777" width="15.85546875" style="107" customWidth="1"/>
    <col min="11778" max="11778" width="9" style="107" customWidth="1"/>
    <col min="11779" max="12031" width="8.7109375" style="107"/>
    <col min="12032" max="12032" width="9" style="107" customWidth="1"/>
    <col min="12033" max="12033" width="15.85546875" style="107" customWidth="1"/>
    <col min="12034" max="12034" width="9" style="107" customWidth="1"/>
    <col min="12035" max="12287" width="8.7109375" style="107"/>
    <col min="12288" max="12288" width="9" style="107" customWidth="1"/>
    <col min="12289" max="12289" width="15.85546875" style="107" customWidth="1"/>
    <col min="12290" max="12290" width="9" style="107" customWidth="1"/>
    <col min="12291" max="12543" width="8.7109375" style="107"/>
    <col min="12544" max="12544" width="9" style="107" customWidth="1"/>
    <col min="12545" max="12545" width="15.85546875" style="107" customWidth="1"/>
    <col min="12546" max="12546" width="9" style="107" customWidth="1"/>
    <col min="12547" max="12799" width="8.7109375" style="107"/>
    <col min="12800" max="12800" width="9" style="107" customWidth="1"/>
    <col min="12801" max="12801" width="15.85546875" style="107" customWidth="1"/>
    <col min="12802" max="12802" width="9" style="107" customWidth="1"/>
    <col min="12803" max="13055" width="8.7109375" style="107"/>
    <col min="13056" max="13056" width="9" style="107" customWidth="1"/>
    <col min="13057" max="13057" width="15.85546875" style="107" customWidth="1"/>
    <col min="13058" max="13058" width="9" style="107" customWidth="1"/>
    <col min="13059" max="13311" width="8.7109375" style="107"/>
    <col min="13312" max="13312" width="9" style="107" customWidth="1"/>
    <col min="13313" max="13313" width="15.85546875" style="107" customWidth="1"/>
    <col min="13314" max="13314" width="9" style="107" customWidth="1"/>
    <col min="13315" max="13567" width="8.7109375" style="107"/>
    <col min="13568" max="13568" width="9" style="107" customWidth="1"/>
    <col min="13569" max="13569" width="15.85546875" style="107" customWidth="1"/>
    <col min="13570" max="13570" width="9" style="107" customWidth="1"/>
    <col min="13571" max="13823" width="8.7109375" style="107"/>
    <col min="13824" max="13824" width="9" style="107" customWidth="1"/>
    <col min="13825" max="13825" width="15.85546875" style="107" customWidth="1"/>
    <col min="13826" max="13826" width="9" style="107" customWidth="1"/>
    <col min="13827" max="14079" width="8.7109375" style="107"/>
    <col min="14080" max="14080" width="9" style="107" customWidth="1"/>
    <col min="14081" max="14081" width="15.85546875" style="107" customWidth="1"/>
    <col min="14082" max="14082" width="9" style="107" customWidth="1"/>
    <col min="14083" max="14335" width="8.7109375" style="107"/>
    <col min="14336" max="14336" width="9" style="107" customWidth="1"/>
    <col min="14337" max="14337" width="15.85546875" style="107" customWidth="1"/>
    <col min="14338" max="14338" width="9" style="107" customWidth="1"/>
    <col min="14339" max="14591" width="8.7109375" style="107"/>
    <col min="14592" max="14592" width="9" style="107" customWidth="1"/>
    <col min="14593" max="14593" width="15.85546875" style="107" customWidth="1"/>
    <col min="14594" max="14594" width="9" style="107" customWidth="1"/>
    <col min="14595" max="14847" width="8.7109375" style="107"/>
    <col min="14848" max="14848" width="9" style="107" customWidth="1"/>
    <col min="14849" max="14849" width="15.85546875" style="107" customWidth="1"/>
    <col min="14850" max="14850" width="9" style="107" customWidth="1"/>
    <col min="14851" max="15103" width="8.7109375" style="107"/>
    <col min="15104" max="15104" width="9" style="107" customWidth="1"/>
    <col min="15105" max="15105" width="15.85546875" style="107" customWidth="1"/>
    <col min="15106" max="15106" width="9" style="107" customWidth="1"/>
    <col min="15107" max="15359" width="8.7109375" style="107"/>
    <col min="15360" max="15360" width="9" style="107" customWidth="1"/>
    <col min="15361" max="15361" width="15.85546875" style="107" customWidth="1"/>
    <col min="15362" max="15362" width="9" style="107" customWidth="1"/>
    <col min="15363" max="15615" width="8.7109375" style="107"/>
    <col min="15616" max="15616" width="9" style="107" customWidth="1"/>
    <col min="15617" max="15617" width="15.85546875" style="107" customWidth="1"/>
    <col min="15618" max="15618" width="9" style="107" customWidth="1"/>
    <col min="15619" max="15871" width="8.7109375" style="107"/>
    <col min="15872" max="15872" width="9" style="107" customWidth="1"/>
    <col min="15873" max="15873" width="15.85546875" style="107" customWidth="1"/>
    <col min="15874" max="15874" width="9" style="107" customWidth="1"/>
    <col min="15875" max="16127" width="8.7109375" style="107"/>
    <col min="16128" max="16128" width="9" style="107" customWidth="1"/>
    <col min="16129" max="16129" width="15.85546875" style="107" customWidth="1"/>
    <col min="16130" max="16130" width="9" style="107" customWidth="1"/>
    <col min="16131" max="16384" width="8.7109375" style="107"/>
  </cols>
  <sheetData>
    <row r="1" spans="1:2" ht="13" x14ac:dyDescent="0.3">
      <c r="A1" s="106" t="s">
        <v>155</v>
      </c>
    </row>
    <row r="2" spans="1:2" x14ac:dyDescent="0.25">
      <c r="A2" s="107" t="s">
        <v>156</v>
      </c>
    </row>
    <row r="5" spans="1:2" ht="13" x14ac:dyDescent="0.3">
      <c r="A5" s="109" t="s">
        <v>157</v>
      </c>
      <c r="B5" s="107" t="s">
        <v>156</v>
      </c>
    </row>
    <row r="6" spans="1:2" x14ac:dyDescent="0.25">
      <c r="A6" s="110" t="s">
        <v>42</v>
      </c>
      <c r="B6" s="111">
        <v>72.881355932203405</v>
      </c>
    </row>
    <row r="7" spans="1:2" x14ac:dyDescent="0.25">
      <c r="A7" s="110" t="s">
        <v>43</v>
      </c>
      <c r="B7" s="111">
        <v>79.066265060240966</v>
      </c>
    </row>
    <row r="8" spans="1:2" x14ac:dyDescent="0.25">
      <c r="A8" s="110" t="s">
        <v>44</v>
      </c>
      <c r="B8" s="111">
        <v>71.779141104294482</v>
      </c>
    </row>
    <row r="9" spans="1:2" x14ac:dyDescent="0.25">
      <c r="A9" s="110" t="s">
        <v>68</v>
      </c>
      <c r="B9" s="111">
        <v>70.947030497592294</v>
      </c>
    </row>
    <row r="10" spans="1:2" x14ac:dyDescent="0.25">
      <c r="A10" s="110" t="s">
        <v>2</v>
      </c>
      <c r="B10" s="111">
        <v>71.717171717171723</v>
      </c>
    </row>
    <row r="11" spans="1:2" x14ac:dyDescent="0.25">
      <c r="A11" s="110" t="s">
        <v>3</v>
      </c>
      <c r="B11" s="111">
        <v>72.757475083056477</v>
      </c>
    </row>
    <row r="12" spans="1:2" x14ac:dyDescent="0.25">
      <c r="A12" s="110" t="s">
        <v>4</v>
      </c>
      <c r="B12" s="111">
        <v>70.805369127516784</v>
      </c>
    </row>
    <row r="13" spans="1:2" x14ac:dyDescent="0.25">
      <c r="A13" s="110" t="s">
        <v>46</v>
      </c>
      <c r="B13" s="111">
        <v>72.10884353741497</v>
      </c>
    </row>
    <row r="14" spans="1:2" x14ac:dyDescent="0.25">
      <c r="A14" s="110" t="s">
        <v>5</v>
      </c>
      <c r="B14" s="111">
        <v>71.251931993817621</v>
      </c>
    </row>
    <row r="15" spans="1:2" x14ac:dyDescent="0.25">
      <c r="A15" s="110" t="s">
        <v>48</v>
      </c>
      <c r="B15" s="111">
        <v>72.592592592592595</v>
      </c>
    </row>
    <row r="16" spans="1:2" x14ac:dyDescent="0.25">
      <c r="A16" s="110" t="s">
        <v>49</v>
      </c>
      <c r="B16" s="111">
        <v>70.476190476190482</v>
      </c>
    </row>
    <row r="17" spans="1:2" x14ac:dyDescent="0.25">
      <c r="A17" s="110" t="s">
        <v>50</v>
      </c>
      <c r="B17" s="111">
        <v>68.911917098445599</v>
      </c>
    </row>
    <row r="18" spans="1:2" x14ac:dyDescent="0.25">
      <c r="A18" s="110" t="s">
        <v>69</v>
      </c>
      <c r="B18" s="111">
        <v>73.563218390804593</v>
      </c>
    </row>
    <row r="19" spans="1:2" x14ac:dyDescent="0.25">
      <c r="A19" s="110" t="s">
        <v>6</v>
      </c>
      <c r="B19" s="111">
        <v>64.082687338501287</v>
      </c>
    </row>
    <row r="20" spans="1:2" x14ac:dyDescent="0.25">
      <c r="A20" s="110" t="s">
        <v>70</v>
      </c>
      <c r="B20" s="111">
        <v>65.966386554621849</v>
      </c>
    </row>
    <row r="21" spans="1:2" x14ac:dyDescent="0.25">
      <c r="A21" s="110" t="s">
        <v>7</v>
      </c>
      <c r="B21" s="111">
        <v>73.80952380952381</v>
      </c>
    </row>
    <row r="22" spans="1:2" x14ac:dyDescent="0.25">
      <c r="A22" s="110" t="s">
        <v>22</v>
      </c>
      <c r="B22" s="111">
        <v>68.181818181818187</v>
      </c>
    </row>
    <row r="23" spans="1:2" x14ac:dyDescent="0.25">
      <c r="A23" s="110" t="s">
        <v>8</v>
      </c>
      <c r="B23" s="111">
        <v>72.556390977443613</v>
      </c>
    </row>
    <row r="24" spans="1:2" x14ac:dyDescent="0.25">
      <c r="A24" s="110" t="s">
        <v>9</v>
      </c>
      <c r="B24" s="111">
        <v>75.384615384615387</v>
      </c>
    </row>
    <row r="25" spans="1:2" x14ac:dyDescent="0.25">
      <c r="A25" s="110" t="s">
        <v>54</v>
      </c>
      <c r="B25" s="111">
        <v>63.473053892215567</v>
      </c>
    </row>
    <row r="26" spans="1:2" x14ac:dyDescent="0.25">
      <c r="A26" s="110" t="s">
        <v>71</v>
      </c>
      <c r="B26" s="111">
        <v>69.675925925925924</v>
      </c>
    </row>
    <row r="27" spans="1:2" x14ac:dyDescent="0.25">
      <c r="A27" s="110" t="s">
        <v>10</v>
      </c>
      <c r="B27" s="111">
        <v>80.092592592592595</v>
      </c>
    </row>
    <row r="28" spans="1:2" x14ac:dyDescent="0.25">
      <c r="A28" s="110" t="s">
        <v>56</v>
      </c>
      <c r="B28" s="111">
        <v>66.292134831460672</v>
      </c>
    </row>
    <row r="29" spans="1:2" x14ac:dyDescent="0.25">
      <c r="A29" s="110" t="s">
        <v>11</v>
      </c>
      <c r="B29" s="111">
        <v>72.527472527472526</v>
      </c>
    </row>
    <row r="30" spans="1:2" x14ac:dyDescent="0.25">
      <c r="A30" s="110" t="s">
        <v>58</v>
      </c>
      <c r="B30" s="111">
        <v>64.601769911504419</v>
      </c>
    </row>
    <row r="31" spans="1:2" x14ac:dyDescent="0.25">
      <c r="A31" s="110" t="s">
        <v>59</v>
      </c>
      <c r="B31" s="111">
        <v>69.230769230769226</v>
      </c>
    </row>
    <row r="32" spans="1:2" x14ac:dyDescent="0.25">
      <c r="A32" s="110" t="s">
        <v>60</v>
      </c>
      <c r="B32" s="111">
        <v>73.426573426573427</v>
      </c>
    </row>
    <row r="33" spans="1:2" x14ac:dyDescent="0.25">
      <c r="A33" s="110" t="s">
        <v>12</v>
      </c>
      <c r="B33" s="111">
        <v>69.924812030075188</v>
      </c>
    </row>
    <row r="34" spans="1:2" x14ac:dyDescent="0.25">
      <c r="A34" s="110" t="s">
        <v>61</v>
      </c>
      <c r="B34" s="111">
        <v>77.41935483870968</v>
      </c>
    </row>
    <row r="35" spans="1:2" x14ac:dyDescent="0.25">
      <c r="A35" s="110" t="s">
        <v>62</v>
      </c>
      <c r="B35" s="111">
        <v>65.178571428571431</v>
      </c>
    </row>
    <row r="36" spans="1:2" x14ac:dyDescent="0.25">
      <c r="A36" s="110" t="s">
        <v>23</v>
      </c>
      <c r="B36" s="111">
        <v>68.695652173913047</v>
      </c>
    </row>
    <row r="37" spans="1:2" x14ac:dyDescent="0.25">
      <c r="A37" s="110" t="s">
        <v>13</v>
      </c>
      <c r="B37" s="111">
        <v>68.965517241379317</v>
      </c>
    </row>
    <row r="38" spans="1:2" x14ac:dyDescent="0.25">
      <c r="A38" s="110" t="s">
        <v>14</v>
      </c>
      <c r="B38" s="111">
        <v>78.343949044585983</v>
      </c>
    </row>
    <row r="39" spans="1:2" x14ac:dyDescent="0.25">
      <c r="A39" s="110" t="s">
        <v>64</v>
      </c>
      <c r="B39" s="111">
        <v>71.257485029940113</v>
      </c>
    </row>
    <row r="40" spans="1:2" x14ac:dyDescent="0.25">
      <c r="A40" s="110" t="s">
        <v>65</v>
      </c>
      <c r="B40" s="111">
        <v>70.537010159651672</v>
      </c>
    </row>
    <row r="41" spans="1:2" x14ac:dyDescent="0.25">
      <c r="A41" s="110" t="s">
        <v>66</v>
      </c>
      <c r="B41" s="111">
        <v>73.631840796019901</v>
      </c>
    </row>
    <row r="42" spans="1:2" x14ac:dyDescent="0.25">
      <c r="A42" s="110" t="s">
        <v>15</v>
      </c>
      <c r="B42" s="111">
        <v>71.314102564102569</v>
      </c>
    </row>
    <row r="43" spans="1:2" x14ac:dyDescent="0.25">
      <c r="A43" s="110" t="s">
        <v>16</v>
      </c>
      <c r="B43" s="111">
        <v>71.948051948051955</v>
      </c>
    </row>
    <row r="44" spans="1:2" x14ac:dyDescent="0.25">
      <c r="A44" s="110" t="s">
        <v>17</v>
      </c>
      <c r="B44" s="111">
        <v>69.696969696969703</v>
      </c>
    </row>
    <row r="45" spans="1:2" x14ac:dyDescent="0.25">
      <c r="A45" s="110" t="s">
        <v>24</v>
      </c>
      <c r="B45" s="111">
        <v>76.630434782608702</v>
      </c>
    </row>
    <row r="49" spans="1:2" ht="13" x14ac:dyDescent="0.3">
      <c r="A49" s="112" t="s">
        <v>158</v>
      </c>
      <c r="B49" s="107" t="s">
        <v>156</v>
      </c>
    </row>
    <row r="50" spans="1:2" x14ac:dyDescent="0.25">
      <c r="A50" s="113" t="s">
        <v>74</v>
      </c>
      <c r="B50" s="114">
        <v>69.299552906110279</v>
      </c>
    </row>
    <row r="51" spans="1:2" x14ac:dyDescent="0.25">
      <c r="A51" s="110" t="s">
        <v>75</v>
      </c>
      <c r="B51" s="114">
        <v>71.626016260162601</v>
      </c>
    </row>
    <row r="52" spans="1:2" x14ac:dyDescent="0.25">
      <c r="A52" s="110" t="s">
        <v>76</v>
      </c>
      <c r="B52" s="114">
        <v>72.03947368421052</v>
      </c>
    </row>
    <row r="53" spans="1:2" x14ac:dyDescent="0.25">
      <c r="A53" s="110" t="s">
        <v>77</v>
      </c>
      <c r="B53" s="114">
        <v>72.385368366821226</v>
      </c>
    </row>
    <row r="54" spans="1:2" x14ac:dyDescent="0.25">
      <c r="A54" s="110" t="s">
        <v>78</v>
      </c>
      <c r="B54" s="114">
        <v>69.856291622853135</v>
      </c>
    </row>
    <row r="55" spans="1:2" x14ac:dyDescent="0.25">
      <c r="A55" s="110" t="s">
        <v>79</v>
      </c>
      <c r="B55" s="114">
        <v>72.631307929969111</v>
      </c>
    </row>
    <row r="58" spans="1:2" ht="13" x14ac:dyDescent="0.3">
      <c r="A58" s="109"/>
      <c r="B58" s="107" t="s">
        <v>156</v>
      </c>
    </row>
    <row r="59" spans="1:2" ht="13" x14ac:dyDescent="0.3">
      <c r="A59" s="109" t="s">
        <v>159</v>
      </c>
      <c r="B59" s="114">
        <v>71.564222128020347</v>
      </c>
    </row>
  </sheetData>
  <pageMargins left="0.7" right="0.7" top="0.75" bottom="0.75" header="0.3" footer="0.3"/>
  <pageSetup paperSize="9" orientation="portrait" horizontalDpi="360" verticalDpi="36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N217" sqref="N217"/>
    </sheetView>
  </sheetViews>
  <sheetFormatPr defaultRowHeight="12.5" x14ac:dyDescent="0.25"/>
  <cols>
    <col min="1" max="1" width="16.78515625" style="107" customWidth="1"/>
    <col min="2" max="2" width="36.7109375" style="107" customWidth="1"/>
    <col min="3" max="255" width="8.7109375" style="107"/>
    <col min="256" max="256" width="7.140625" style="107" customWidth="1"/>
    <col min="257" max="257" width="16.78515625" style="107" customWidth="1"/>
    <col min="258" max="511" width="8.7109375" style="107"/>
    <col min="512" max="512" width="7.140625" style="107" customWidth="1"/>
    <col min="513" max="513" width="16.78515625" style="107" customWidth="1"/>
    <col min="514" max="767" width="8.7109375" style="107"/>
    <col min="768" max="768" width="7.140625" style="107" customWidth="1"/>
    <col min="769" max="769" width="16.78515625" style="107" customWidth="1"/>
    <col min="770" max="1023" width="8.7109375" style="107"/>
    <col min="1024" max="1024" width="7.140625" style="107" customWidth="1"/>
    <col min="1025" max="1025" width="16.78515625" style="107" customWidth="1"/>
    <col min="1026" max="1279" width="8.7109375" style="107"/>
    <col min="1280" max="1280" width="7.140625" style="107" customWidth="1"/>
    <col min="1281" max="1281" width="16.78515625" style="107" customWidth="1"/>
    <col min="1282" max="1535" width="8.7109375" style="107"/>
    <col min="1536" max="1536" width="7.140625" style="107" customWidth="1"/>
    <col min="1537" max="1537" width="16.78515625" style="107" customWidth="1"/>
    <col min="1538" max="1791" width="8.7109375" style="107"/>
    <col min="1792" max="1792" width="7.140625" style="107" customWidth="1"/>
    <col min="1793" max="1793" width="16.78515625" style="107" customWidth="1"/>
    <col min="1794" max="2047" width="8.7109375" style="107"/>
    <col min="2048" max="2048" width="7.140625" style="107" customWidth="1"/>
    <col min="2049" max="2049" width="16.78515625" style="107" customWidth="1"/>
    <col min="2050" max="2303" width="8.7109375" style="107"/>
    <col min="2304" max="2304" width="7.140625" style="107" customWidth="1"/>
    <col min="2305" max="2305" width="16.78515625" style="107" customWidth="1"/>
    <col min="2306" max="2559" width="8.7109375" style="107"/>
    <col min="2560" max="2560" width="7.140625" style="107" customWidth="1"/>
    <col min="2561" max="2561" width="16.78515625" style="107" customWidth="1"/>
    <col min="2562" max="2815" width="8.7109375" style="107"/>
    <col min="2816" max="2816" width="7.140625" style="107" customWidth="1"/>
    <col min="2817" max="2817" width="16.78515625" style="107" customWidth="1"/>
    <col min="2818" max="3071" width="8.7109375" style="107"/>
    <col min="3072" max="3072" width="7.140625" style="107" customWidth="1"/>
    <col min="3073" max="3073" width="16.78515625" style="107" customWidth="1"/>
    <col min="3074" max="3327" width="8.7109375" style="107"/>
    <col min="3328" max="3328" width="7.140625" style="107" customWidth="1"/>
    <col min="3329" max="3329" width="16.78515625" style="107" customWidth="1"/>
    <col min="3330" max="3583" width="8.7109375" style="107"/>
    <col min="3584" max="3584" width="7.140625" style="107" customWidth="1"/>
    <col min="3585" max="3585" width="16.78515625" style="107" customWidth="1"/>
    <col min="3586" max="3839" width="8.7109375" style="107"/>
    <col min="3840" max="3840" width="7.140625" style="107" customWidth="1"/>
    <col min="3841" max="3841" width="16.78515625" style="107" customWidth="1"/>
    <col min="3842" max="4095" width="8.7109375" style="107"/>
    <col min="4096" max="4096" width="7.140625" style="107" customWidth="1"/>
    <col min="4097" max="4097" width="16.78515625" style="107" customWidth="1"/>
    <col min="4098" max="4351" width="8.7109375" style="107"/>
    <col min="4352" max="4352" width="7.140625" style="107" customWidth="1"/>
    <col min="4353" max="4353" width="16.78515625" style="107" customWidth="1"/>
    <col min="4354" max="4607" width="8.7109375" style="107"/>
    <col min="4608" max="4608" width="7.140625" style="107" customWidth="1"/>
    <col min="4609" max="4609" width="16.78515625" style="107" customWidth="1"/>
    <col min="4610" max="4863" width="8.7109375" style="107"/>
    <col min="4864" max="4864" width="7.140625" style="107" customWidth="1"/>
    <col min="4865" max="4865" width="16.78515625" style="107" customWidth="1"/>
    <col min="4866" max="5119" width="8.7109375" style="107"/>
    <col min="5120" max="5120" width="7.140625" style="107" customWidth="1"/>
    <col min="5121" max="5121" width="16.78515625" style="107" customWidth="1"/>
    <col min="5122" max="5375" width="8.7109375" style="107"/>
    <col min="5376" max="5376" width="7.140625" style="107" customWidth="1"/>
    <col min="5377" max="5377" width="16.78515625" style="107" customWidth="1"/>
    <col min="5378" max="5631" width="8.7109375" style="107"/>
    <col min="5632" max="5632" width="7.140625" style="107" customWidth="1"/>
    <col min="5633" max="5633" width="16.78515625" style="107" customWidth="1"/>
    <col min="5634" max="5887" width="8.7109375" style="107"/>
    <col min="5888" max="5888" width="7.140625" style="107" customWidth="1"/>
    <col min="5889" max="5889" width="16.78515625" style="107" customWidth="1"/>
    <col min="5890" max="6143" width="8.7109375" style="107"/>
    <col min="6144" max="6144" width="7.140625" style="107" customWidth="1"/>
    <col min="6145" max="6145" width="16.78515625" style="107" customWidth="1"/>
    <col min="6146" max="6399" width="8.7109375" style="107"/>
    <col min="6400" max="6400" width="7.140625" style="107" customWidth="1"/>
    <col min="6401" max="6401" width="16.78515625" style="107" customWidth="1"/>
    <col min="6402" max="6655" width="8.7109375" style="107"/>
    <col min="6656" max="6656" width="7.140625" style="107" customWidth="1"/>
    <col min="6657" max="6657" width="16.78515625" style="107" customWidth="1"/>
    <col min="6658" max="6911" width="8.7109375" style="107"/>
    <col min="6912" max="6912" width="7.140625" style="107" customWidth="1"/>
    <col min="6913" max="6913" width="16.78515625" style="107" customWidth="1"/>
    <col min="6914" max="7167" width="8.7109375" style="107"/>
    <col min="7168" max="7168" width="7.140625" style="107" customWidth="1"/>
    <col min="7169" max="7169" width="16.78515625" style="107" customWidth="1"/>
    <col min="7170" max="7423" width="8.7109375" style="107"/>
    <col min="7424" max="7424" width="7.140625" style="107" customWidth="1"/>
    <col min="7425" max="7425" width="16.78515625" style="107" customWidth="1"/>
    <col min="7426" max="7679" width="8.7109375" style="107"/>
    <col min="7680" max="7680" width="7.140625" style="107" customWidth="1"/>
    <col min="7681" max="7681" width="16.78515625" style="107" customWidth="1"/>
    <col min="7682" max="7935" width="8.7109375" style="107"/>
    <col min="7936" max="7936" width="7.140625" style="107" customWidth="1"/>
    <col min="7937" max="7937" width="16.78515625" style="107" customWidth="1"/>
    <col min="7938" max="8191" width="8.7109375" style="107"/>
    <col min="8192" max="8192" width="7.140625" style="107" customWidth="1"/>
    <col min="8193" max="8193" width="16.78515625" style="107" customWidth="1"/>
    <col min="8194" max="8447" width="8.7109375" style="107"/>
    <col min="8448" max="8448" width="7.140625" style="107" customWidth="1"/>
    <col min="8449" max="8449" width="16.78515625" style="107" customWidth="1"/>
    <col min="8450" max="8703" width="8.7109375" style="107"/>
    <col min="8704" max="8704" width="7.140625" style="107" customWidth="1"/>
    <col min="8705" max="8705" width="16.78515625" style="107" customWidth="1"/>
    <col min="8706" max="8959" width="8.7109375" style="107"/>
    <col min="8960" max="8960" width="7.140625" style="107" customWidth="1"/>
    <col min="8961" max="8961" width="16.78515625" style="107" customWidth="1"/>
    <col min="8962" max="9215" width="8.7109375" style="107"/>
    <col min="9216" max="9216" width="7.140625" style="107" customWidth="1"/>
    <col min="9217" max="9217" width="16.78515625" style="107" customWidth="1"/>
    <col min="9218" max="9471" width="8.7109375" style="107"/>
    <col min="9472" max="9472" width="7.140625" style="107" customWidth="1"/>
    <col min="9473" max="9473" width="16.78515625" style="107" customWidth="1"/>
    <col min="9474" max="9727" width="8.7109375" style="107"/>
    <col min="9728" max="9728" width="7.140625" style="107" customWidth="1"/>
    <col min="9729" max="9729" width="16.78515625" style="107" customWidth="1"/>
    <col min="9730" max="9983" width="8.7109375" style="107"/>
    <col min="9984" max="9984" width="7.140625" style="107" customWidth="1"/>
    <col min="9985" max="9985" width="16.78515625" style="107" customWidth="1"/>
    <col min="9986" max="10239" width="8.7109375" style="107"/>
    <col min="10240" max="10240" width="7.140625" style="107" customWidth="1"/>
    <col min="10241" max="10241" width="16.78515625" style="107" customWidth="1"/>
    <col min="10242" max="10495" width="8.7109375" style="107"/>
    <col min="10496" max="10496" width="7.140625" style="107" customWidth="1"/>
    <col min="10497" max="10497" width="16.78515625" style="107" customWidth="1"/>
    <col min="10498" max="10751" width="8.7109375" style="107"/>
    <col min="10752" max="10752" width="7.140625" style="107" customWidth="1"/>
    <col min="10753" max="10753" width="16.78515625" style="107" customWidth="1"/>
    <col min="10754" max="11007" width="8.7109375" style="107"/>
    <col min="11008" max="11008" width="7.140625" style="107" customWidth="1"/>
    <col min="11009" max="11009" width="16.78515625" style="107" customWidth="1"/>
    <col min="11010" max="11263" width="8.7109375" style="107"/>
    <col min="11264" max="11264" width="7.140625" style="107" customWidth="1"/>
    <col min="11265" max="11265" width="16.78515625" style="107" customWidth="1"/>
    <col min="11266" max="11519" width="8.7109375" style="107"/>
    <col min="11520" max="11520" width="7.140625" style="107" customWidth="1"/>
    <col min="11521" max="11521" width="16.78515625" style="107" customWidth="1"/>
    <col min="11522" max="11775" width="8.7109375" style="107"/>
    <col min="11776" max="11776" width="7.140625" style="107" customWidth="1"/>
    <col min="11777" max="11777" width="16.78515625" style="107" customWidth="1"/>
    <col min="11778" max="12031" width="8.7109375" style="107"/>
    <col min="12032" max="12032" width="7.140625" style="107" customWidth="1"/>
    <col min="12033" max="12033" width="16.78515625" style="107" customWidth="1"/>
    <col min="12034" max="12287" width="8.7109375" style="107"/>
    <col min="12288" max="12288" width="7.140625" style="107" customWidth="1"/>
    <col min="12289" max="12289" width="16.78515625" style="107" customWidth="1"/>
    <col min="12290" max="12543" width="8.7109375" style="107"/>
    <col min="12544" max="12544" width="7.140625" style="107" customWidth="1"/>
    <col min="12545" max="12545" width="16.78515625" style="107" customWidth="1"/>
    <col min="12546" max="12799" width="8.7109375" style="107"/>
    <col min="12800" max="12800" width="7.140625" style="107" customWidth="1"/>
    <col min="12801" max="12801" width="16.78515625" style="107" customWidth="1"/>
    <col min="12802" max="13055" width="8.7109375" style="107"/>
    <col min="13056" max="13056" width="7.140625" style="107" customWidth="1"/>
    <col min="13057" max="13057" width="16.78515625" style="107" customWidth="1"/>
    <col min="13058" max="13311" width="8.7109375" style="107"/>
    <col min="13312" max="13312" width="7.140625" style="107" customWidth="1"/>
    <col min="13313" max="13313" width="16.78515625" style="107" customWidth="1"/>
    <col min="13314" max="13567" width="8.7109375" style="107"/>
    <col min="13568" max="13568" width="7.140625" style="107" customWidth="1"/>
    <col min="13569" max="13569" width="16.78515625" style="107" customWidth="1"/>
    <col min="13570" max="13823" width="8.7109375" style="107"/>
    <col min="13824" max="13824" width="7.140625" style="107" customWidth="1"/>
    <col min="13825" max="13825" width="16.78515625" style="107" customWidth="1"/>
    <col min="13826" max="14079" width="8.7109375" style="107"/>
    <col min="14080" max="14080" width="7.140625" style="107" customWidth="1"/>
    <col min="14081" max="14081" width="16.78515625" style="107" customWidth="1"/>
    <col min="14082" max="14335" width="8.7109375" style="107"/>
    <col min="14336" max="14336" width="7.140625" style="107" customWidth="1"/>
    <col min="14337" max="14337" width="16.78515625" style="107" customWidth="1"/>
    <col min="14338" max="14591" width="8.7109375" style="107"/>
    <col min="14592" max="14592" width="7.140625" style="107" customWidth="1"/>
    <col min="14593" max="14593" width="16.78515625" style="107" customWidth="1"/>
    <col min="14594" max="14847" width="8.7109375" style="107"/>
    <col min="14848" max="14848" width="7.140625" style="107" customWidth="1"/>
    <col min="14849" max="14849" width="16.78515625" style="107" customWidth="1"/>
    <col min="14850" max="15103" width="8.7109375" style="107"/>
    <col min="15104" max="15104" width="7.140625" style="107" customWidth="1"/>
    <col min="15105" max="15105" width="16.78515625" style="107" customWidth="1"/>
    <col min="15106" max="15359" width="8.7109375" style="107"/>
    <col min="15360" max="15360" width="7.140625" style="107" customWidth="1"/>
    <col min="15361" max="15361" width="16.78515625" style="107" customWidth="1"/>
    <col min="15362" max="15615" width="8.7109375" style="107"/>
    <col min="15616" max="15616" width="7.140625" style="107" customWidth="1"/>
    <col min="15617" max="15617" width="16.78515625" style="107" customWidth="1"/>
    <col min="15618" max="15871" width="8.7109375" style="107"/>
    <col min="15872" max="15872" width="7.140625" style="107" customWidth="1"/>
    <col min="15873" max="15873" width="16.78515625" style="107" customWidth="1"/>
    <col min="15874" max="16127" width="8.7109375" style="107"/>
    <col min="16128" max="16128" width="7.140625" style="107" customWidth="1"/>
    <col min="16129" max="16129" width="16.78515625" style="107" customWidth="1"/>
    <col min="16130" max="16384" width="8.7109375" style="107"/>
  </cols>
  <sheetData>
    <row r="1" spans="1:2" ht="13" x14ac:dyDescent="0.3">
      <c r="A1" s="106" t="s">
        <v>160</v>
      </c>
    </row>
    <row r="2" spans="1:2" x14ac:dyDescent="0.25">
      <c r="A2" s="115" t="s">
        <v>161</v>
      </c>
    </row>
    <row r="5" spans="1:2" ht="13" x14ac:dyDescent="0.3">
      <c r="A5" s="109" t="s">
        <v>157</v>
      </c>
      <c r="B5" s="115" t="s">
        <v>161</v>
      </c>
    </row>
    <row r="6" spans="1:2" x14ac:dyDescent="0.25">
      <c r="A6" s="110" t="s">
        <v>42</v>
      </c>
      <c r="B6" s="111">
        <v>60.16949152542373</v>
      </c>
    </row>
    <row r="7" spans="1:2" x14ac:dyDescent="0.25">
      <c r="A7" s="110" t="s">
        <v>43</v>
      </c>
      <c r="B7" s="111">
        <v>59.152798789712556</v>
      </c>
    </row>
    <row r="8" spans="1:2" x14ac:dyDescent="0.25">
      <c r="A8" s="110" t="s">
        <v>44</v>
      </c>
      <c r="B8" s="111">
        <v>66.871165644171782</v>
      </c>
    </row>
    <row r="9" spans="1:2" x14ac:dyDescent="0.25">
      <c r="A9" s="110" t="s">
        <v>68</v>
      </c>
      <c r="B9" s="111">
        <v>52.827140549273018</v>
      </c>
    </row>
    <row r="10" spans="1:2" x14ac:dyDescent="0.25">
      <c r="A10" s="110" t="s">
        <v>2</v>
      </c>
      <c r="B10" s="111">
        <v>75.757575757575751</v>
      </c>
    </row>
    <row r="11" spans="1:2" x14ac:dyDescent="0.25">
      <c r="A11" s="110" t="s">
        <v>3</v>
      </c>
      <c r="B11" s="111">
        <v>70</v>
      </c>
    </row>
    <row r="12" spans="1:2" x14ac:dyDescent="0.25">
      <c r="A12" s="110" t="s">
        <v>4</v>
      </c>
      <c r="B12" s="111">
        <v>54.285714285714285</v>
      </c>
    </row>
    <row r="13" spans="1:2" x14ac:dyDescent="0.25">
      <c r="A13" s="110" t="s">
        <v>46</v>
      </c>
      <c r="B13" s="111">
        <v>70.748299319727892</v>
      </c>
    </row>
    <row r="14" spans="1:2" x14ac:dyDescent="0.25">
      <c r="A14" s="110" t="s">
        <v>5</v>
      </c>
      <c r="B14" s="111">
        <v>58.823529411764703</v>
      </c>
    </row>
    <row r="15" spans="1:2" x14ac:dyDescent="0.25">
      <c r="A15" s="110" t="s">
        <v>48</v>
      </c>
      <c r="B15" s="111">
        <v>59.25925925925926</v>
      </c>
    </row>
    <row r="16" spans="1:2" x14ac:dyDescent="0.25">
      <c r="A16" s="110" t="s">
        <v>49</v>
      </c>
      <c r="B16" s="111">
        <v>66.666666666666671</v>
      </c>
    </row>
    <row r="17" spans="1:2" x14ac:dyDescent="0.25">
      <c r="A17" s="110" t="s">
        <v>50</v>
      </c>
      <c r="B17" s="111">
        <v>67.708333333333329</v>
      </c>
    </row>
    <row r="18" spans="1:2" x14ac:dyDescent="0.25">
      <c r="A18" s="110" t="s">
        <v>69</v>
      </c>
      <c r="B18" s="111">
        <v>61.095100864553316</v>
      </c>
    </row>
    <row r="19" spans="1:2" x14ac:dyDescent="0.25">
      <c r="A19" s="110" t="s">
        <v>6</v>
      </c>
      <c r="B19" s="111">
        <v>51.948051948051948</v>
      </c>
    </row>
    <row r="20" spans="1:2" x14ac:dyDescent="0.25">
      <c r="A20" s="110" t="s">
        <v>70</v>
      </c>
      <c r="B20" s="111">
        <v>53.586497890295355</v>
      </c>
    </row>
    <row r="21" spans="1:2" x14ac:dyDescent="0.25">
      <c r="A21" s="110" t="s">
        <v>7</v>
      </c>
      <c r="B21" s="111">
        <v>71.428571428571431</v>
      </c>
    </row>
    <row r="22" spans="1:2" x14ac:dyDescent="0.25">
      <c r="A22" s="110" t="s">
        <v>22</v>
      </c>
      <c r="B22" s="111">
        <v>56</v>
      </c>
    </row>
    <row r="23" spans="1:2" x14ac:dyDescent="0.25">
      <c r="A23" s="110" t="s">
        <v>8</v>
      </c>
      <c r="B23" s="111">
        <v>58.301886792452834</v>
      </c>
    </row>
    <row r="24" spans="1:2" x14ac:dyDescent="0.25">
      <c r="A24" s="110" t="s">
        <v>9</v>
      </c>
      <c r="B24" s="111">
        <v>67.704280155642024</v>
      </c>
    </row>
    <row r="25" spans="1:2" x14ac:dyDescent="0.25">
      <c r="A25" s="110" t="s">
        <v>54</v>
      </c>
      <c r="B25" s="111">
        <v>63.473053892215567</v>
      </c>
    </row>
    <row r="26" spans="1:2" x14ac:dyDescent="0.25">
      <c r="A26" s="110" t="s">
        <v>71</v>
      </c>
      <c r="B26" s="111">
        <v>57.967667436489606</v>
      </c>
    </row>
    <row r="27" spans="1:2" x14ac:dyDescent="0.25">
      <c r="A27" s="110" t="s">
        <v>10</v>
      </c>
      <c r="B27" s="111">
        <v>69.767441860465112</v>
      </c>
    </row>
    <row r="28" spans="1:2" x14ac:dyDescent="0.25">
      <c r="A28" s="110" t="s">
        <v>56</v>
      </c>
      <c r="B28" s="111">
        <v>60.227272727272727</v>
      </c>
    </row>
    <row r="29" spans="1:2" x14ac:dyDescent="0.25">
      <c r="A29" s="110" t="s">
        <v>11</v>
      </c>
      <c r="B29" s="111">
        <v>57.142857142857146</v>
      </c>
    </row>
    <row r="30" spans="1:2" x14ac:dyDescent="0.25">
      <c r="A30" s="110" t="s">
        <v>58</v>
      </c>
      <c r="B30" s="111">
        <v>62.280701754385966</v>
      </c>
    </row>
    <row r="31" spans="1:2" x14ac:dyDescent="0.25">
      <c r="A31" s="110" t="s">
        <v>59</v>
      </c>
      <c r="B31" s="111">
        <v>69.230769230769226</v>
      </c>
    </row>
    <row r="32" spans="1:2" x14ac:dyDescent="0.25">
      <c r="A32" s="110" t="s">
        <v>60</v>
      </c>
      <c r="B32" s="111">
        <v>67.832167832167826</v>
      </c>
    </row>
    <row r="33" spans="1:2" x14ac:dyDescent="0.25">
      <c r="A33" s="110" t="s">
        <v>12</v>
      </c>
      <c r="B33" s="111">
        <v>61.194029850746269</v>
      </c>
    </row>
    <row r="34" spans="1:2" x14ac:dyDescent="0.25">
      <c r="A34" s="110" t="s">
        <v>61</v>
      </c>
      <c r="B34" s="111">
        <v>68.951612903225808</v>
      </c>
    </row>
    <row r="35" spans="1:2" x14ac:dyDescent="0.25">
      <c r="A35" s="110" t="s">
        <v>62</v>
      </c>
      <c r="B35" s="111">
        <v>72.321428571428569</v>
      </c>
    </row>
    <row r="36" spans="1:2" x14ac:dyDescent="0.25">
      <c r="A36" s="110" t="s">
        <v>23</v>
      </c>
      <c r="B36" s="111">
        <v>52.312138728323703</v>
      </c>
    </row>
    <row r="37" spans="1:2" x14ac:dyDescent="0.25">
      <c r="A37" s="110" t="s">
        <v>13</v>
      </c>
      <c r="B37" s="111">
        <v>55.984555984555982</v>
      </c>
    </row>
    <row r="38" spans="1:2" x14ac:dyDescent="0.25">
      <c r="A38" s="110" t="s">
        <v>14</v>
      </c>
      <c r="B38" s="111">
        <v>62.658227848101269</v>
      </c>
    </row>
    <row r="39" spans="1:2" x14ac:dyDescent="0.25">
      <c r="A39" s="110" t="s">
        <v>64</v>
      </c>
      <c r="B39" s="111">
        <v>64.670658682634738</v>
      </c>
    </row>
    <row r="40" spans="1:2" x14ac:dyDescent="0.25">
      <c r="A40" s="110" t="s">
        <v>65</v>
      </c>
      <c r="B40" s="111">
        <v>61.426491994177582</v>
      </c>
    </row>
    <row r="41" spans="1:2" x14ac:dyDescent="0.25">
      <c r="A41" s="110" t="s">
        <v>66</v>
      </c>
      <c r="B41" s="111">
        <v>63.819095477386938</v>
      </c>
    </row>
    <row r="42" spans="1:2" x14ac:dyDescent="0.25">
      <c r="A42" s="110" t="s">
        <v>15</v>
      </c>
      <c r="B42" s="111">
        <v>55.735056542810987</v>
      </c>
    </row>
    <row r="43" spans="1:2" x14ac:dyDescent="0.25">
      <c r="A43" s="110" t="s">
        <v>16</v>
      </c>
      <c r="B43" s="111">
        <v>61.096605744125327</v>
      </c>
    </row>
    <row r="44" spans="1:2" x14ac:dyDescent="0.25">
      <c r="A44" s="110" t="s">
        <v>17</v>
      </c>
      <c r="B44" s="111">
        <v>64.285714285714292</v>
      </c>
    </row>
    <row r="45" spans="1:2" x14ac:dyDescent="0.25">
      <c r="A45" s="110" t="s">
        <v>24</v>
      </c>
      <c r="B45" s="111">
        <v>68.108108108108112</v>
      </c>
    </row>
    <row r="49" spans="1:2" ht="13" x14ac:dyDescent="0.3">
      <c r="A49" s="112" t="s">
        <v>158</v>
      </c>
      <c r="B49" s="115" t="s">
        <v>161</v>
      </c>
    </row>
    <row r="50" spans="1:2" x14ac:dyDescent="0.25">
      <c r="A50" s="113" t="s">
        <v>74</v>
      </c>
      <c r="B50" s="114">
        <v>68.107302533532035</v>
      </c>
    </row>
    <row r="51" spans="1:2" x14ac:dyDescent="0.25">
      <c r="A51" s="110" t="s">
        <v>75</v>
      </c>
      <c r="B51" s="114">
        <v>64.825345247766037</v>
      </c>
    </row>
    <row r="52" spans="1:2" x14ac:dyDescent="0.25">
      <c r="A52" s="110" t="s">
        <v>76</v>
      </c>
      <c r="B52" s="114">
        <v>65.210222588623253</v>
      </c>
    </row>
    <row r="53" spans="1:2" x14ac:dyDescent="0.25">
      <c r="A53" s="110" t="s">
        <v>77</v>
      </c>
      <c r="B53" s="114">
        <v>62.150982419855225</v>
      </c>
    </row>
    <row r="54" spans="1:2" x14ac:dyDescent="0.25">
      <c r="A54" s="110" t="s">
        <v>78</v>
      </c>
      <c r="B54" s="114">
        <v>56.489623637003163</v>
      </c>
    </row>
    <row r="55" spans="1:2" x14ac:dyDescent="0.25">
      <c r="A55" s="110" t="s">
        <v>79</v>
      </c>
      <c r="B55" s="114">
        <v>57.611785991212201</v>
      </c>
    </row>
    <row r="58" spans="1:2" ht="13" x14ac:dyDescent="0.3">
      <c r="A58" s="109"/>
      <c r="B58" s="115" t="s">
        <v>161</v>
      </c>
    </row>
    <row r="59" spans="1:2" ht="13" x14ac:dyDescent="0.3">
      <c r="A59" s="109" t="s">
        <v>159</v>
      </c>
      <c r="B59" s="114">
        <v>60.224470708273103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N217" sqref="N217"/>
    </sheetView>
  </sheetViews>
  <sheetFormatPr defaultRowHeight="12.5" x14ac:dyDescent="0.25"/>
  <cols>
    <col min="1" max="1" width="15.7109375" style="107" customWidth="1"/>
    <col min="2" max="2" width="23.5" style="107" customWidth="1"/>
    <col min="3" max="256" width="8.7109375" style="107"/>
    <col min="257" max="257" width="15.7109375" style="107" customWidth="1"/>
    <col min="258" max="512" width="8.7109375" style="107"/>
    <col min="513" max="513" width="15.7109375" style="107" customWidth="1"/>
    <col min="514" max="768" width="8.7109375" style="107"/>
    <col min="769" max="769" width="15.7109375" style="107" customWidth="1"/>
    <col min="770" max="1024" width="8.7109375" style="107"/>
    <col min="1025" max="1025" width="15.7109375" style="107" customWidth="1"/>
    <col min="1026" max="1280" width="8.7109375" style="107"/>
    <col min="1281" max="1281" width="15.7109375" style="107" customWidth="1"/>
    <col min="1282" max="1536" width="8.7109375" style="107"/>
    <col min="1537" max="1537" width="15.7109375" style="107" customWidth="1"/>
    <col min="1538" max="1792" width="8.7109375" style="107"/>
    <col min="1793" max="1793" width="15.7109375" style="107" customWidth="1"/>
    <col min="1794" max="2048" width="8.7109375" style="107"/>
    <col min="2049" max="2049" width="15.7109375" style="107" customWidth="1"/>
    <col min="2050" max="2304" width="8.7109375" style="107"/>
    <col min="2305" max="2305" width="15.7109375" style="107" customWidth="1"/>
    <col min="2306" max="2560" width="8.7109375" style="107"/>
    <col min="2561" max="2561" width="15.7109375" style="107" customWidth="1"/>
    <col min="2562" max="2816" width="8.7109375" style="107"/>
    <col min="2817" max="2817" width="15.7109375" style="107" customWidth="1"/>
    <col min="2818" max="3072" width="8.7109375" style="107"/>
    <col min="3073" max="3073" width="15.7109375" style="107" customWidth="1"/>
    <col min="3074" max="3328" width="8.7109375" style="107"/>
    <col min="3329" max="3329" width="15.7109375" style="107" customWidth="1"/>
    <col min="3330" max="3584" width="8.7109375" style="107"/>
    <col min="3585" max="3585" width="15.7109375" style="107" customWidth="1"/>
    <col min="3586" max="3840" width="8.7109375" style="107"/>
    <col min="3841" max="3841" width="15.7109375" style="107" customWidth="1"/>
    <col min="3842" max="4096" width="8.7109375" style="107"/>
    <col min="4097" max="4097" width="15.7109375" style="107" customWidth="1"/>
    <col min="4098" max="4352" width="8.7109375" style="107"/>
    <col min="4353" max="4353" width="15.7109375" style="107" customWidth="1"/>
    <col min="4354" max="4608" width="8.7109375" style="107"/>
    <col min="4609" max="4609" width="15.7109375" style="107" customWidth="1"/>
    <col min="4610" max="4864" width="8.7109375" style="107"/>
    <col min="4865" max="4865" width="15.7109375" style="107" customWidth="1"/>
    <col min="4866" max="5120" width="8.7109375" style="107"/>
    <col min="5121" max="5121" width="15.7109375" style="107" customWidth="1"/>
    <col min="5122" max="5376" width="8.7109375" style="107"/>
    <col min="5377" max="5377" width="15.7109375" style="107" customWidth="1"/>
    <col min="5378" max="5632" width="8.7109375" style="107"/>
    <col min="5633" max="5633" width="15.7109375" style="107" customWidth="1"/>
    <col min="5634" max="5888" width="8.7109375" style="107"/>
    <col min="5889" max="5889" width="15.7109375" style="107" customWidth="1"/>
    <col min="5890" max="6144" width="8.7109375" style="107"/>
    <col min="6145" max="6145" width="15.7109375" style="107" customWidth="1"/>
    <col min="6146" max="6400" width="8.7109375" style="107"/>
    <col min="6401" max="6401" width="15.7109375" style="107" customWidth="1"/>
    <col min="6402" max="6656" width="8.7109375" style="107"/>
    <col min="6657" max="6657" width="15.7109375" style="107" customWidth="1"/>
    <col min="6658" max="6912" width="8.7109375" style="107"/>
    <col min="6913" max="6913" width="15.7109375" style="107" customWidth="1"/>
    <col min="6914" max="7168" width="8.7109375" style="107"/>
    <col min="7169" max="7169" width="15.7109375" style="107" customWidth="1"/>
    <col min="7170" max="7424" width="8.7109375" style="107"/>
    <col min="7425" max="7425" width="15.7109375" style="107" customWidth="1"/>
    <col min="7426" max="7680" width="8.7109375" style="107"/>
    <col min="7681" max="7681" width="15.7109375" style="107" customWidth="1"/>
    <col min="7682" max="7936" width="8.7109375" style="107"/>
    <col min="7937" max="7937" width="15.7109375" style="107" customWidth="1"/>
    <col min="7938" max="8192" width="8.7109375" style="107"/>
    <col min="8193" max="8193" width="15.7109375" style="107" customWidth="1"/>
    <col min="8194" max="8448" width="8.7109375" style="107"/>
    <col min="8449" max="8449" width="15.7109375" style="107" customWidth="1"/>
    <col min="8450" max="8704" width="8.7109375" style="107"/>
    <col min="8705" max="8705" width="15.7109375" style="107" customWidth="1"/>
    <col min="8706" max="8960" width="8.7109375" style="107"/>
    <col min="8961" max="8961" width="15.7109375" style="107" customWidth="1"/>
    <col min="8962" max="9216" width="8.7109375" style="107"/>
    <col min="9217" max="9217" width="15.7109375" style="107" customWidth="1"/>
    <col min="9218" max="9472" width="8.7109375" style="107"/>
    <col min="9473" max="9473" width="15.7109375" style="107" customWidth="1"/>
    <col min="9474" max="9728" width="8.7109375" style="107"/>
    <col min="9729" max="9729" width="15.7109375" style="107" customWidth="1"/>
    <col min="9730" max="9984" width="8.7109375" style="107"/>
    <col min="9985" max="9985" width="15.7109375" style="107" customWidth="1"/>
    <col min="9986" max="10240" width="8.7109375" style="107"/>
    <col min="10241" max="10241" width="15.7109375" style="107" customWidth="1"/>
    <col min="10242" max="10496" width="8.7109375" style="107"/>
    <col min="10497" max="10497" width="15.7109375" style="107" customWidth="1"/>
    <col min="10498" max="10752" width="8.7109375" style="107"/>
    <col min="10753" max="10753" width="15.7109375" style="107" customWidth="1"/>
    <col min="10754" max="11008" width="8.7109375" style="107"/>
    <col min="11009" max="11009" width="15.7109375" style="107" customWidth="1"/>
    <col min="11010" max="11264" width="8.7109375" style="107"/>
    <col min="11265" max="11265" width="15.7109375" style="107" customWidth="1"/>
    <col min="11266" max="11520" width="8.7109375" style="107"/>
    <col min="11521" max="11521" width="15.7109375" style="107" customWidth="1"/>
    <col min="11522" max="11776" width="8.7109375" style="107"/>
    <col min="11777" max="11777" width="15.7109375" style="107" customWidth="1"/>
    <col min="11778" max="12032" width="8.7109375" style="107"/>
    <col min="12033" max="12033" width="15.7109375" style="107" customWidth="1"/>
    <col min="12034" max="12288" width="8.7109375" style="107"/>
    <col min="12289" max="12289" width="15.7109375" style="107" customWidth="1"/>
    <col min="12290" max="12544" width="8.7109375" style="107"/>
    <col min="12545" max="12545" width="15.7109375" style="107" customWidth="1"/>
    <col min="12546" max="12800" width="8.7109375" style="107"/>
    <col min="12801" max="12801" width="15.7109375" style="107" customWidth="1"/>
    <col min="12802" max="13056" width="8.7109375" style="107"/>
    <col min="13057" max="13057" width="15.7109375" style="107" customWidth="1"/>
    <col min="13058" max="13312" width="8.7109375" style="107"/>
    <col min="13313" max="13313" width="15.7109375" style="107" customWidth="1"/>
    <col min="13314" max="13568" width="8.7109375" style="107"/>
    <col min="13569" max="13569" width="15.7109375" style="107" customWidth="1"/>
    <col min="13570" max="13824" width="8.7109375" style="107"/>
    <col min="13825" max="13825" width="15.7109375" style="107" customWidth="1"/>
    <col min="13826" max="14080" width="8.7109375" style="107"/>
    <col min="14081" max="14081" width="15.7109375" style="107" customWidth="1"/>
    <col min="14082" max="14336" width="8.7109375" style="107"/>
    <col min="14337" max="14337" width="15.7109375" style="107" customWidth="1"/>
    <col min="14338" max="14592" width="8.7109375" style="107"/>
    <col min="14593" max="14593" width="15.7109375" style="107" customWidth="1"/>
    <col min="14594" max="14848" width="8.7109375" style="107"/>
    <col min="14849" max="14849" width="15.7109375" style="107" customWidth="1"/>
    <col min="14850" max="15104" width="8.7109375" style="107"/>
    <col min="15105" max="15105" width="15.7109375" style="107" customWidth="1"/>
    <col min="15106" max="15360" width="8.7109375" style="107"/>
    <col min="15361" max="15361" width="15.7109375" style="107" customWidth="1"/>
    <col min="15362" max="15616" width="8.7109375" style="107"/>
    <col min="15617" max="15617" width="15.7109375" style="107" customWidth="1"/>
    <col min="15618" max="15872" width="8.7109375" style="107"/>
    <col min="15873" max="15873" width="15.7109375" style="107" customWidth="1"/>
    <col min="15874" max="16128" width="8.7109375" style="107"/>
    <col min="16129" max="16129" width="15.7109375" style="107" customWidth="1"/>
    <col min="16130" max="16384" width="8.7109375" style="107"/>
  </cols>
  <sheetData>
    <row r="1" spans="1:2" ht="14" x14ac:dyDescent="0.3">
      <c r="A1" s="116" t="s">
        <v>162</v>
      </c>
    </row>
    <row r="2" spans="1:2" x14ac:dyDescent="0.25">
      <c r="A2" s="115" t="s">
        <v>163</v>
      </c>
    </row>
    <row r="3" spans="1:2" ht="13" x14ac:dyDescent="0.3">
      <c r="A3" s="106" t="s">
        <v>164</v>
      </c>
    </row>
    <row r="7" spans="1:2" ht="13" x14ac:dyDescent="0.3">
      <c r="A7" s="109" t="s">
        <v>157</v>
      </c>
      <c r="B7" s="106" t="s">
        <v>165</v>
      </c>
    </row>
    <row r="8" spans="1:2" x14ac:dyDescent="0.25">
      <c r="A8" s="110" t="s">
        <v>42</v>
      </c>
      <c r="B8" s="111">
        <v>47.457627118644069</v>
      </c>
    </row>
    <row r="9" spans="1:2" x14ac:dyDescent="0.25">
      <c r="A9" s="110" t="s">
        <v>43</v>
      </c>
      <c r="B9" s="111">
        <v>79.545454545454547</v>
      </c>
    </row>
    <row r="10" spans="1:2" x14ac:dyDescent="0.25">
      <c r="A10" s="110" t="s">
        <v>44</v>
      </c>
      <c r="B10" s="111">
        <v>72.392638036809814</v>
      </c>
    </row>
    <row r="11" spans="1:2" x14ac:dyDescent="0.25">
      <c r="A11" s="110" t="s">
        <v>68</v>
      </c>
      <c r="B11" s="111">
        <v>42.439024390243901</v>
      </c>
    </row>
    <row r="12" spans="1:2" x14ac:dyDescent="0.25">
      <c r="A12" s="110" t="s">
        <v>2</v>
      </c>
      <c r="B12" s="111">
        <v>60.416666666666664</v>
      </c>
    </row>
    <row r="13" spans="1:2" x14ac:dyDescent="0.25">
      <c r="A13" s="110" t="s">
        <v>3</v>
      </c>
      <c r="B13" s="111">
        <v>79.264214046822744</v>
      </c>
    </row>
    <row r="14" spans="1:2" x14ac:dyDescent="0.25">
      <c r="A14" s="110" t="s">
        <v>4</v>
      </c>
      <c r="B14" s="111">
        <v>48.817567567567565</v>
      </c>
    </row>
    <row r="15" spans="1:2" x14ac:dyDescent="0.25">
      <c r="A15" s="110" t="s">
        <v>46</v>
      </c>
      <c r="B15" s="111">
        <v>75.172413793103445</v>
      </c>
    </row>
    <row r="16" spans="1:2" x14ac:dyDescent="0.25">
      <c r="A16" s="110" t="s">
        <v>5</v>
      </c>
      <c r="B16" s="111">
        <v>68.012422360248451</v>
      </c>
    </row>
    <row r="17" spans="1:2" x14ac:dyDescent="0.25">
      <c r="A17" s="110" t="s">
        <v>48</v>
      </c>
      <c r="B17" s="111">
        <v>52.985074626865675</v>
      </c>
    </row>
    <row r="18" spans="1:2" x14ac:dyDescent="0.25">
      <c r="A18" s="110" t="s">
        <v>49</v>
      </c>
      <c r="B18" s="111">
        <v>75</v>
      </c>
    </row>
    <row r="19" spans="1:2" x14ac:dyDescent="0.25">
      <c r="A19" s="110" t="s">
        <v>50</v>
      </c>
      <c r="B19" s="111">
        <v>64.248704663212436</v>
      </c>
    </row>
    <row r="20" spans="1:2" x14ac:dyDescent="0.25">
      <c r="A20" s="110" t="s">
        <v>69</v>
      </c>
      <c r="B20" s="111">
        <v>46.647230320699705</v>
      </c>
    </row>
    <row r="21" spans="1:2" x14ac:dyDescent="0.25">
      <c r="A21" s="110" t="s">
        <v>6</v>
      </c>
      <c r="B21" s="111">
        <v>27.748691099476439</v>
      </c>
    </row>
    <row r="22" spans="1:2" x14ac:dyDescent="0.25">
      <c r="A22" s="110" t="s">
        <v>70</v>
      </c>
      <c r="B22" s="111">
        <v>38.888888888888886</v>
      </c>
    </row>
    <row r="23" spans="1:2" x14ac:dyDescent="0.25">
      <c r="A23" s="110" t="s">
        <v>7</v>
      </c>
      <c r="B23" s="111">
        <v>68.07228915662651</v>
      </c>
    </row>
    <row r="24" spans="1:2" x14ac:dyDescent="0.25">
      <c r="A24" s="110" t="s">
        <v>22</v>
      </c>
      <c r="B24" s="111">
        <v>43.103448275862071</v>
      </c>
    </row>
    <row r="25" spans="1:2" x14ac:dyDescent="0.25">
      <c r="A25" s="110" t="s">
        <v>8</v>
      </c>
      <c r="B25" s="111">
        <v>49.621212121212125</v>
      </c>
    </row>
    <row r="26" spans="1:2" x14ac:dyDescent="0.25">
      <c r="A26" s="110" t="s">
        <v>9</v>
      </c>
      <c r="B26" s="111">
        <v>84.16988416988417</v>
      </c>
    </row>
    <row r="27" spans="1:2" x14ac:dyDescent="0.25">
      <c r="A27" s="110" t="s">
        <v>54</v>
      </c>
      <c r="B27" s="111">
        <v>46.666666666666664</v>
      </c>
    </row>
    <row r="28" spans="1:2" x14ac:dyDescent="0.25">
      <c r="A28" s="110" t="s">
        <v>71</v>
      </c>
      <c r="B28" s="111">
        <v>51.860465116279073</v>
      </c>
    </row>
    <row r="29" spans="1:2" x14ac:dyDescent="0.25">
      <c r="A29" s="110" t="s">
        <v>10</v>
      </c>
      <c r="B29" s="111">
        <v>72.64150943396227</v>
      </c>
    </row>
    <row r="30" spans="1:2" x14ac:dyDescent="0.25">
      <c r="A30" s="110" t="s">
        <v>56</v>
      </c>
      <c r="B30" s="111">
        <v>49.152542372881356</v>
      </c>
    </row>
    <row r="31" spans="1:2" x14ac:dyDescent="0.25">
      <c r="A31" s="110" t="s">
        <v>11</v>
      </c>
      <c r="B31" s="111">
        <v>62.440570522979399</v>
      </c>
    </row>
    <row r="32" spans="1:2" x14ac:dyDescent="0.25">
      <c r="A32" s="110" t="s">
        <v>58</v>
      </c>
      <c r="B32" s="111">
        <v>34.513274336283189</v>
      </c>
    </row>
    <row r="33" spans="1:2" x14ac:dyDescent="0.25">
      <c r="A33" s="110" t="s">
        <v>59</v>
      </c>
      <c r="B33" s="111">
        <v>43.971631205673759</v>
      </c>
    </row>
    <row r="34" spans="1:2" x14ac:dyDescent="0.25">
      <c r="A34" s="110" t="s">
        <v>60</v>
      </c>
      <c r="B34" s="111">
        <v>62.676056338028168</v>
      </c>
    </row>
    <row r="35" spans="1:2" x14ac:dyDescent="0.25">
      <c r="A35" s="110" t="s">
        <v>12</v>
      </c>
      <c r="B35" s="111">
        <v>39.097744360902254</v>
      </c>
    </row>
    <row r="36" spans="1:2" x14ac:dyDescent="0.25">
      <c r="A36" s="110" t="s">
        <v>61</v>
      </c>
      <c r="B36" s="111">
        <v>70.445344129554655</v>
      </c>
    </row>
    <row r="37" spans="1:2" x14ac:dyDescent="0.25">
      <c r="A37" s="110" t="s">
        <v>62</v>
      </c>
      <c r="B37" s="111">
        <v>54.954954954954957</v>
      </c>
    </row>
    <row r="38" spans="1:2" x14ac:dyDescent="0.25">
      <c r="A38" s="110" t="s">
        <v>23</v>
      </c>
      <c r="B38" s="111">
        <v>27.906976744186046</v>
      </c>
    </row>
    <row r="39" spans="1:2" x14ac:dyDescent="0.25">
      <c r="A39" s="110" t="s">
        <v>13</v>
      </c>
      <c r="B39" s="111">
        <v>34.042553191489361</v>
      </c>
    </row>
    <row r="40" spans="1:2" x14ac:dyDescent="0.25">
      <c r="A40" s="110" t="s">
        <v>14</v>
      </c>
      <c r="B40" s="111">
        <v>73.417721518987335</v>
      </c>
    </row>
    <row r="41" spans="1:2" x14ac:dyDescent="0.25">
      <c r="A41" s="110" t="s">
        <v>64</v>
      </c>
      <c r="B41" s="111">
        <v>61.67664670658683</v>
      </c>
    </row>
    <row r="42" spans="1:2" x14ac:dyDescent="0.25">
      <c r="A42" s="110" t="s">
        <v>65</v>
      </c>
      <c r="B42" s="111">
        <v>85.029069767441854</v>
      </c>
    </row>
    <row r="43" spans="1:2" x14ac:dyDescent="0.25">
      <c r="A43" s="110" t="s">
        <v>66</v>
      </c>
      <c r="B43" s="111">
        <v>60.714285714285715</v>
      </c>
    </row>
    <row r="44" spans="1:2" x14ac:dyDescent="0.25">
      <c r="A44" s="110" t="s">
        <v>15</v>
      </c>
      <c r="B44" s="111">
        <v>66.774716369529983</v>
      </c>
    </row>
    <row r="45" spans="1:2" x14ac:dyDescent="0.25">
      <c r="A45" s="110" t="s">
        <v>16</v>
      </c>
      <c r="B45" s="111">
        <v>64.397905759162299</v>
      </c>
    </row>
    <row r="46" spans="1:2" x14ac:dyDescent="0.25">
      <c r="A46" s="110" t="s">
        <v>17</v>
      </c>
      <c r="B46" s="111">
        <v>31.958762886597938</v>
      </c>
    </row>
    <row r="47" spans="1:2" x14ac:dyDescent="0.25">
      <c r="A47" s="110" t="s">
        <v>24</v>
      </c>
      <c r="B47" s="111">
        <v>52.197802197802197</v>
      </c>
    </row>
    <row r="51" spans="1:2" ht="13" x14ac:dyDescent="0.3">
      <c r="A51" s="112" t="s">
        <v>158</v>
      </c>
      <c r="B51" s="106" t="s">
        <v>165</v>
      </c>
    </row>
    <row r="52" spans="1:2" x14ac:dyDescent="0.25">
      <c r="A52" s="113" t="s">
        <v>74</v>
      </c>
      <c r="B52" s="114">
        <v>53.695324283559579</v>
      </c>
    </row>
    <row r="53" spans="1:2" x14ac:dyDescent="0.25">
      <c r="A53" s="110" t="s">
        <v>75</v>
      </c>
      <c r="B53" s="114">
        <v>54.909983633387888</v>
      </c>
    </row>
    <row r="54" spans="1:2" x14ac:dyDescent="0.25">
      <c r="A54" s="110" t="s">
        <v>76</v>
      </c>
      <c r="B54" s="114">
        <v>61.47473073736537</v>
      </c>
    </row>
    <row r="55" spans="1:2" x14ac:dyDescent="0.25">
      <c r="A55" s="110" t="s">
        <v>77</v>
      </c>
      <c r="B55" s="114">
        <v>56.971904266389181</v>
      </c>
    </row>
    <row r="56" spans="1:2" x14ac:dyDescent="0.25">
      <c r="A56" s="110" t="s">
        <v>78</v>
      </c>
      <c r="B56" s="114">
        <v>45.971731448763251</v>
      </c>
    </row>
    <row r="57" spans="1:2" x14ac:dyDescent="0.25">
      <c r="A57" s="110" t="s">
        <v>79</v>
      </c>
      <c r="B57" s="114">
        <v>67.833981841763944</v>
      </c>
    </row>
    <row r="60" spans="1:2" ht="13" x14ac:dyDescent="0.3">
      <c r="A60" s="109"/>
    </row>
    <row r="61" spans="1:2" ht="13" x14ac:dyDescent="0.3">
      <c r="B61" s="106" t="s">
        <v>165</v>
      </c>
    </row>
    <row r="62" spans="1:2" ht="13" x14ac:dyDescent="0.3">
      <c r="A62" s="109" t="s">
        <v>159</v>
      </c>
      <c r="B62" s="114">
        <v>57.953671253953331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N217" sqref="N217"/>
    </sheetView>
  </sheetViews>
  <sheetFormatPr defaultRowHeight="12.5" x14ac:dyDescent="0.25"/>
  <cols>
    <col min="1" max="1" width="23.0703125" style="107" customWidth="1"/>
    <col min="2" max="256" width="8.7109375" style="107"/>
    <col min="257" max="257" width="23.0703125" style="107" customWidth="1"/>
    <col min="258" max="512" width="8.7109375" style="107"/>
    <col min="513" max="513" width="23.0703125" style="107" customWidth="1"/>
    <col min="514" max="768" width="8.7109375" style="107"/>
    <col min="769" max="769" width="23.0703125" style="107" customWidth="1"/>
    <col min="770" max="1024" width="8.7109375" style="107"/>
    <col min="1025" max="1025" width="23.0703125" style="107" customWidth="1"/>
    <col min="1026" max="1280" width="8.7109375" style="107"/>
    <col min="1281" max="1281" width="23.0703125" style="107" customWidth="1"/>
    <col min="1282" max="1536" width="8.7109375" style="107"/>
    <col min="1537" max="1537" width="23.0703125" style="107" customWidth="1"/>
    <col min="1538" max="1792" width="8.7109375" style="107"/>
    <col min="1793" max="1793" width="23.0703125" style="107" customWidth="1"/>
    <col min="1794" max="2048" width="8.7109375" style="107"/>
    <col min="2049" max="2049" width="23.0703125" style="107" customWidth="1"/>
    <col min="2050" max="2304" width="8.7109375" style="107"/>
    <col min="2305" max="2305" width="23.0703125" style="107" customWidth="1"/>
    <col min="2306" max="2560" width="8.7109375" style="107"/>
    <col min="2561" max="2561" width="23.0703125" style="107" customWidth="1"/>
    <col min="2562" max="2816" width="8.7109375" style="107"/>
    <col min="2817" max="2817" width="23.0703125" style="107" customWidth="1"/>
    <col min="2818" max="3072" width="8.7109375" style="107"/>
    <col min="3073" max="3073" width="23.0703125" style="107" customWidth="1"/>
    <col min="3074" max="3328" width="8.7109375" style="107"/>
    <col min="3329" max="3329" width="23.0703125" style="107" customWidth="1"/>
    <col min="3330" max="3584" width="8.7109375" style="107"/>
    <col min="3585" max="3585" width="23.0703125" style="107" customWidth="1"/>
    <col min="3586" max="3840" width="8.7109375" style="107"/>
    <col min="3841" max="3841" width="23.0703125" style="107" customWidth="1"/>
    <col min="3842" max="4096" width="8.7109375" style="107"/>
    <col min="4097" max="4097" width="23.0703125" style="107" customWidth="1"/>
    <col min="4098" max="4352" width="8.7109375" style="107"/>
    <col min="4353" max="4353" width="23.0703125" style="107" customWidth="1"/>
    <col min="4354" max="4608" width="8.7109375" style="107"/>
    <col min="4609" max="4609" width="23.0703125" style="107" customWidth="1"/>
    <col min="4610" max="4864" width="8.7109375" style="107"/>
    <col min="4865" max="4865" width="23.0703125" style="107" customWidth="1"/>
    <col min="4866" max="5120" width="8.7109375" style="107"/>
    <col min="5121" max="5121" width="23.0703125" style="107" customWidth="1"/>
    <col min="5122" max="5376" width="8.7109375" style="107"/>
    <col min="5377" max="5377" width="23.0703125" style="107" customWidth="1"/>
    <col min="5378" max="5632" width="8.7109375" style="107"/>
    <col min="5633" max="5633" width="23.0703125" style="107" customWidth="1"/>
    <col min="5634" max="5888" width="8.7109375" style="107"/>
    <col min="5889" max="5889" width="23.0703125" style="107" customWidth="1"/>
    <col min="5890" max="6144" width="8.7109375" style="107"/>
    <col min="6145" max="6145" width="23.0703125" style="107" customWidth="1"/>
    <col min="6146" max="6400" width="8.7109375" style="107"/>
    <col min="6401" max="6401" width="23.0703125" style="107" customWidth="1"/>
    <col min="6402" max="6656" width="8.7109375" style="107"/>
    <col min="6657" max="6657" width="23.0703125" style="107" customWidth="1"/>
    <col min="6658" max="6912" width="8.7109375" style="107"/>
    <col min="6913" max="6913" width="23.0703125" style="107" customWidth="1"/>
    <col min="6914" max="7168" width="8.7109375" style="107"/>
    <col min="7169" max="7169" width="23.0703125" style="107" customWidth="1"/>
    <col min="7170" max="7424" width="8.7109375" style="107"/>
    <col min="7425" max="7425" width="23.0703125" style="107" customWidth="1"/>
    <col min="7426" max="7680" width="8.7109375" style="107"/>
    <col min="7681" max="7681" width="23.0703125" style="107" customWidth="1"/>
    <col min="7682" max="7936" width="8.7109375" style="107"/>
    <col min="7937" max="7937" width="23.0703125" style="107" customWidth="1"/>
    <col min="7938" max="8192" width="8.7109375" style="107"/>
    <col min="8193" max="8193" width="23.0703125" style="107" customWidth="1"/>
    <col min="8194" max="8448" width="8.7109375" style="107"/>
    <col min="8449" max="8449" width="23.0703125" style="107" customWidth="1"/>
    <col min="8450" max="8704" width="8.7109375" style="107"/>
    <col min="8705" max="8705" width="23.0703125" style="107" customWidth="1"/>
    <col min="8706" max="8960" width="8.7109375" style="107"/>
    <col min="8961" max="8961" width="23.0703125" style="107" customWidth="1"/>
    <col min="8962" max="9216" width="8.7109375" style="107"/>
    <col min="9217" max="9217" width="23.0703125" style="107" customWidth="1"/>
    <col min="9218" max="9472" width="8.7109375" style="107"/>
    <col min="9473" max="9473" width="23.0703125" style="107" customWidth="1"/>
    <col min="9474" max="9728" width="8.7109375" style="107"/>
    <col min="9729" max="9729" width="23.0703125" style="107" customWidth="1"/>
    <col min="9730" max="9984" width="8.7109375" style="107"/>
    <col min="9985" max="9985" width="23.0703125" style="107" customWidth="1"/>
    <col min="9986" max="10240" width="8.7109375" style="107"/>
    <col min="10241" max="10241" width="23.0703125" style="107" customWidth="1"/>
    <col min="10242" max="10496" width="8.7109375" style="107"/>
    <col min="10497" max="10497" width="23.0703125" style="107" customWidth="1"/>
    <col min="10498" max="10752" width="8.7109375" style="107"/>
    <col min="10753" max="10753" width="23.0703125" style="107" customWidth="1"/>
    <col min="10754" max="11008" width="8.7109375" style="107"/>
    <col min="11009" max="11009" width="23.0703125" style="107" customWidth="1"/>
    <col min="11010" max="11264" width="8.7109375" style="107"/>
    <col min="11265" max="11265" width="23.0703125" style="107" customWidth="1"/>
    <col min="11266" max="11520" width="8.7109375" style="107"/>
    <col min="11521" max="11521" width="23.0703125" style="107" customWidth="1"/>
    <col min="11522" max="11776" width="8.7109375" style="107"/>
    <col min="11777" max="11777" width="23.0703125" style="107" customWidth="1"/>
    <col min="11778" max="12032" width="8.7109375" style="107"/>
    <col min="12033" max="12033" width="23.0703125" style="107" customWidth="1"/>
    <col min="12034" max="12288" width="8.7109375" style="107"/>
    <col min="12289" max="12289" width="23.0703125" style="107" customWidth="1"/>
    <col min="12290" max="12544" width="8.7109375" style="107"/>
    <col min="12545" max="12545" width="23.0703125" style="107" customWidth="1"/>
    <col min="12546" max="12800" width="8.7109375" style="107"/>
    <col min="12801" max="12801" width="23.0703125" style="107" customWidth="1"/>
    <col min="12802" max="13056" width="8.7109375" style="107"/>
    <col min="13057" max="13057" width="23.0703125" style="107" customWidth="1"/>
    <col min="13058" max="13312" width="8.7109375" style="107"/>
    <col min="13313" max="13313" width="23.0703125" style="107" customWidth="1"/>
    <col min="13314" max="13568" width="8.7109375" style="107"/>
    <col min="13569" max="13569" width="23.0703125" style="107" customWidth="1"/>
    <col min="13570" max="13824" width="8.7109375" style="107"/>
    <col min="13825" max="13825" width="23.0703125" style="107" customWidth="1"/>
    <col min="13826" max="14080" width="8.7109375" style="107"/>
    <col min="14081" max="14081" width="23.0703125" style="107" customWidth="1"/>
    <col min="14082" max="14336" width="8.7109375" style="107"/>
    <col min="14337" max="14337" width="23.0703125" style="107" customWidth="1"/>
    <col min="14338" max="14592" width="8.7109375" style="107"/>
    <col min="14593" max="14593" width="23.0703125" style="107" customWidth="1"/>
    <col min="14594" max="14848" width="8.7109375" style="107"/>
    <col min="14849" max="14849" width="23.0703125" style="107" customWidth="1"/>
    <col min="14850" max="15104" width="8.7109375" style="107"/>
    <col min="15105" max="15105" width="23.0703125" style="107" customWidth="1"/>
    <col min="15106" max="15360" width="8.7109375" style="107"/>
    <col min="15361" max="15361" width="23.0703125" style="107" customWidth="1"/>
    <col min="15362" max="15616" width="8.7109375" style="107"/>
    <col min="15617" max="15617" width="23.0703125" style="107" customWidth="1"/>
    <col min="15618" max="15872" width="8.7109375" style="107"/>
    <col min="15873" max="15873" width="23.0703125" style="107" customWidth="1"/>
    <col min="15874" max="16128" width="8.7109375" style="107"/>
    <col min="16129" max="16129" width="23.0703125" style="107" customWidth="1"/>
    <col min="16130" max="16384" width="8.7109375" style="107"/>
  </cols>
  <sheetData>
    <row r="1" spans="1:10" ht="14" x14ac:dyDescent="0.3">
      <c r="A1" s="116" t="s">
        <v>166</v>
      </c>
    </row>
    <row r="2" spans="1:10" x14ac:dyDescent="0.25">
      <c r="A2" s="115" t="s">
        <v>167</v>
      </c>
    </row>
    <row r="3" spans="1:10" ht="13" x14ac:dyDescent="0.3">
      <c r="A3" s="106" t="s">
        <v>168</v>
      </c>
    </row>
    <row r="6" spans="1:10" ht="13" x14ac:dyDescent="0.3">
      <c r="B6" s="106" t="s">
        <v>168</v>
      </c>
    </row>
    <row r="7" spans="1:10" ht="13" x14ac:dyDescent="0.3">
      <c r="A7" s="109" t="s">
        <v>157</v>
      </c>
      <c r="B7" s="117" t="s">
        <v>169</v>
      </c>
      <c r="C7" s="117" t="s">
        <v>170</v>
      </c>
      <c r="D7" s="117" t="s">
        <v>171</v>
      </c>
      <c r="E7" s="117" t="s">
        <v>172</v>
      </c>
      <c r="F7" s="117" t="s">
        <v>173</v>
      </c>
      <c r="G7" s="117" t="s">
        <v>174</v>
      </c>
      <c r="H7" s="117" t="s">
        <v>175</v>
      </c>
      <c r="I7" s="117" t="s">
        <v>176</v>
      </c>
      <c r="J7" s="117" t="s">
        <v>177</v>
      </c>
    </row>
    <row r="8" spans="1:10" x14ac:dyDescent="0.25">
      <c r="A8" s="110" t="s">
        <v>42</v>
      </c>
      <c r="B8" s="111">
        <v>28.571428571428573</v>
      </c>
      <c r="C8" s="111">
        <v>46.218487394957982</v>
      </c>
      <c r="D8" s="111">
        <v>42.016806722689076</v>
      </c>
      <c r="E8" s="111">
        <v>21.008403361344538</v>
      </c>
      <c r="F8" s="111">
        <v>40.336134453781511</v>
      </c>
      <c r="G8" s="111">
        <v>34.45378151260504</v>
      </c>
      <c r="H8" s="111">
        <v>10.92436974789916</v>
      </c>
      <c r="I8" s="111">
        <v>36.134453781512605</v>
      </c>
      <c r="J8" s="111">
        <v>7.5630252100840334</v>
      </c>
    </row>
    <row r="9" spans="1:10" x14ac:dyDescent="0.25">
      <c r="A9" s="110" t="s">
        <v>43</v>
      </c>
      <c r="B9" s="111">
        <v>28.485757121439281</v>
      </c>
      <c r="C9" s="111">
        <v>50.974512743628189</v>
      </c>
      <c r="D9" s="111">
        <v>28.18590704647676</v>
      </c>
      <c r="E9" s="111">
        <v>45.57721139430285</v>
      </c>
      <c r="F9" s="111">
        <v>45.72713643178411</v>
      </c>
      <c r="G9" s="111">
        <v>22.038980509745127</v>
      </c>
      <c r="H9" s="111">
        <v>4.6476761619190405</v>
      </c>
      <c r="I9" s="111">
        <v>35.832083958020988</v>
      </c>
      <c r="J9" s="111">
        <v>12.893553223388306</v>
      </c>
    </row>
    <row r="10" spans="1:10" x14ac:dyDescent="0.25">
      <c r="A10" s="110" t="s">
        <v>44</v>
      </c>
      <c r="B10" s="111">
        <v>28.484848484848484</v>
      </c>
      <c r="C10" s="111">
        <v>62.424242424242422</v>
      </c>
      <c r="D10" s="111">
        <v>35.757575757575758</v>
      </c>
      <c r="E10" s="111">
        <v>27.878787878787879</v>
      </c>
      <c r="F10" s="111">
        <v>41.81818181818182</v>
      </c>
      <c r="G10" s="111">
        <v>30.90909090909091</v>
      </c>
      <c r="H10" s="111">
        <v>12.121212121212121</v>
      </c>
      <c r="I10" s="111">
        <v>35.757575757575758</v>
      </c>
      <c r="J10" s="111">
        <v>4.8484848484848486</v>
      </c>
    </row>
    <row r="11" spans="1:10" x14ac:dyDescent="0.25">
      <c r="A11" s="110" t="s">
        <v>68</v>
      </c>
      <c r="B11" s="111">
        <v>34.134615384615387</v>
      </c>
      <c r="C11" s="111">
        <v>48.878205128205131</v>
      </c>
      <c r="D11" s="111">
        <v>22.596153846153847</v>
      </c>
      <c r="E11" s="111">
        <v>54.006410256410255</v>
      </c>
      <c r="F11" s="111">
        <v>44.551282051282051</v>
      </c>
      <c r="G11" s="111">
        <v>24.679487179487179</v>
      </c>
      <c r="H11" s="111">
        <v>4.4871794871794872</v>
      </c>
      <c r="I11" s="111">
        <v>32.852564102564102</v>
      </c>
      <c r="J11" s="111">
        <v>10.737179487179487</v>
      </c>
    </row>
    <row r="12" spans="1:10" x14ac:dyDescent="0.25">
      <c r="A12" s="110" t="s">
        <v>2</v>
      </c>
      <c r="B12" s="111">
        <v>33.333333333333336</v>
      </c>
      <c r="C12" s="111">
        <v>43.434343434343432</v>
      </c>
      <c r="D12" s="111">
        <v>56.565656565656568</v>
      </c>
      <c r="E12" s="111">
        <v>17.171717171717173</v>
      </c>
      <c r="F12" s="111">
        <v>34.343434343434346</v>
      </c>
      <c r="G12" s="111">
        <v>20.202020202020201</v>
      </c>
      <c r="H12" s="111">
        <v>9.0909090909090917</v>
      </c>
      <c r="I12" s="111">
        <v>37.373737373737377</v>
      </c>
      <c r="J12" s="111">
        <v>8.0808080808080813</v>
      </c>
    </row>
    <row r="13" spans="1:10" x14ac:dyDescent="0.25">
      <c r="A13" s="110" t="s">
        <v>3</v>
      </c>
      <c r="B13" s="111">
        <v>27.906976744186046</v>
      </c>
      <c r="C13" s="111">
        <v>48.837209302325583</v>
      </c>
      <c r="D13" s="111">
        <v>42.524916943521596</v>
      </c>
      <c r="E13" s="111">
        <v>21.926910299003321</v>
      </c>
      <c r="F13" s="111">
        <v>51.162790697674417</v>
      </c>
      <c r="G13" s="111">
        <v>23.920265780730897</v>
      </c>
      <c r="H13" s="111">
        <v>9.6345514950166109</v>
      </c>
      <c r="I13" s="111">
        <v>35.215946843853821</v>
      </c>
      <c r="J13" s="111">
        <v>6.6445182724252492</v>
      </c>
    </row>
    <row r="14" spans="1:10" x14ac:dyDescent="0.25">
      <c r="A14" s="110" t="s">
        <v>4</v>
      </c>
      <c r="B14" s="111">
        <v>27.666666666666668</v>
      </c>
      <c r="C14" s="111">
        <v>47.166666666666664</v>
      </c>
      <c r="D14" s="111">
        <v>34.5</v>
      </c>
      <c r="E14" s="111">
        <v>27.333333333333332</v>
      </c>
      <c r="F14" s="111">
        <v>48.333333333333336</v>
      </c>
      <c r="G14" s="111">
        <v>31.166666666666668</v>
      </c>
      <c r="H14" s="111">
        <v>6</v>
      </c>
      <c r="I14" s="111">
        <v>31.666666666666668</v>
      </c>
      <c r="J14" s="111">
        <v>17.333333333333332</v>
      </c>
    </row>
    <row r="15" spans="1:10" x14ac:dyDescent="0.25">
      <c r="A15" s="110" t="s">
        <v>46</v>
      </c>
      <c r="B15" s="111">
        <v>31.081081081081081</v>
      </c>
      <c r="C15" s="111">
        <v>40.54054054054054</v>
      </c>
      <c r="D15" s="111">
        <v>50.675675675675677</v>
      </c>
      <c r="E15" s="111">
        <v>8.1081081081081088</v>
      </c>
      <c r="F15" s="111">
        <v>30.405405405405407</v>
      </c>
      <c r="G15" s="111">
        <v>27.027027027027028</v>
      </c>
      <c r="H15" s="111">
        <v>12.162162162162161</v>
      </c>
      <c r="I15" s="111">
        <v>29.72972972972973</v>
      </c>
      <c r="J15" s="111">
        <v>16.891891891891891</v>
      </c>
    </row>
    <row r="16" spans="1:10" x14ac:dyDescent="0.25">
      <c r="A16" s="110" t="s">
        <v>5</v>
      </c>
      <c r="B16" s="111">
        <v>27.076923076923077</v>
      </c>
      <c r="C16" s="111">
        <v>48.92307692307692</v>
      </c>
      <c r="D16" s="111">
        <v>26.615384615384617</v>
      </c>
      <c r="E16" s="111">
        <v>26.76923076923077</v>
      </c>
      <c r="F16" s="111">
        <v>48.615384615384613</v>
      </c>
      <c r="G16" s="111">
        <v>36</v>
      </c>
      <c r="H16" s="111">
        <v>4.615384615384615</v>
      </c>
      <c r="I16" s="111">
        <v>33.230769230769234</v>
      </c>
      <c r="J16" s="111">
        <v>21.23076923076923</v>
      </c>
    </row>
    <row r="17" spans="1:10" x14ac:dyDescent="0.25">
      <c r="A17" s="110" t="s">
        <v>48</v>
      </c>
      <c r="B17" s="111">
        <v>29.62962962962963</v>
      </c>
      <c r="C17" s="111">
        <v>39.25925925925926</v>
      </c>
      <c r="D17" s="111">
        <v>30.37037037037037</v>
      </c>
      <c r="E17" s="111">
        <v>12.592592592592593</v>
      </c>
      <c r="F17" s="111">
        <v>52.592592592592595</v>
      </c>
      <c r="G17" s="111">
        <v>37.037037037037038</v>
      </c>
      <c r="H17" s="111">
        <v>8.1481481481481488</v>
      </c>
      <c r="I17" s="111">
        <v>40.74074074074074</v>
      </c>
      <c r="J17" s="111">
        <v>20</v>
      </c>
    </row>
    <row r="18" spans="1:10" x14ac:dyDescent="0.25">
      <c r="A18" s="110" t="s">
        <v>49</v>
      </c>
      <c r="B18" s="111">
        <v>27.61904761904762</v>
      </c>
      <c r="C18" s="111">
        <v>45.714285714285715</v>
      </c>
      <c r="D18" s="111">
        <v>39.047619047619051</v>
      </c>
      <c r="E18" s="111">
        <v>8.5714285714285712</v>
      </c>
      <c r="F18" s="111">
        <v>32.38095238095238</v>
      </c>
      <c r="G18" s="111">
        <v>34.285714285714285</v>
      </c>
      <c r="H18" s="111">
        <v>3.8095238095238093</v>
      </c>
      <c r="I18" s="111">
        <v>39.047619047619051</v>
      </c>
      <c r="J18" s="111">
        <v>22.857142857142858</v>
      </c>
    </row>
    <row r="19" spans="1:10" x14ac:dyDescent="0.25">
      <c r="A19" s="110" t="s">
        <v>50</v>
      </c>
      <c r="B19" s="111">
        <v>28.350515463917525</v>
      </c>
      <c r="C19" s="111">
        <v>42.268041237113401</v>
      </c>
      <c r="D19" s="111">
        <v>41.237113402061858</v>
      </c>
      <c r="E19" s="111">
        <v>10.309278350515465</v>
      </c>
      <c r="F19" s="111">
        <v>49.484536082474229</v>
      </c>
      <c r="G19" s="111">
        <v>28.350515463917525</v>
      </c>
      <c r="H19" s="111">
        <v>8.2474226804123703</v>
      </c>
      <c r="I19" s="111">
        <v>32.47422680412371</v>
      </c>
      <c r="J19" s="111">
        <v>24.742268041237114</v>
      </c>
    </row>
    <row r="20" spans="1:10" x14ac:dyDescent="0.25">
      <c r="A20" s="110" t="s">
        <v>69</v>
      </c>
      <c r="B20" s="111">
        <v>27.714285714285715</v>
      </c>
      <c r="C20" s="111">
        <v>42.571428571428569</v>
      </c>
      <c r="D20" s="111">
        <v>22.571428571428573</v>
      </c>
      <c r="E20" s="111">
        <v>14.285714285714286</v>
      </c>
      <c r="F20" s="111">
        <v>44</v>
      </c>
      <c r="G20" s="111">
        <v>47.142857142857146</v>
      </c>
      <c r="H20" s="111">
        <v>10</v>
      </c>
      <c r="I20" s="111">
        <v>40.571428571428569</v>
      </c>
      <c r="J20" s="111">
        <v>21.142857142857142</v>
      </c>
    </row>
    <row r="21" spans="1:10" x14ac:dyDescent="0.25">
      <c r="A21" s="110" t="s">
        <v>6</v>
      </c>
      <c r="B21" s="111">
        <v>32.904884318766065</v>
      </c>
      <c r="C21" s="111">
        <v>47.300771208226223</v>
      </c>
      <c r="D21" s="111">
        <v>26.735218508997431</v>
      </c>
      <c r="E21" s="111">
        <v>22.36503856041131</v>
      </c>
      <c r="F21" s="111">
        <v>46.786632390745503</v>
      </c>
      <c r="G21" s="111">
        <v>31.876606683804628</v>
      </c>
      <c r="H21" s="111">
        <v>6.4267352185089974</v>
      </c>
      <c r="I21" s="111">
        <v>32.133676092544988</v>
      </c>
      <c r="J21" s="111">
        <v>22.879177377892031</v>
      </c>
    </row>
    <row r="22" spans="1:10" x14ac:dyDescent="0.25">
      <c r="A22" s="110" t="s">
        <v>70</v>
      </c>
      <c r="B22" s="111">
        <v>27.615062761506277</v>
      </c>
      <c r="C22" s="111">
        <v>36.401673640167367</v>
      </c>
      <c r="D22" s="111">
        <v>25.94142259414226</v>
      </c>
      <c r="E22" s="111">
        <v>11.297071129707113</v>
      </c>
      <c r="F22" s="111">
        <v>45.606694560669453</v>
      </c>
      <c r="G22" s="111">
        <v>35.564853556485353</v>
      </c>
      <c r="H22" s="111">
        <v>12.133891213389122</v>
      </c>
      <c r="I22" s="111">
        <v>35.564853556485353</v>
      </c>
      <c r="J22" s="111">
        <v>23.84937238493724</v>
      </c>
    </row>
    <row r="23" spans="1:10" x14ac:dyDescent="0.25">
      <c r="A23" s="110" t="s">
        <v>7</v>
      </c>
      <c r="B23" s="111">
        <v>25.595238095238095</v>
      </c>
      <c r="C23" s="111">
        <v>32.738095238095241</v>
      </c>
      <c r="D23" s="111">
        <v>52.976190476190474</v>
      </c>
      <c r="E23" s="111">
        <v>7.7380952380952381</v>
      </c>
      <c r="F23" s="111">
        <v>39.285714285714285</v>
      </c>
      <c r="G23" s="111">
        <v>36.904761904761905</v>
      </c>
      <c r="H23" s="111">
        <v>5.9523809523809526</v>
      </c>
      <c r="I23" s="111">
        <v>45.833333333333336</v>
      </c>
      <c r="J23" s="111">
        <v>13.69047619047619</v>
      </c>
    </row>
    <row r="24" spans="1:10" x14ac:dyDescent="0.25">
      <c r="A24" s="110" t="s">
        <v>22</v>
      </c>
      <c r="B24" s="111">
        <v>23.163841807909606</v>
      </c>
      <c r="C24" s="111">
        <v>41.807909604519772</v>
      </c>
      <c r="D24" s="111">
        <v>39.548022598870055</v>
      </c>
      <c r="E24" s="111">
        <v>16.384180790960453</v>
      </c>
      <c r="F24" s="111">
        <v>52.542372881355931</v>
      </c>
      <c r="G24" s="111">
        <v>23.163841807909606</v>
      </c>
      <c r="H24" s="111">
        <v>14.124293785310735</v>
      </c>
      <c r="I24" s="111">
        <v>40.112994350282484</v>
      </c>
      <c r="J24" s="111">
        <v>20.903954802259886</v>
      </c>
    </row>
    <row r="25" spans="1:10" x14ac:dyDescent="0.25">
      <c r="A25" s="110" t="s">
        <v>8</v>
      </c>
      <c r="B25" s="111">
        <v>28.893058161350844</v>
      </c>
      <c r="C25" s="111">
        <v>47.27954971857411</v>
      </c>
      <c r="D25" s="111">
        <v>31.332082551594748</v>
      </c>
      <c r="E25" s="111">
        <v>18.198874296435271</v>
      </c>
      <c r="F25" s="111">
        <v>47.091932457786115</v>
      </c>
      <c r="G25" s="111">
        <v>34.333958724202624</v>
      </c>
      <c r="H25" s="111">
        <v>6.0037523452157595</v>
      </c>
      <c r="I25" s="111">
        <v>35.272045028142593</v>
      </c>
      <c r="J25" s="111">
        <v>20.45028142589118</v>
      </c>
    </row>
    <row r="26" spans="1:10" x14ac:dyDescent="0.25">
      <c r="A26" s="110" t="s">
        <v>9</v>
      </c>
      <c r="B26" s="111">
        <v>25.572519083969464</v>
      </c>
      <c r="C26" s="111">
        <v>49.618320610687022</v>
      </c>
      <c r="D26" s="111">
        <v>33.206106870229007</v>
      </c>
      <c r="E26" s="111">
        <v>43.893129770992367</v>
      </c>
      <c r="F26" s="111">
        <v>58.396946564885496</v>
      </c>
      <c r="G26" s="111">
        <v>22.519083969465647</v>
      </c>
      <c r="H26" s="111">
        <v>4.9618320610687023</v>
      </c>
      <c r="I26" s="111">
        <v>32.44274809160305</v>
      </c>
      <c r="J26" s="111">
        <v>6.8702290076335881</v>
      </c>
    </row>
    <row r="27" spans="1:10" x14ac:dyDescent="0.25">
      <c r="A27" s="110" t="s">
        <v>54</v>
      </c>
      <c r="B27" s="111">
        <v>23.214285714285715</v>
      </c>
      <c r="C27" s="111">
        <v>40.476190476190474</v>
      </c>
      <c r="D27" s="111">
        <v>45.833333333333336</v>
      </c>
      <c r="E27" s="111">
        <v>29.166666666666668</v>
      </c>
      <c r="F27" s="111">
        <v>43.452380952380949</v>
      </c>
      <c r="G27" s="111">
        <v>24.404761904761905</v>
      </c>
      <c r="H27" s="111">
        <v>11.904761904761905</v>
      </c>
      <c r="I27" s="111">
        <v>32.738095238095241</v>
      </c>
      <c r="J27" s="111">
        <v>8.3333333333333339</v>
      </c>
    </row>
    <row r="28" spans="1:10" x14ac:dyDescent="0.25">
      <c r="A28" s="110" t="s">
        <v>71</v>
      </c>
      <c r="B28" s="111">
        <v>27.688787185354691</v>
      </c>
      <c r="C28" s="111">
        <v>41.189931350114414</v>
      </c>
      <c r="D28" s="111">
        <v>34.096109839816933</v>
      </c>
      <c r="E28" s="111">
        <v>13.729977116704806</v>
      </c>
      <c r="F28" s="111">
        <v>46.224256292906176</v>
      </c>
      <c r="G28" s="111">
        <v>29.519450800915333</v>
      </c>
      <c r="H28" s="111">
        <v>8.4668192219679632</v>
      </c>
      <c r="I28" s="111">
        <v>38.672768878718536</v>
      </c>
      <c r="J28" s="111">
        <v>20.366132723112127</v>
      </c>
    </row>
    <row r="29" spans="1:10" x14ac:dyDescent="0.25">
      <c r="A29" s="110" t="s">
        <v>10</v>
      </c>
      <c r="B29" s="111">
        <v>19.17808219178082</v>
      </c>
      <c r="C29" s="111">
        <v>50.684931506849317</v>
      </c>
      <c r="D29" s="111">
        <v>30.136986301369863</v>
      </c>
      <c r="E29" s="111">
        <v>16.438356164383563</v>
      </c>
      <c r="F29" s="111">
        <v>57.990867579908674</v>
      </c>
      <c r="G29" s="111">
        <v>25.114155251141554</v>
      </c>
      <c r="H29" s="111">
        <v>14.155251141552512</v>
      </c>
      <c r="I29" s="111">
        <v>47.488584474885847</v>
      </c>
      <c r="J29" s="111">
        <v>16.438356164383563</v>
      </c>
    </row>
    <row r="30" spans="1:10" x14ac:dyDescent="0.25">
      <c r="A30" s="110" t="s">
        <v>56</v>
      </c>
      <c r="B30" s="111">
        <v>25.139664804469273</v>
      </c>
      <c r="C30" s="111">
        <v>39.66480446927374</v>
      </c>
      <c r="D30" s="111">
        <v>29.050279329608937</v>
      </c>
      <c r="E30" s="111">
        <v>10.05586592178771</v>
      </c>
      <c r="F30" s="111">
        <v>46.368715083798882</v>
      </c>
      <c r="G30" s="111">
        <v>41.899441340782126</v>
      </c>
      <c r="H30" s="111">
        <v>10.05586592178771</v>
      </c>
      <c r="I30" s="111">
        <v>41.340782122905026</v>
      </c>
      <c r="J30" s="111">
        <v>21.787709497206706</v>
      </c>
    </row>
    <row r="31" spans="1:10" x14ac:dyDescent="0.25">
      <c r="A31" s="110" t="s">
        <v>11</v>
      </c>
      <c r="B31" s="111">
        <v>30.516431924882628</v>
      </c>
      <c r="C31" s="111">
        <v>49.608763693270738</v>
      </c>
      <c r="D31" s="111">
        <v>20.500782472613459</v>
      </c>
      <c r="E31" s="111">
        <v>24.88262910798122</v>
      </c>
      <c r="F31" s="111">
        <v>49.608763693270738</v>
      </c>
      <c r="G31" s="111">
        <v>36.46322378716745</v>
      </c>
      <c r="H31" s="111">
        <v>6.2597809076682314</v>
      </c>
      <c r="I31" s="111">
        <v>36.46322378716745</v>
      </c>
      <c r="J31" s="111">
        <v>23.787167449139279</v>
      </c>
    </row>
    <row r="32" spans="1:10" x14ac:dyDescent="0.25">
      <c r="A32" s="110" t="s">
        <v>58</v>
      </c>
      <c r="B32" s="111">
        <v>28.94736842105263</v>
      </c>
      <c r="C32" s="111">
        <v>35.964912280701753</v>
      </c>
      <c r="D32" s="111">
        <v>42.982456140350877</v>
      </c>
      <c r="E32" s="111">
        <v>14.035087719298245</v>
      </c>
      <c r="F32" s="111">
        <v>40.350877192982459</v>
      </c>
      <c r="G32" s="111">
        <v>28.94736842105263</v>
      </c>
      <c r="H32" s="111">
        <v>12.280701754385966</v>
      </c>
      <c r="I32" s="111">
        <v>40.350877192982459</v>
      </c>
      <c r="J32" s="111">
        <v>15.789473684210526</v>
      </c>
    </row>
    <row r="33" spans="1:10" x14ac:dyDescent="0.25">
      <c r="A33" s="110" t="s">
        <v>59</v>
      </c>
      <c r="B33" s="111">
        <v>29.37062937062937</v>
      </c>
      <c r="C33" s="111">
        <v>39.16083916083916</v>
      </c>
      <c r="D33" s="111">
        <v>29.37062937062937</v>
      </c>
      <c r="E33" s="111">
        <v>23.076923076923077</v>
      </c>
      <c r="F33" s="111">
        <v>48.951048951048953</v>
      </c>
      <c r="G33" s="111">
        <v>36.363636363636367</v>
      </c>
      <c r="H33" s="111">
        <v>5.5944055944055942</v>
      </c>
      <c r="I33" s="111">
        <v>26.573426573426573</v>
      </c>
      <c r="J33" s="111">
        <v>21.678321678321677</v>
      </c>
    </row>
    <row r="34" spans="1:10" x14ac:dyDescent="0.25">
      <c r="A34" s="110" t="s">
        <v>60</v>
      </c>
      <c r="B34" s="111">
        <v>28.472222222222221</v>
      </c>
      <c r="C34" s="111">
        <v>38.194444444444443</v>
      </c>
      <c r="D34" s="111">
        <v>46.527777777777779</v>
      </c>
      <c r="E34" s="111">
        <v>21.527777777777779</v>
      </c>
      <c r="F34" s="111">
        <v>45.138888888888886</v>
      </c>
      <c r="G34" s="111">
        <v>30.555555555555557</v>
      </c>
      <c r="H34" s="111">
        <v>14.583333333333334</v>
      </c>
      <c r="I34" s="111">
        <v>33.333333333333336</v>
      </c>
      <c r="J34" s="111">
        <v>11.111111111111111</v>
      </c>
    </row>
    <row r="35" spans="1:10" x14ac:dyDescent="0.25">
      <c r="A35" s="110" t="s">
        <v>12</v>
      </c>
      <c r="B35" s="111">
        <v>25.925925925925927</v>
      </c>
      <c r="C35" s="111">
        <v>42.222222222222221</v>
      </c>
      <c r="D35" s="111">
        <v>51.851851851851855</v>
      </c>
      <c r="E35" s="111">
        <v>11.111111111111111</v>
      </c>
      <c r="F35" s="111">
        <v>34.814814814814817</v>
      </c>
      <c r="G35" s="111">
        <v>34.814814814814817</v>
      </c>
      <c r="H35" s="111">
        <v>9.6296296296296298</v>
      </c>
      <c r="I35" s="111">
        <v>31.111111111111111</v>
      </c>
      <c r="J35" s="111">
        <v>18.518518518518519</v>
      </c>
    </row>
    <row r="36" spans="1:10" x14ac:dyDescent="0.25">
      <c r="A36" s="110" t="s">
        <v>61</v>
      </c>
      <c r="B36" s="111">
        <v>29.838709677419356</v>
      </c>
      <c r="C36" s="111">
        <v>50.403225806451616</v>
      </c>
      <c r="D36" s="111">
        <v>27.419354838709676</v>
      </c>
      <c r="E36" s="111">
        <v>42.741935483870968</v>
      </c>
      <c r="F36" s="111">
        <v>57.661290322580648</v>
      </c>
      <c r="G36" s="111">
        <v>22.983870967741936</v>
      </c>
      <c r="H36" s="111">
        <v>4.032258064516129</v>
      </c>
      <c r="I36" s="111">
        <v>35.887096774193552</v>
      </c>
      <c r="J36" s="111">
        <v>3.225806451612903</v>
      </c>
    </row>
    <row r="37" spans="1:10" x14ac:dyDescent="0.25">
      <c r="A37" s="110" t="s">
        <v>62</v>
      </c>
      <c r="B37" s="111">
        <v>27.826086956521738</v>
      </c>
      <c r="C37" s="111">
        <v>42.608695652173914</v>
      </c>
      <c r="D37" s="111">
        <v>48.695652173913047</v>
      </c>
      <c r="E37" s="111">
        <v>5.2173913043478262</v>
      </c>
      <c r="F37" s="111">
        <v>40</v>
      </c>
      <c r="G37" s="111">
        <v>31.304347826086957</v>
      </c>
      <c r="H37" s="111">
        <v>15.652173913043478</v>
      </c>
      <c r="I37" s="111">
        <v>37.391304347826086</v>
      </c>
      <c r="J37" s="111">
        <v>10.434782608695652</v>
      </c>
    </row>
    <row r="38" spans="1:10" x14ac:dyDescent="0.25">
      <c r="A38" s="110" t="s">
        <v>23</v>
      </c>
      <c r="B38" s="111">
        <v>22.413793103448278</v>
      </c>
      <c r="C38" s="111">
        <v>44.540229885057471</v>
      </c>
      <c r="D38" s="111">
        <v>32.47126436781609</v>
      </c>
      <c r="E38" s="111">
        <v>27.586206896551722</v>
      </c>
      <c r="F38" s="111">
        <v>50</v>
      </c>
      <c r="G38" s="111">
        <v>30.74712643678161</v>
      </c>
      <c r="H38" s="111">
        <v>9.4827586206896548</v>
      </c>
      <c r="I38" s="111">
        <v>37.643678160919542</v>
      </c>
      <c r="J38" s="111">
        <v>22.126436781609197</v>
      </c>
    </row>
    <row r="39" spans="1:10" x14ac:dyDescent="0.25">
      <c r="A39" s="110" t="s">
        <v>13</v>
      </c>
      <c r="B39" s="111">
        <v>32.571428571428569</v>
      </c>
      <c r="C39" s="111">
        <v>48</v>
      </c>
      <c r="D39" s="111">
        <v>31.428571428571427</v>
      </c>
      <c r="E39" s="111">
        <v>20</v>
      </c>
      <c r="F39" s="111">
        <v>45.714285714285715</v>
      </c>
      <c r="G39" s="111">
        <v>29.904761904761905</v>
      </c>
      <c r="H39" s="111">
        <v>7.8095238095238093</v>
      </c>
      <c r="I39" s="111">
        <v>33.904761904761905</v>
      </c>
      <c r="J39" s="111">
        <v>16.952380952380953</v>
      </c>
    </row>
    <row r="40" spans="1:10" x14ac:dyDescent="0.25">
      <c r="A40" s="110" t="s">
        <v>14</v>
      </c>
      <c r="B40" s="111">
        <v>27.848101265822784</v>
      </c>
      <c r="C40" s="111">
        <v>50</v>
      </c>
      <c r="D40" s="111">
        <v>51.265822784810126</v>
      </c>
      <c r="E40" s="111">
        <v>41.77215189873418</v>
      </c>
      <c r="F40" s="111">
        <v>43.670886075949369</v>
      </c>
      <c r="G40" s="111">
        <v>18.9873417721519</v>
      </c>
      <c r="H40" s="111">
        <v>6.3291139240506329</v>
      </c>
      <c r="I40" s="111">
        <v>36.708860759493668</v>
      </c>
      <c r="J40" s="111">
        <v>5.0632911392405067</v>
      </c>
    </row>
    <row r="41" spans="1:10" x14ac:dyDescent="0.25">
      <c r="A41" s="110" t="s">
        <v>64</v>
      </c>
      <c r="B41" s="111">
        <v>22.754491017964071</v>
      </c>
      <c r="C41" s="111">
        <v>43.712574850299404</v>
      </c>
      <c r="D41" s="111">
        <v>45.508982035928142</v>
      </c>
      <c r="E41" s="111">
        <v>7.1856287425149699</v>
      </c>
      <c r="F41" s="111">
        <v>44.91017964071856</v>
      </c>
      <c r="G41" s="111">
        <v>33.532934131736525</v>
      </c>
      <c r="H41" s="111">
        <v>8.3832335329341312</v>
      </c>
      <c r="I41" s="111">
        <v>38.922155688622752</v>
      </c>
      <c r="J41" s="111">
        <v>16.766467065868262</v>
      </c>
    </row>
    <row r="42" spans="1:10" x14ac:dyDescent="0.25">
      <c r="A42" s="110" t="s">
        <v>65</v>
      </c>
      <c r="B42" s="111">
        <v>26.878612716763005</v>
      </c>
      <c r="C42" s="111">
        <v>48.554913294797686</v>
      </c>
      <c r="D42" s="111">
        <v>22.832369942196532</v>
      </c>
      <c r="E42" s="111">
        <v>38.005780346820806</v>
      </c>
      <c r="F42" s="111">
        <v>53.612716763005778</v>
      </c>
      <c r="G42" s="111">
        <v>30.057803468208093</v>
      </c>
      <c r="H42" s="111">
        <v>4.1907514450867049</v>
      </c>
      <c r="I42" s="111">
        <v>28.901734104046241</v>
      </c>
      <c r="J42" s="111">
        <v>22.687861271676301</v>
      </c>
    </row>
    <row r="43" spans="1:10" x14ac:dyDescent="0.25">
      <c r="A43" s="110" t="s">
        <v>66</v>
      </c>
      <c r="B43" s="111">
        <v>29.702970297029704</v>
      </c>
      <c r="C43" s="111">
        <v>54.950495049504951</v>
      </c>
      <c r="D43" s="111">
        <v>17.326732673267326</v>
      </c>
      <c r="E43" s="111">
        <v>10.891089108910892</v>
      </c>
      <c r="F43" s="111">
        <v>50.495049504950494</v>
      </c>
      <c r="G43" s="111">
        <v>44.554455445544555</v>
      </c>
      <c r="H43" s="111">
        <v>6.9306930693069306</v>
      </c>
      <c r="I43" s="111">
        <v>41.089108910891092</v>
      </c>
      <c r="J43" s="111">
        <v>20.792079207920793</v>
      </c>
    </row>
    <row r="44" spans="1:10" x14ac:dyDescent="0.25">
      <c r="A44" s="110" t="s">
        <v>15</v>
      </c>
      <c r="B44" s="111">
        <v>29.665071770334929</v>
      </c>
      <c r="C44" s="111">
        <v>47.049441786283893</v>
      </c>
      <c r="D44" s="111">
        <v>14.832535885167465</v>
      </c>
      <c r="E44" s="111">
        <v>40.829346092503989</v>
      </c>
      <c r="F44" s="111">
        <v>50.877192982456137</v>
      </c>
      <c r="G44" s="111">
        <v>29.665071770334929</v>
      </c>
      <c r="H44" s="111">
        <v>5.5821371610845292</v>
      </c>
      <c r="I44" s="111">
        <v>37.001594896331738</v>
      </c>
      <c r="J44" s="111">
        <v>17.543859649122808</v>
      </c>
    </row>
    <row r="45" spans="1:10" x14ac:dyDescent="0.25">
      <c r="A45" s="110" t="s">
        <v>16</v>
      </c>
      <c r="B45" s="111">
        <v>29.715762273901809</v>
      </c>
      <c r="C45" s="111">
        <v>45.736434108527135</v>
      </c>
      <c r="D45" s="111">
        <v>24.547803617571059</v>
      </c>
      <c r="E45" s="111">
        <v>15.762273901808786</v>
      </c>
      <c r="F45" s="111">
        <v>52.196382428940566</v>
      </c>
      <c r="G45" s="111">
        <v>32.558139534883722</v>
      </c>
      <c r="H45" s="111">
        <v>4.909560723514212</v>
      </c>
      <c r="I45" s="111">
        <v>37.467700258397933</v>
      </c>
      <c r="J45" s="111">
        <v>27.648578811369511</v>
      </c>
    </row>
    <row r="46" spans="1:10" x14ac:dyDescent="0.25">
      <c r="A46" s="110" t="s">
        <v>17</v>
      </c>
      <c r="B46" s="111">
        <v>33.333333333333336</v>
      </c>
      <c r="C46" s="111">
        <v>35.353535353535356</v>
      </c>
      <c r="D46" s="111">
        <v>33.333333333333336</v>
      </c>
      <c r="E46" s="111">
        <v>5.0505050505050502</v>
      </c>
      <c r="F46" s="111">
        <v>33.333333333333336</v>
      </c>
      <c r="G46" s="111">
        <v>39.393939393939391</v>
      </c>
      <c r="H46" s="111">
        <v>21.212121212121211</v>
      </c>
      <c r="I46" s="111">
        <v>41.414141414141412</v>
      </c>
      <c r="J46" s="111">
        <v>24.242424242424242</v>
      </c>
    </row>
    <row r="47" spans="1:10" x14ac:dyDescent="0.25">
      <c r="A47" s="110" t="s">
        <v>24</v>
      </c>
      <c r="B47" s="111">
        <v>15.675675675675675</v>
      </c>
      <c r="C47" s="111">
        <v>40.54054054054054</v>
      </c>
      <c r="D47" s="111">
        <v>37.837837837837839</v>
      </c>
      <c r="E47" s="111">
        <v>23.243243243243242</v>
      </c>
      <c r="F47" s="111">
        <v>57.837837837837839</v>
      </c>
      <c r="G47" s="111">
        <v>27.567567567567568</v>
      </c>
      <c r="H47" s="111">
        <v>16.216216216216218</v>
      </c>
      <c r="I47" s="111">
        <v>38.378378378378379</v>
      </c>
      <c r="J47" s="111">
        <v>26.486486486486488</v>
      </c>
    </row>
    <row r="51" spans="1:10" ht="13" x14ac:dyDescent="0.3">
      <c r="A51" s="112" t="s">
        <v>158</v>
      </c>
      <c r="B51" s="117" t="s">
        <v>169</v>
      </c>
      <c r="C51" s="117" t="s">
        <v>170</v>
      </c>
      <c r="D51" s="117" t="s">
        <v>171</v>
      </c>
      <c r="E51" s="117" t="s">
        <v>172</v>
      </c>
      <c r="F51" s="117" t="s">
        <v>173</v>
      </c>
      <c r="G51" s="117" t="s">
        <v>174</v>
      </c>
      <c r="H51" s="117" t="s">
        <v>175</v>
      </c>
      <c r="I51" s="117" t="s">
        <v>176</v>
      </c>
      <c r="J51" s="117" t="s">
        <v>177</v>
      </c>
    </row>
    <row r="52" spans="1:10" x14ac:dyDescent="0.25">
      <c r="A52" s="113" t="s">
        <v>74</v>
      </c>
      <c r="B52" s="114">
        <v>29.733727810650887</v>
      </c>
      <c r="C52" s="114">
        <v>40.088757396449701</v>
      </c>
      <c r="D52" s="114">
        <v>44.674556213017752</v>
      </c>
      <c r="E52" s="114">
        <v>12.42603550295858</v>
      </c>
      <c r="F52" s="114">
        <v>38.165680473372781</v>
      </c>
      <c r="G52" s="114">
        <v>30.76923076923077</v>
      </c>
      <c r="H52" s="114">
        <v>12.8698224852071</v>
      </c>
      <c r="I52" s="114">
        <v>37.869822485207102</v>
      </c>
      <c r="J52" s="114">
        <v>15.088757396449704</v>
      </c>
    </row>
    <row r="53" spans="1:10" x14ac:dyDescent="0.25">
      <c r="A53" s="110" t="s">
        <v>75</v>
      </c>
      <c r="B53" s="114">
        <v>25.20193861066236</v>
      </c>
      <c r="C53" s="114">
        <v>44.668820678513733</v>
      </c>
      <c r="D53" s="114">
        <v>41.35702746365105</v>
      </c>
      <c r="E53" s="114">
        <v>17.366720516962843</v>
      </c>
      <c r="F53" s="114">
        <v>44.749596122778676</v>
      </c>
      <c r="G53" s="114">
        <v>30.613893376413571</v>
      </c>
      <c r="H53" s="114">
        <v>11.308562197092083</v>
      </c>
      <c r="I53" s="114">
        <v>35.056542810985462</v>
      </c>
      <c r="J53" s="114">
        <v>17.124394184168011</v>
      </c>
    </row>
    <row r="54" spans="1:10" x14ac:dyDescent="0.25">
      <c r="A54" s="110" t="s">
        <v>76</v>
      </c>
      <c r="B54" s="114">
        <v>25.183973834832379</v>
      </c>
      <c r="C54" s="114">
        <v>42.51839738348324</v>
      </c>
      <c r="D54" s="114">
        <v>39.73834832379395</v>
      </c>
      <c r="E54" s="114">
        <v>17.906786590351594</v>
      </c>
      <c r="F54" s="114">
        <v>47.914963205233036</v>
      </c>
      <c r="G54" s="114">
        <v>30.089942763695831</v>
      </c>
      <c r="H54" s="114">
        <v>9.5666394112837292</v>
      </c>
      <c r="I54" s="114">
        <v>39.73834832379395</v>
      </c>
      <c r="J54" s="114">
        <v>15.944399018806214</v>
      </c>
    </row>
    <row r="55" spans="1:10" x14ac:dyDescent="0.25">
      <c r="A55" s="110" t="s">
        <v>77</v>
      </c>
      <c r="B55" s="114">
        <v>26.974358974358974</v>
      </c>
      <c r="C55" s="114">
        <v>46.358974358974358</v>
      </c>
      <c r="D55" s="114">
        <v>29.333333333333332</v>
      </c>
      <c r="E55" s="114">
        <v>24.717948717948719</v>
      </c>
      <c r="F55" s="114">
        <v>50.717948717948715</v>
      </c>
      <c r="G55" s="114">
        <v>32.564102564102562</v>
      </c>
      <c r="H55" s="114">
        <v>8.3589743589743595</v>
      </c>
      <c r="I55" s="114">
        <v>36.974358974358971</v>
      </c>
      <c r="J55" s="114">
        <v>15.179487179487179</v>
      </c>
    </row>
    <row r="56" spans="1:10" x14ac:dyDescent="0.25">
      <c r="A56" s="110" t="s">
        <v>78</v>
      </c>
      <c r="B56" s="114">
        <v>29.790940766550523</v>
      </c>
      <c r="C56" s="114">
        <v>46.236933797909408</v>
      </c>
      <c r="D56" s="114">
        <v>30.905923344947734</v>
      </c>
      <c r="E56" s="114">
        <v>20</v>
      </c>
      <c r="F56" s="114">
        <v>47.595818815331008</v>
      </c>
      <c r="G56" s="114">
        <v>31.567944250871079</v>
      </c>
      <c r="H56" s="114">
        <v>6.6202090592334493</v>
      </c>
      <c r="I56" s="114">
        <v>34.634146341463413</v>
      </c>
      <c r="J56" s="114">
        <v>20.452961672473869</v>
      </c>
    </row>
    <row r="57" spans="1:10" x14ac:dyDescent="0.25">
      <c r="A57" s="110" t="s">
        <v>79</v>
      </c>
      <c r="B57" s="114">
        <v>29.392151833803538</v>
      </c>
      <c r="C57" s="114">
        <v>49.012567324955114</v>
      </c>
      <c r="D57" s="114">
        <v>22.672480123108489</v>
      </c>
      <c r="E57" s="114">
        <v>38.291869710182098</v>
      </c>
      <c r="F57" s="114">
        <v>48.88432931520903</v>
      </c>
      <c r="G57" s="114">
        <v>29.802513464991023</v>
      </c>
      <c r="H57" s="114">
        <v>4.9499871761990253</v>
      </c>
      <c r="I57" s="114">
        <v>33.983072582713518</v>
      </c>
      <c r="J57" s="114">
        <v>18.209797383944601</v>
      </c>
    </row>
    <row r="60" spans="1:10" ht="13" x14ac:dyDescent="0.3">
      <c r="A60" s="109"/>
      <c r="B60" s="109" t="s">
        <v>159</v>
      </c>
    </row>
    <row r="61" spans="1:10" ht="13" x14ac:dyDescent="0.3">
      <c r="A61" s="106" t="s">
        <v>168</v>
      </c>
      <c r="B61" s="114">
        <v>28.238866396761132</v>
      </c>
      <c r="C61" s="114">
        <v>46.271929824561404</v>
      </c>
      <c r="D61" s="114">
        <v>30.727058029689609</v>
      </c>
      <c r="E61" s="114">
        <v>25.868758434547907</v>
      </c>
      <c r="F61" s="114">
        <v>47.731106612685558</v>
      </c>
      <c r="G61" s="114">
        <v>30.85357624831309</v>
      </c>
      <c r="H61" s="114">
        <v>7.5067476383265861</v>
      </c>
      <c r="I61" s="114">
        <v>35.560053981106613</v>
      </c>
      <c r="J61" s="114">
        <v>17.729419703103915</v>
      </c>
    </row>
    <row r="64" spans="1:10" ht="13" x14ac:dyDescent="0.3">
      <c r="A64" s="117" t="s">
        <v>169</v>
      </c>
      <c r="B64" s="106" t="s">
        <v>101</v>
      </c>
      <c r="C64" s="114">
        <v>28.238866396761132</v>
      </c>
    </row>
    <row r="65" spans="1:3" ht="13" x14ac:dyDescent="0.3">
      <c r="A65" s="117" t="s">
        <v>170</v>
      </c>
      <c r="B65" s="106" t="s">
        <v>102</v>
      </c>
      <c r="C65" s="114">
        <v>46.271929824561404</v>
      </c>
    </row>
    <row r="66" spans="1:3" ht="13" x14ac:dyDescent="0.3">
      <c r="A66" s="117" t="s">
        <v>171</v>
      </c>
      <c r="B66" s="106" t="s">
        <v>114</v>
      </c>
      <c r="C66" s="114">
        <v>30.727058029689609</v>
      </c>
    </row>
    <row r="67" spans="1:3" ht="13" x14ac:dyDescent="0.3">
      <c r="A67" s="117" t="s">
        <v>172</v>
      </c>
      <c r="B67" s="106" t="s">
        <v>103</v>
      </c>
      <c r="C67" s="114">
        <v>25.868758434547907</v>
      </c>
    </row>
    <row r="68" spans="1:3" ht="13" x14ac:dyDescent="0.3">
      <c r="A68" s="117" t="s">
        <v>173</v>
      </c>
      <c r="B68" s="106" t="s">
        <v>104</v>
      </c>
      <c r="C68" s="114">
        <v>47.731106612685558</v>
      </c>
    </row>
    <row r="69" spans="1:3" ht="13" x14ac:dyDescent="0.3">
      <c r="A69" s="117" t="s">
        <v>174</v>
      </c>
      <c r="B69" s="106" t="s">
        <v>105</v>
      </c>
      <c r="C69" s="114">
        <v>30.85357624831309</v>
      </c>
    </row>
    <row r="70" spans="1:3" ht="13" x14ac:dyDescent="0.3">
      <c r="A70" s="117" t="s">
        <v>175</v>
      </c>
      <c r="B70" s="106" t="s">
        <v>106</v>
      </c>
      <c r="C70" s="114">
        <v>7.5067476383265861</v>
      </c>
    </row>
    <row r="71" spans="1:3" ht="13" x14ac:dyDescent="0.3">
      <c r="A71" s="117" t="s">
        <v>176</v>
      </c>
      <c r="B71" s="106" t="s">
        <v>107</v>
      </c>
      <c r="C71" s="114">
        <v>35.560053981106613</v>
      </c>
    </row>
    <row r="72" spans="1:3" ht="13" x14ac:dyDescent="0.3">
      <c r="A72" s="117" t="s">
        <v>177</v>
      </c>
      <c r="B72" s="106" t="s">
        <v>108</v>
      </c>
      <c r="C72" s="114">
        <v>17.729419703103915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N217" sqref="N217"/>
    </sheetView>
  </sheetViews>
  <sheetFormatPr defaultRowHeight="12.5" x14ac:dyDescent="0.25"/>
  <cols>
    <col min="1" max="1" width="15.7109375" style="107" customWidth="1"/>
    <col min="2" max="2" width="36.7109375" style="107" customWidth="1"/>
    <col min="3" max="256" width="8.7109375" style="107"/>
    <col min="257" max="257" width="15.7109375" style="107" customWidth="1"/>
    <col min="258" max="512" width="8.7109375" style="107"/>
    <col min="513" max="513" width="15.7109375" style="107" customWidth="1"/>
    <col min="514" max="768" width="8.7109375" style="107"/>
    <col min="769" max="769" width="15.7109375" style="107" customWidth="1"/>
    <col min="770" max="1024" width="8.7109375" style="107"/>
    <col min="1025" max="1025" width="15.7109375" style="107" customWidth="1"/>
    <col min="1026" max="1280" width="8.7109375" style="107"/>
    <col min="1281" max="1281" width="15.7109375" style="107" customWidth="1"/>
    <col min="1282" max="1536" width="8.7109375" style="107"/>
    <col min="1537" max="1537" width="15.7109375" style="107" customWidth="1"/>
    <col min="1538" max="1792" width="8.7109375" style="107"/>
    <col min="1793" max="1793" width="15.7109375" style="107" customWidth="1"/>
    <col min="1794" max="2048" width="8.7109375" style="107"/>
    <col min="2049" max="2049" width="15.7109375" style="107" customWidth="1"/>
    <col min="2050" max="2304" width="8.7109375" style="107"/>
    <col min="2305" max="2305" width="15.7109375" style="107" customWidth="1"/>
    <col min="2306" max="2560" width="8.7109375" style="107"/>
    <col min="2561" max="2561" width="15.7109375" style="107" customWidth="1"/>
    <col min="2562" max="2816" width="8.7109375" style="107"/>
    <col min="2817" max="2817" width="15.7109375" style="107" customWidth="1"/>
    <col min="2818" max="3072" width="8.7109375" style="107"/>
    <col min="3073" max="3073" width="15.7109375" style="107" customWidth="1"/>
    <col min="3074" max="3328" width="8.7109375" style="107"/>
    <col min="3329" max="3329" width="15.7109375" style="107" customWidth="1"/>
    <col min="3330" max="3584" width="8.7109375" style="107"/>
    <col min="3585" max="3585" width="15.7109375" style="107" customWidth="1"/>
    <col min="3586" max="3840" width="8.7109375" style="107"/>
    <col min="3841" max="3841" width="15.7109375" style="107" customWidth="1"/>
    <col min="3842" max="4096" width="8.7109375" style="107"/>
    <col min="4097" max="4097" width="15.7109375" style="107" customWidth="1"/>
    <col min="4098" max="4352" width="8.7109375" style="107"/>
    <col min="4353" max="4353" width="15.7109375" style="107" customWidth="1"/>
    <col min="4354" max="4608" width="8.7109375" style="107"/>
    <col min="4609" max="4609" width="15.7109375" style="107" customWidth="1"/>
    <col min="4610" max="4864" width="8.7109375" style="107"/>
    <col min="4865" max="4865" width="15.7109375" style="107" customWidth="1"/>
    <col min="4866" max="5120" width="8.7109375" style="107"/>
    <col min="5121" max="5121" width="15.7109375" style="107" customWidth="1"/>
    <col min="5122" max="5376" width="8.7109375" style="107"/>
    <col min="5377" max="5377" width="15.7109375" style="107" customWidth="1"/>
    <col min="5378" max="5632" width="8.7109375" style="107"/>
    <col min="5633" max="5633" width="15.7109375" style="107" customWidth="1"/>
    <col min="5634" max="5888" width="8.7109375" style="107"/>
    <col min="5889" max="5889" width="15.7109375" style="107" customWidth="1"/>
    <col min="5890" max="6144" width="8.7109375" style="107"/>
    <col min="6145" max="6145" width="15.7109375" style="107" customWidth="1"/>
    <col min="6146" max="6400" width="8.7109375" style="107"/>
    <col min="6401" max="6401" width="15.7109375" style="107" customWidth="1"/>
    <col min="6402" max="6656" width="8.7109375" style="107"/>
    <col min="6657" max="6657" width="15.7109375" style="107" customWidth="1"/>
    <col min="6658" max="6912" width="8.7109375" style="107"/>
    <col min="6913" max="6913" width="15.7109375" style="107" customWidth="1"/>
    <col min="6914" max="7168" width="8.7109375" style="107"/>
    <col min="7169" max="7169" width="15.7109375" style="107" customWidth="1"/>
    <col min="7170" max="7424" width="8.7109375" style="107"/>
    <col min="7425" max="7425" width="15.7109375" style="107" customWidth="1"/>
    <col min="7426" max="7680" width="8.7109375" style="107"/>
    <col min="7681" max="7681" width="15.7109375" style="107" customWidth="1"/>
    <col min="7682" max="7936" width="8.7109375" style="107"/>
    <col min="7937" max="7937" width="15.7109375" style="107" customWidth="1"/>
    <col min="7938" max="8192" width="8.7109375" style="107"/>
    <col min="8193" max="8193" width="15.7109375" style="107" customWidth="1"/>
    <col min="8194" max="8448" width="8.7109375" style="107"/>
    <col min="8449" max="8449" width="15.7109375" style="107" customWidth="1"/>
    <col min="8450" max="8704" width="8.7109375" style="107"/>
    <col min="8705" max="8705" width="15.7109375" style="107" customWidth="1"/>
    <col min="8706" max="8960" width="8.7109375" style="107"/>
    <col min="8961" max="8961" width="15.7109375" style="107" customWidth="1"/>
    <col min="8962" max="9216" width="8.7109375" style="107"/>
    <col min="9217" max="9217" width="15.7109375" style="107" customWidth="1"/>
    <col min="9218" max="9472" width="8.7109375" style="107"/>
    <col min="9473" max="9473" width="15.7109375" style="107" customWidth="1"/>
    <col min="9474" max="9728" width="8.7109375" style="107"/>
    <col min="9729" max="9729" width="15.7109375" style="107" customWidth="1"/>
    <col min="9730" max="9984" width="8.7109375" style="107"/>
    <col min="9985" max="9985" width="15.7109375" style="107" customWidth="1"/>
    <col min="9986" max="10240" width="8.7109375" style="107"/>
    <col min="10241" max="10241" width="15.7109375" style="107" customWidth="1"/>
    <col min="10242" max="10496" width="8.7109375" style="107"/>
    <col min="10497" max="10497" width="15.7109375" style="107" customWidth="1"/>
    <col min="10498" max="10752" width="8.7109375" style="107"/>
    <col min="10753" max="10753" width="15.7109375" style="107" customWidth="1"/>
    <col min="10754" max="11008" width="8.7109375" style="107"/>
    <col min="11009" max="11009" width="15.7109375" style="107" customWidth="1"/>
    <col min="11010" max="11264" width="8.7109375" style="107"/>
    <col min="11265" max="11265" width="15.7109375" style="107" customWidth="1"/>
    <col min="11266" max="11520" width="8.7109375" style="107"/>
    <col min="11521" max="11521" width="15.7109375" style="107" customWidth="1"/>
    <col min="11522" max="11776" width="8.7109375" style="107"/>
    <col min="11777" max="11777" width="15.7109375" style="107" customWidth="1"/>
    <col min="11778" max="12032" width="8.7109375" style="107"/>
    <col min="12033" max="12033" width="15.7109375" style="107" customWidth="1"/>
    <col min="12034" max="12288" width="8.7109375" style="107"/>
    <col min="12289" max="12289" width="15.7109375" style="107" customWidth="1"/>
    <col min="12290" max="12544" width="8.7109375" style="107"/>
    <col min="12545" max="12545" width="15.7109375" style="107" customWidth="1"/>
    <col min="12546" max="12800" width="8.7109375" style="107"/>
    <col min="12801" max="12801" width="15.7109375" style="107" customWidth="1"/>
    <col min="12802" max="13056" width="8.7109375" style="107"/>
    <col min="13057" max="13057" width="15.7109375" style="107" customWidth="1"/>
    <col min="13058" max="13312" width="8.7109375" style="107"/>
    <col min="13313" max="13313" width="15.7109375" style="107" customWidth="1"/>
    <col min="13314" max="13568" width="8.7109375" style="107"/>
    <col min="13569" max="13569" width="15.7109375" style="107" customWidth="1"/>
    <col min="13570" max="13824" width="8.7109375" style="107"/>
    <col min="13825" max="13825" width="15.7109375" style="107" customWidth="1"/>
    <col min="13826" max="14080" width="8.7109375" style="107"/>
    <col min="14081" max="14081" width="15.7109375" style="107" customWidth="1"/>
    <col min="14082" max="14336" width="8.7109375" style="107"/>
    <col min="14337" max="14337" width="15.7109375" style="107" customWidth="1"/>
    <col min="14338" max="14592" width="8.7109375" style="107"/>
    <col min="14593" max="14593" width="15.7109375" style="107" customWidth="1"/>
    <col min="14594" max="14848" width="8.7109375" style="107"/>
    <col min="14849" max="14849" width="15.7109375" style="107" customWidth="1"/>
    <col min="14850" max="15104" width="8.7109375" style="107"/>
    <col min="15105" max="15105" width="15.7109375" style="107" customWidth="1"/>
    <col min="15106" max="15360" width="8.7109375" style="107"/>
    <col min="15361" max="15361" width="15.7109375" style="107" customWidth="1"/>
    <col min="15362" max="15616" width="8.7109375" style="107"/>
    <col min="15617" max="15617" width="15.7109375" style="107" customWidth="1"/>
    <col min="15618" max="15872" width="8.7109375" style="107"/>
    <col min="15873" max="15873" width="15.7109375" style="107" customWidth="1"/>
    <col min="15874" max="16128" width="8.7109375" style="107"/>
    <col min="16129" max="16129" width="15.7109375" style="107" customWidth="1"/>
    <col min="16130" max="16384" width="8.7109375" style="107"/>
  </cols>
  <sheetData>
    <row r="1" spans="1:2" ht="14" x14ac:dyDescent="0.3">
      <c r="A1" s="116" t="s">
        <v>178</v>
      </c>
    </row>
    <row r="2" spans="1:2" x14ac:dyDescent="0.25">
      <c r="A2" s="115" t="s">
        <v>179</v>
      </c>
    </row>
    <row r="3" spans="1:2" ht="13" x14ac:dyDescent="0.3">
      <c r="A3" s="106" t="s">
        <v>180</v>
      </c>
    </row>
    <row r="7" spans="1:2" ht="13" x14ac:dyDescent="0.3">
      <c r="A7" s="109" t="s">
        <v>157</v>
      </c>
      <c r="B7" s="106" t="s">
        <v>180</v>
      </c>
    </row>
    <row r="8" spans="1:2" x14ac:dyDescent="0.25">
      <c r="A8" s="110" t="s">
        <v>42</v>
      </c>
      <c r="B8" s="111">
        <v>82.20338983050847</v>
      </c>
    </row>
    <row r="9" spans="1:2" x14ac:dyDescent="0.25">
      <c r="A9" s="110" t="s">
        <v>43</v>
      </c>
      <c r="B9" s="111">
        <v>83.308270676691734</v>
      </c>
    </row>
    <row r="10" spans="1:2" x14ac:dyDescent="0.25">
      <c r="A10" s="110" t="s">
        <v>44</v>
      </c>
      <c r="B10" s="111">
        <v>76.543209876543216</v>
      </c>
    </row>
    <row r="11" spans="1:2" x14ac:dyDescent="0.25">
      <c r="A11" s="110" t="s">
        <v>68</v>
      </c>
      <c r="B11" s="111">
        <v>76.985413290113456</v>
      </c>
    </row>
    <row r="12" spans="1:2" x14ac:dyDescent="0.25">
      <c r="A12" s="110" t="s">
        <v>2</v>
      </c>
      <c r="B12" s="111">
        <v>75.757575757575751</v>
      </c>
    </row>
    <row r="13" spans="1:2" x14ac:dyDescent="0.25">
      <c r="A13" s="110" t="s">
        <v>3</v>
      </c>
      <c r="B13" s="111">
        <v>82.550335570469798</v>
      </c>
    </row>
    <row r="14" spans="1:2" x14ac:dyDescent="0.25">
      <c r="A14" s="110" t="s">
        <v>4</v>
      </c>
      <c r="B14" s="111">
        <v>80.607082630691394</v>
      </c>
    </row>
    <row r="15" spans="1:2" x14ac:dyDescent="0.25">
      <c r="A15" s="110" t="s">
        <v>46</v>
      </c>
      <c r="B15" s="111">
        <v>86.986301369863014</v>
      </c>
    </row>
    <row r="16" spans="1:2" x14ac:dyDescent="0.25">
      <c r="A16" s="110" t="s">
        <v>5</v>
      </c>
      <c r="B16" s="111">
        <v>82.043343653250773</v>
      </c>
    </row>
    <row r="17" spans="1:2" x14ac:dyDescent="0.25">
      <c r="A17" s="110" t="s">
        <v>48</v>
      </c>
      <c r="B17" s="111">
        <v>75.373134328358205</v>
      </c>
    </row>
    <row r="18" spans="1:2" x14ac:dyDescent="0.25">
      <c r="A18" s="110" t="s">
        <v>49</v>
      </c>
      <c r="B18" s="111">
        <v>83.80952380952381</v>
      </c>
    </row>
    <row r="19" spans="1:2" x14ac:dyDescent="0.25">
      <c r="A19" s="110" t="s">
        <v>50</v>
      </c>
      <c r="B19" s="111">
        <v>86.458333333333329</v>
      </c>
    </row>
    <row r="20" spans="1:2" x14ac:dyDescent="0.25">
      <c r="A20" s="110" t="s">
        <v>69</v>
      </c>
      <c r="B20" s="111">
        <v>84.104046242774572</v>
      </c>
    </row>
    <row r="21" spans="1:2" x14ac:dyDescent="0.25">
      <c r="A21" s="110" t="s">
        <v>6</v>
      </c>
      <c r="B21" s="111">
        <v>78.149100257069406</v>
      </c>
    </row>
    <row r="22" spans="1:2" x14ac:dyDescent="0.25">
      <c r="A22" s="110" t="s">
        <v>70</v>
      </c>
      <c r="B22" s="111">
        <v>83.050847457627114</v>
      </c>
    </row>
    <row r="23" spans="1:2" x14ac:dyDescent="0.25">
      <c r="A23" s="110" t="s">
        <v>7</v>
      </c>
      <c r="B23" s="111">
        <v>86.904761904761898</v>
      </c>
    </row>
    <row r="24" spans="1:2" x14ac:dyDescent="0.25">
      <c r="A24" s="110" t="s">
        <v>22</v>
      </c>
      <c r="B24" s="111">
        <v>81.714285714285708</v>
      </c>
    </row>
    <row r="25" spans="1:2" x14ac:dyDescent="0.25">
      <c r="A25" s="110" t="s">
        <v>8</v>
      </c>
      <c r="B25" s="111">
        <v>80.754716981132077</v>
      </c>
    </row>
    <row r="26" spans="1:2" x14ac:dyDescent="0.25">
      <c r="A26" s="110" t="s">
        <v>9</v>
      </c>
      <c r="B26" s="111">
        <v>83.84615384615384</v>
      </c>
    </row>
    <row r="27" spans="1:2" x14ac:dyDescent="0.25">
      <c r="A27" s="110" t="s">
        <v>54</v>
      </c>
      <c r="B27" s="111">
        <v>80.23952095808383</v>
      </c>
    </row>
    <row r="28" spans="1:2" x14ac:dyDescent="0.25">
      <c r="A28" s="110" t="s">
        <v>71</v>
      </c>
      <c r="B28" s="111">
        <v>81.67053364269141</v>
      </c>
    </row>
    <row r="29" spans="1:2" x14ac:dyDescent="0.25">
      <c r="A29" s="110" t="s">
        <v>10</v>
      </c>
      <c r="B29" s="111">
        <v>88.372093023255815</v>
      </c>
    </row>
    <row r="30" spans="1:2" x14ac:dyDescent="0.25">
      <c r="A30" s="110" t="s">
        <v>56</v>
      </c>
      <c r="B30" s="111">
        <v>86.36363636363636</v>
      </c>
    </row>
    <row r="31" spans="1:2" x14ac:dyDescent="0.25">
      <c r="A31" s="110" t="s">
        <v>11</v>
      </c>
      <c r="B31" s="111">
        <v>82.677165354330711</v>
      </c>
    </row>
    <row r="32" spans="1:2" x14ac:dyDescent="0.25">
      <c r="A32" s="110" t="s">
        <v>58</v>
      </c>
      <c r="B32" s="111">
        <v>76.991150442477874</v>
      </c>
    </row>
    <row r="33" spans="1:2" x14ac:dyDescent="0.25">
      <c r="A33" s="110" t="s">
        <v>59</v>
      </c>
      <c r="B33" s="111">
        <v>82.51748251748252</v>
      </c>
    </row>
    <row r="34" spans="1:2" x14ac:dyDescent="0.25">
      <c r="A34" s="110" t="s">
        <v>60</v>
      </c>
      <c r="B34" s="111">
        <v>83.216783216783213</v>
      </c>
    </row>
    <row r="35" spans="1:2" x14ac:dyDescent="0.25">
      <c r="A35" s="110" t="s">
        <v>12</v>
      </c>
      <c r="B35" s="111">
        <v>86.25954198473282</v>
      </c>
    </row>
    <row r="36" spans="1:2" x14ac:dyDescent="0.25">
      <c r="A36" s="110" t="s">
        <v>61</v>
      </c>
      <c r="B36" s="111">
        <v>85.483870967741936</v>
      </c>
    </row>
    <row r="37" spans="1:2" x14ac:dyDescent="0.25">
      <c r="A37" s="110" t="s">
        <v>62</v>
      </c>
      <c r="B37" s="111">
        <v>86.956521739130437</v>
      </c>
    </row>
    <row r="38" spans="1:2" x14ac:dyDescent="0.25">
      <c r="A38" s="110" t="s">
        <v>23</v>
      </c>
      <c r="B38" s="111">
        <v>84.637681159420296</v>
      </c>
    </row>
    <row r="39" spans="1:2" x14ac:dyDescent="0.25">
      <c r="A39" s="110" t="s">
        <v>13</v>
      </c>
      <c r="B39" s="111">
        <v>78.502879078694818</v>
      </c>
    </row>
    <row r="40" spans="1:2" x14ac:dyDescent="0.25">
      <c r="A40" s="110" t="s">
        <v>14</v>
      </c>
      <c r="B40" s="111">
        <v>80.891719745222929</v>
      </c>
    </row>
    <row r="41" spans="1:2" x14ac:dyDescent="0.25">
      <c r="A41" s="110" t="s">
        <v>64</v>
      </c>
      <c r="B41" s="111">
        <v>83.23353293413173</v>
      </c>
    </row>
    <row r="42" spans="1:2" x14ac:dyDescent="0.25">
      <c r="A42" s="110" t="s">
        <v>65</v>
      </c>
      <c r="B42" s="111">
        <v>84.839650145772595</v>
      </c>
    </row>
    <row r="43" spans="1:2" x14ac:dyDescent="0.25">
      <c r="A43" s="110" t="s">
        <v>66</v>
      </c>
      <c r="B43" s="111">
        <v>86.567164179104481</v>
      </c>
    </row>
    <row r="44" spans="1:2" x14ac:dyDescent="0.25">
      <c r="A44" s="110" t="s">
        <v>15</v>
      </c>
      <c r="B44" s="111">
        <v>82.903225806451616</v>
      </c>
    </row>
    <row r="45" spans="1:2" x14ac:dyDescent="0.25">
      <c r="A45" s="110" t="s">
        <v>16</v>
      </c>
      <c r="B45" s="111">
        <v>80.051813471502584</v>
      </c>
    </row>
    <row r="46" spans="1:2" x14ac:dyDescent="0.25">
      <c r="A46" s="110" t="s">
        <v>17</v>
      </c>
      <c r="B46" s="111">
        <v>84.536082474226802</v>
      </c>
    </row>
    <row r="47" spans="1:2" x14ac:dyDescent="0.25">
      <c r="A47" s="110" t="s">
        <v>24</v>
      </c>
      <c r="B47" s="111">
        <v>81.621621621621628</v>
      </c>
    </row>
    <row r="51" spans="1:2" ht="13" x14ac:dyDescent="0.3">
      <c r="A51" s="112" t="s">
        <v>158</v>
      </c>
      <c r="B51" s="106" t="s">
        <v>165</v>
      </c>
    </row>
    <row r="52" spans="1:2" x14ac:dyDescent="0.25">
      <c r="A52" s="113" t="s">
        <v>74</v>
      </c>
      <c r="B52" s="114">
        <v>81.99404761904762</v>
      </c>
    </row>
    <row r="53" spans="1:2" x14ac:dyDescent="0.25">
      <c r="A53" s="110" t="s">
        <v>75</v>
      </c>
      <c r="B53" s="114">
        <v>82.544861337683528</v>
      </c>
    </row>
    <row r="54" spans="1:2" x14ac:dyDescent="0.25">
      <c r="A54" s="110" t="s">
        <v>76</v>
      </c>
      <c r="B54" s="114">
        <v>83.980181668042945</v>
      </c>
    </row>
    <row r="55" spans="1:2" x14ac:dyDescent="0.25">
      <c r="A55" s="110" t="s">
        <v>77</v>
      </c>
      <c r="B55" s="114">
        <v>84.229576008273014</v>
      </c>
    </row>
    <row r="56" spans="1:2" x14ac:dyDescent="0.25">
      <c r="A56" s="110" t="s">
        <v>78</v>
      </c>
      <c r="B56" s="114">
        <v>79.992979992979997</v>
      </c>
    </row>
    <row r="57" spans="1:2" x14ac:dyDescent="0.25">
      <c r="A57" s="110" t="s">
        <v>79</v>
      </c>
      <c r="B57" s="114">
        <v>82.191780821917803</v>
      </c>
    </row>
    <row r="60" spans="1:2" ht="13" x14ac:dyDescent="0.3">
      <c r="A60" s="109"/>
    </row>
    <row r="61" spans="1:2" ht="13" x14ac:dyDescent="0.3">
      <c r="B61" s="106" t="s">
        <v>165</v>
      </c>
    </row>
    <row r="62" spans="1:2" ht="13" x14ac:dyDescent="0.3">
      <c r="A62" s="109" t="s">
        <v>159</v>
      </c>
      <c r="B62" s="114">
        <v>82.203894226681399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N217" sqref="N217"/>
    </sheetView>
  </sheetViews>
  <sheetFormatPr defaultRowHeight="12.5" x14ac:dyDescent="0.25"/>
  <cols>
    <col min="1" max="1" width="23.0703125" style="107" customWidth="1"/>
    <col min="2" max="256" width="8.7109375" style="107"/>
    <col min="257" max="257" width="23.0703125" style="107" customWidth="1"/>
    <col min="258" max="512" width="8.7109375" style="107"/>
    <col min="513" max="513" width="23.0703125" style="107" customWidth="1"/>
    <col min="514" max="768" width="8.7109375" style="107"/>
    <col min="769" max="769" width="23.0703125" style="107" customWidth="1"/>
    <col min="770" max="1024" width="8.7109375" style="107"/>
    <col min="1025" max="1025" width="23.0703125" style="107" customWidth="1"/>
    <col min="1026" max="1280" width="8.7109375" style="107"/>
    <col min="1281" max="1281" width="23.0703125" style="107" customWidth="1"/>
    <col min="1282" max="1536" width="8.7109375" style="107"/>
    <col min="1537" max="1537" width="23.0703125" style="107" customWidth="1"/>
    <col min="1538" max="1792" width="8.7109375" style="107"/>
    <col min="1793" max="1793" width="23.0703125" style="107" customWidth="1"/>
    <col min="1794" max="2048" width="8.7109375" style="107"/>
    <col min="2049" max="2049" width="23.0703125" style="107" customWidth="1"/>
    <col min="2050" max="2304" width="8.7109375" style="107"/>
    <col min="2305" max="2305" width="23.0703125" style="107" customWidth="1"/>
    <col min="2306" max="2560" width="8.7109375" style="107"/>
    <col min="2561" max="2561" width="23.0703125" style="107" customWidth="1"/>
    <col min="2562" max="2816" width="8.7109375" style="107"/>
    <col min="2817" max="2817" width="23.0703125" style="107" customWidth="1"/>
    <col min="2818" max="3072" width="8.7109375" style="107"/>
    <col min="3073" max="3073" width="23.0703125" style="107" customWidth="1"/>
    <col min="3074" max="3328" width="8.7109375" style="107"/>
    <col min="3329" max="3329" width="23.0703125" style="107" customWidth="1"/>
    <col min="3330" max="3584" width="8.7109375" style="107"/>
    <col min="3585" max="3585" width="23.0703125" style="107" customWidth="1"/>
    <col min="3586" max="3840" width="8.7109375" style="107"/>
    <col min="3841" max="3841" width="23.0703125" style="107" customWidth="1"/>
    <col min="3842" max="4096" width="8.7109375" style="107"/>
    <col min="4097" max="4097" width="23.0703125" style="107" customWidth="1"/>
    <col min="4098" max="4352" width="8.7109375" style="107"/>
    <col min="4353" max="4353" width="23.0703125" style="107" customWidth="1"/>
    <col min="4354" max="4608" width="8.7109375" style="107"/>
    <col min="4609" max="4609" width="23.0703125" style="107" customWidth="1"/>
    <col min="4610" max="4864" width="8.7109375" style="107"/>
    <col min="4865" max="4865" width="23.0703125" style="107" customWidth="1"/>
    <col min="4866" max="5120" width="8.7109375" style="107"/>
    <col min="5121" max="5121" width="23.0703125" style="107" customWidth="1"/>
    <col min="5122" max="5376" width="8.7109375" style="107"/>
    <col min="5377" max="5377" width="23.0703125" style="107" customWidth="1"/>
    <col min="5378" max="5632" width="8.7109375" style="107"/>
    <col min="5633" max="5633" width="23.0703125" style="107" customWidth="1"/>
    <col min="5634" max="5888" width="8.7109375" style="107"/>
    <col min="5889" max="5889" width="23.0703125" style="107" customWidth="1"/>
    <col min="5890" max="6144" width="8.7109375" style="107"/>
    <col min="6145" max="6145" width="23.0703125" style="107" customWidth="1"/>
    <col min="6146" max="6400" width="8.7109375" style="107"/>
    <col min="6401" max="6401" width="23.0703125" style="107" customWidth="1"/>
    <col min="6402" max="6656" width="8.7109375" style="107"/>
    <col min="6657" max="6657" width="23.0703125" style="107" customWidth="1"/>
    <col min="6658" max="6912" width="8.7109375" style="107"/>
    <col min="6913" max="6913" width="23.0703125" style="107" customWidth="1"/>
    <col min="6914" max="7168" width="8.7109375" style="107"/>
    <col min="7169" max="7169" width="23.0703125" style="107" customWidth="1"/>
    <col min="7170" max="7424" width="8.7109375" style="107"/>
    <col min="7425" max="7425" width="23.0703125" style="107" customWidth="1"/>
    <col min="7426" max="7680" width="8.7109375" style="107"/>
    <col min="7681" max="7681" width="23.0703125" style="107" customWidth="1"/>
    <col min="7682" max="7936" width="8.7109375" style="107"/>
    <col min="7937" max="7937" width="23.0703125" style="107" customWidth="1"/>
    <col min="7938" max="8192" width="8.7109375" style="107"/>
    <col min="8193" max="8193" width="23.0703125" style="107" customWidth="1"/>
    <col min="8194" max="8448" width="8.7109375" style="107"/>
    <col min="8449" max="8449" width="23.0703125" style="107" customWidth="1"/>
    <col min="8450" max="8704" width="8.7109375" style="107"/>
    <col min="8705" max="8705" width="23.0703125" style="107" customWidth="1"/>
    <col min="8706" max="8960" width="8.7109375" style="107"/>
    <col min="8961" max="8961" width="23.0703125" style="107" customWidth="1"/>
    <col min="8962" max="9216" width="8.7109375" style="107"/>
    <col min="9217" max="9217" width="23.0703125" style="107" customWidth="1"/>
    <col min="9218" max="9472" width="8.7109375" style="107"/>
    <col min="9473" max="9473" width="23.0703125" style="107" customWidth="1"/>
    <col min="9474" max="9728" width="8.7109375" style="107"/>
    <col min="9729" max="9729" width="23.0703125" style="107" customWidth="1"/>
    <col min="9730" max="9984" width="8.7109375" style="107"/>
    <col min="9985" max="9985" width="23.0703125" style="107" customWidth="1"/>
    <col min="9986" max="10240" width="8.7109375" style="107"/>
    <col min="10241" max="10241" width="23.0703125" style="107" customWidth="1"/>
    <col min="10242" max="10496" width="8.7109375" style="107"/>
    <col min="10497" max="10497" width="23.0703125" style="107" customWidth="1"/>
    <col min="10498" max="10752" width="8.7109375" style="107"/>
    <col min="10753" max="10753" width="23.0703125" style="107" customWidth="1"/>
    <col min="10754" max="11008" width="8.7109375" style="107"/>
    <col min="11009" max="11009" width="23.0703125" style="107" customWidth="1"/>
    <col min="11010" max="11264" width="8.7109375" style="107"/>
    <col min="11265" max="11265" width="23.0703125" style="107" customWidth="1"/>
    <col min="11266" max="11520" width="8.7109375" style="107"/>
    <col min="11521" max="11521" width="23.0703125" style="107" customWidth="1"/>
    <col min="11522" max="11776" width="8.7109375" style="107"/>
    <col min="11777" max="11777" width="23.0703125" style="107" customWidth="1"/>
    <col min="11778" max="12032" width="8.7109375" style="107"/>
    <col min="12033" max="12033" width="23.0703125" style="107" customWidth="1"/>
    <col min="12034" max="12288" width="8.7109375" style="107"/>
    <col min="12289" max="12289" width="23.0703125" style="107" customWidth="1"/>
    <col min="12290" max="12544" width="8.7109375" style="107"/>
    <col min="12545" max="12545" width="23.0703125" style="107" customWidth="1"/>
    <col min="12546" max="12800" width="8.7109375" style="107"/>
    <col min="12801" max="12801" width="23.0703125" style="107" customWidth="1"/>
    <col min="12802" max="13056" width="8.7109375" style="107"/>
    <col min="13057" max="13057" width="23.0703125" style="107" customWidth="1"/>
    <col min="13058" max="13312" width="8.7109375" style="107"/>
    <col min="13313" max="13313" width="23.0703125" style="107" customWidth="1"/>
    <col min="13314" max="13568" width="8.7109375" style="107"/>
    <col min="13569" max="13569" width="23.0703125" style="107" customWidth="1"/>
    <col min="13570" max="13824" width="8.7109375" style="107"/>
    <col min="13825" max="13825" width="23.0703125" style="107" customWidth="1"/>
    <col min="13826" max="14080" width="8.7109375" style="107"/>
    <col min="14081" max="14081" width="23.0703125" style="107" customWidth="1"/>
    <col min="14082" max="14336" width="8.7109375" style="107"/>
    <col min="14337" max="14337" width="23.0703125" style="107" customWidth="1"/>
    <col min="14338" max="14592" width="8.7109375" style="107"/>
    <col min="14593" max="14593" width="23.0703125" style="107" customWidth="1"/>
    <col min="14594" max="14848" width="8.7109375" style="107"/>
    <col min="14849" max="14849" width="23.0703125" style="107" customWidth="1"/>
    <col min="14850" max="15104" width="8.7109375" style="107"/>
    <col min="15105" max="15105" width="23.0703125" style="107" customWidth="1"/>
    <col min="15106" max="15360" width="8.7109375" style="107"/>
    <col min="15361" max="15361" width="23.0703125" style="107" customWidth="1"/>
    <col min="15362" max="15616" width="8.7109375" style="107"/>
    <col min="15617" max="15617" width="23.0703125" style="107" customWidth="1"/>
    <col min="15618" max="15872" width="8.7109375" style="107"/>
    <col min="15873" max="15873" width="23.0703125" style="107" customWidth="1"/>
    <col min="15874" max="16128" width="8.7109375" style="107"/>
    <col min="16129" max="16129" width="23.0703125" style="107" customWidth="1"/>
    <col min="16130" max="16384" width="8.7109375" style="107"/>
  </cols>
  <sheetData>
    <row r="1" spans="1:11" ht="14" x14ac:dyDescent="0.3">
      <c r="A1" s="116" t="s">
        <v>181</v>
      </c>
    </row>
    <row r="2" spans="1:11" x14ac:dyDescent="0.25">
      <c r="A2" s="115" t="s">
        <v>182</v>
      </c>
    </row>
    <row r="3" spans="1:11" ht="13" x14ac:dyDescent="0.3">
      <c r="A3" s="106" t="s">
        <v>183</v>
      </c>
    </row>
    <row r="5" spans="1:11" ht="13" x14ac:dyDescent="0.3">
      <c r="B5" s="106" t="s">
        <v>183</v>
      </c>
    </row>
    <row r="6" spans="1:11" ht="13" x14ac:dyDescent="0.3">
      <c r="B6" s="106"/>
    </row>
    <row r="7" spans="1:11" ht="13" x14ac:dyDescent="0.3">
      <c r="A7" s="109" t="s">
        <v>157</v>
      </c>
      <c r="B7" s="117" t="s">
        <v>184</v>
      </c>
      <c r="C7" s="117" t="s">
        <v>185</v>
      </c>
      <c r="D7" s="117" t="s">
        <v>186</v>
      </c>
      <c r="E7" s="117" t="s">
        <v>187</v>
      </c>
      <c r="F7" s="117" t="s">
        <v>188</v>
      </c>
      <c r="G7" s="117" t="s">
        <v>189</v>
      </c>
      <c r="H7" s="117" t="s">
        <v>190</v>
      </c>
      <c r="I7" s="117" t="s">
        <v>191</v>
      </c>
      <c r="J7" s="117" t="s">
        <v>192</v>
      </c>
      <c r="K7" s="117" t="s">
        <v>193</v>
      </c>
    </row>
    <row r="8" spans="1:11" x14ac:dyDescent="0.25">
      <c r="A8" s="110" t="s">
        <v>42</v>
      </c>
      <c r="B8" s="111">
        <v>55.454545454545453</v>
      </c>
      <c r="C8" s="111">
        <v>54.954954954954957</v>
      </c>
      <c r="D8" s="111">
        <v>57.407407407407405</v>
      </c>
      <c r="E8" s="111">
        <v>36.19047619047619</v>
      </c>
      <c r="F8" s="111">
        <v>41.904761904761905</v>
      </c>
      <c r="G8" s="111">
        <v>39.047619047619051</v>
      </c>
      <c r="H8" s="111">
        <v>90.825688073394502</v>
      </c>
      <c r="I8" s="111">
        <v>57.142857142857146</v>
      </c>
      <c r="J8" s="111">
        <v>50</v>
      </c>
      <c r="K8" s="111">
        <v>25.96153846153846</v>
      </c>
    </row>
    <row r="9" spans="1:11" x14ac:dyDescent="0.25">
      <c r="A9" s="110" t="s">
        <v>43</v>
      </c>
      <c r="B9" s="111">
        <v>56.434108527131784</v>
      </c>
      <c r="C9" s="111">
        <v>52.351097178683382</v>
      </c>
      <c r="D9" s="111">
        <v>55.433070866141733</v>
      </c>
      <c r="E9" s="111">
        <v>39.418416801292409</v>
      </c>
      <c r="F9" s="111">
        <v>40.5103668261563</v>
      </c>
      <c r="G9" s="111">
        <v>34.4</v>
      </c>
      <c r="H9" s="111">
        <v>88.580246913580254</v>
      </c>
      <c r="I9" s="111">
        <v>65.086887835702996</v>
      </c>
      <c r="J9" s="111">
        <v>63.418530351437703</v>
      </c>
      <c r="K9" s="111">
        <v>45.569620253164558</v>
      </c>
    </row>
    <row r="10" spans="1:11" x14ac:dyDescent="0.25">
      <c r="A10" s="110" t="s">
        <v>44</v>
      </c>
      <c r="B10" s="111">
        <v>65.822784810126578</v>
      </c>
      <c r="C10" s="111">
        <v>61.935483870967744</v>
      </c>
      <c r="D10" s="111">
        <v>58.974358974358971</v>
      </c>
      <c r="E10" s="111">
        <v>39.333333333333336</v>
      </c>
      <c r="F10" s="111">
        <v>51.973684210526315</v>
      </c>
      <c r="G10" s="111">
        <v>49.673202614379086</v>
      </c>
      <c r="H10" s="111">
        <v>89.808917197452232</v>
      </c>
      <c r="I10" s="111">
        <v>59.740259740259738</v>
      </c>
      <c r="J10" s="111">
        <v>51.948051948051948</v>
      </c>
      <c r="K10" s="111">
        <v>30.065359477124183</v>
      </c>
    </row>
    <row r="11" spans="1:11" x14ac:dyDescent="0.25">
      <c r="A11" s="110" t="s">
        <v>68</v>
      </c>
      <c r="B11" s="111">
        <v>55.685618729096987</v>
      </c>
      <c r="C11" s="111">
        <v>48.639455782312922</v>
      </c>
      <c r="D11" s="111">
        <v>41.12627986348123</v>
      </c>
      <c r="E11" s="111">
        <v>39.756944444444443</v>
      </c>
      <c r="F11" s="111">
        <v>39.652173913043477</v>
      </c>
      <c r="G11" s="111">
        <v>37.213403880070544</v>
      </c>
      <c r="H11" s="111">
        <v>86.934673366834176</v>
      </c>
      <c r="I11" s="111">
        <v>60.763888888888886</v>
      </c>
      <c r="J11" s="111">
        <v>56.379310344827587</v>
      </c>
      <c r="K11" s="111">
        <v>35.578583765112263</v>
      </c>
    </row>
    <row r="12" spans="1:11" x14ac:dyDescent="0.25">
      <c r="A12" s="110" t="s">
        <v>2</v>
      </c>
      <c r="B12" s="111">
        <v>57.954545454545453</v>
      </c>
      <c r="C12" s="111">
        <v>58.064516129032256</v>
      </c>
      <c r="D12" s="111">
        <v>58.426966292134829</v>
      </c>
      <c r="E12" s="111">
        <v>27.710843373493976</v>
      </c>
      <c r="F12" s="111">
        <v>45.238095238095241</v>
      </c>
      <c r="G12" s="111">
        <v>46.428571428571431</v>
      </c>
      <c r="H12" s="111">
        <v>83.516483516483518</v>
      </c>
      <c r="I12" s="111">
        <v>53.932584269662918</v>
      </c>
      <c r="J12" s="111">
        <v>37.931034482758619</v>
      </c>
      <c r="K12" s="111">
        <v>20.689655172413794</v>
      </c>
    </row>
    <row r="13" spans="1:11" x14ac:dyDescent="0.25">
      <c r="A13" s="110" t="s">
        <v>3</v>
      </c>
      <c r="B13" s="111">
        <v>60.83916083916084</v>
      </c>
      <c r="C13" s="111">
        <v>56.227758007117437</v>
      </c>
      <c r="D13" s="111">
        <v>61.090909090909093</v>
      </c>
      <c r="E13" s="111">
        <v>37.5</v>
      </c>
      <c r="F13" s="111">
        <v>48.540145985401459</v>
      </c>
      <c r="G13" s="111">
        <v>41.328413284132843</v>
      </c>
      <c r="H13" s="111">
        <v>84.722222222222229</v>
      </c>
      <c r="I13" s="111">
        <v>57.400722021660648</v>
      </c>
      <c r="J13" s="111">
        <v>47.080291970802918</v>
      </c>
      <c r="K13" s="111">
        <v>28.102189781021899</v>
      </c>
    </row>
    <row r="14" spans="1:11" x14ac:dyDescent="0.25">
      <c r="A14" s="110" t="s">
        <v>4</v>
      </c>
      <c r="B14" s="111">
        <v>53.403141361256544</v>
      </c>
      <c r="C14" s="111">
        <v>48.121645796064399</v>
      </c>
      <c r="D14" s="111">
        <v>54.264972776769511</v>
      </c>
      <c r="E14" s="111">
        <v>35.404896421845571</v>
      </c>
      <c r="F14" s="111">
        <v>37.338262476894641</v>
      </c>
      <c r="G14" s="111">
        <v>37.126865671641788</v>
      </c>
      <c r="H14" s="111">
        <v>85.409252669039148</v>
      </c>
      <c r="I14" s="111">
        <v>55.514705882352942</v>
      </c>
      <c r="J14" s="111">
        <v>50.735294117647058</v>
      </c>
      <c r="K14" s="111">
        <v>30.402930402930401</v>
      </c>
    </row>
    <row r="15" spans="1:11" x14ac:dyDescent="0.25">
      <c r="A15" s="110" t="s">
        <v>46</v>
      </c>
      <c r="B15" s="111">
        <v>63.309352517985609</v>
      </c>
      <c r="C15" s="111">
        <v>68.382352941176464</v>
      </c>
      <c r="D15" s="111">
        <v>76.691729323308266</v>
      </c>
      <c r="E15" s="111">
        <v>28.125</v>
      </c>
      <c r="F15" s="111">
        <v>64.925373134328353</v>
      </c>
      <c r="G15" s="111">
        <v>62.121212121212125</v>
      </c>
      <c r="H15" s="111">
        <v>89.285714285714292</v>
      </c>
      <c r="I15" s="111">
        <v>63.07692307692308</v>
      </c>
      <c r="J15" s="111">
        <v>47.65625</v>
      </c>
      <c r="K15" s="111">
        <v>25.384615384615383</v>
      </c>
    </row>
    <row r="16" spans="1:11" x14ac:dyDescent="0.25">
      <c r="A16" s="110" t="s">
        <v>5</v>
      </c>
      <c r="B16" s="111">
        <v>55.216693418940608</v>
      </c>
      <c r="C16" s="111">
        <v>52.528548123980421</v>
      </c>
      <c r="D16" s="111">
        <v>65.123966942148755</v>
      </c>
      <c r="E16" s="111">
        <v>40.270727580372252</v>
      </c>
      <c r="F16" s="111">
        <v>45.409015025041739</v>
      </c>
      <c r="G16" s="111">
        <v>45.409015025041739</v>
      </c>
      <c r="H16" s="111">
        <v>88.292682926829272</v>
      </c>
      <c r="I16" s="111">
        <v>61.872909698996658</v>
      </c>
      <c r="J16" s="111">
        <v>54.515050167224082</v>
      </c>
      <c r="K16" s="111">
        <v>31.552587646076795</v>
      </c>
    </row>
    <row r="17" spans="1:11" x14ac:dyDescent="0.25">
      <c r="A17" s="110" t="s">
        <v>48</v>
      </c>
      <c r="B17" s="111">
        <v>53.278688524590166</v>
      </c>
      <c r="C17" s="111">
        <v>52.892561983471076</v>
      </c>
      <c r="D17" s="111">
        <v>65.322580645161295</v>
      </c>
      <c r="E17" s="111">
        <v>39.316239316239319</v>
      </c>
      <c r="F17" s="111">
        <v>46.153846153846153</v>
      </c>
      <c r="G17" s="111">
        <v>50</v>
      </c>
      <c r="H17" s="111">
        <v>91.056910569105696</v>
      </c>
      <c r="I17" s="111">
        <v>57.758620689655174</v>
      </c>
      <c r="J17" s="111">
        <v>46.610169491525426</v>
      </c>
      <c r="K17" s="111">
        <v>27.350427350427349</v>
      </c>
    </row>
    <row r="18" spans="1:11" x14ac:dyDescent="0.25">
      <c r="A18" s="110" t="s">
        <v>49</v>
      </c>
      <c r="B18" s="111">
        <v>68.817204301075265</v>
      </c>
      <c r="C18" s="111">
        <v>61.702127659574465</v>
      </c>
      <c r="D18" s="111">
        <v>74.747474747474755</v>
      </c>
      <c r="E18" s="111">
        <v>31.111111111111111</v>
      </c>
      <c r="F18" s="111">
        <v>54.347826086956523</v>
      </c>
      <c r="G18" s="111">
        <v>58.695652173913047</v>
      </c>
      <c r="H18" s="111">
        <v>85.148514851485146</v>
      </c>
      <c r="I18" s="111">
        <v>52.173913043478258</v>
      </c>
      <c r="J18" s="111">
        <v>46.153846153846153</v>
      </c>
      <c r="K18" s="111">
        <v>22.580645161290324</v>
      </c>
    </row>
    <row r="19" spans="1:11" x14ac:dyDescent="0.25">
      <c r="A19" s="110" t="s">
        <v>50</v>
      </c>
      <c r="B19" s="111">
        <v>56.043956043956044</v>
      </c>
      <c r="C19" s="111">
        <v>52.840909090909093</v>
      </c>
      <c r="D19" s="111">
        <v>58.988764044943821</v>
      </c>
      <c r="E19" s="111">
        <v>34.117647058823529</v>
      </c>
      <c r="F19" s="111">
        <v>45.348837209302324</v>
      </c>
      <c r="G19" s="111">
        <v>53.672316384180789</v>
      </c>
      <c r="H19" s="111">
        <v>89.944134078212286</v>
      </c>
      <c r="I19" s="111">
        <v>56.725146198830409</v>
      </c>
      <c r="J19" s="111">
        <v>47.701149425287355</v>
      </c>
      <c r="K19" s="111">
        <v>24.571428571428573</v>
      </c>
    </row>
    <row r="20" spans="1:11" x14ac:dyDescent="0.25">
      <c r="A20" s="110" t="s">
        <v>69</v>
      </c>
      <c r="B20" s="111">
        <v>56.666666666666664</v>
      </c>
      <c r="C20" s="111">
        <v>54.012345679012348</v>
      </c>
      <c r="D20" s="111">
        <v>65.349544072948333</v>
      </c>
      <c r="E20" s="111">
        <v>34.219269102990033</v>
      </c>
      <c r="F20" s="111">
        <v>43.137254901960787</v>
      </c>
      <c r="G20" s="111">
        <v>44.660194174757279</v>
      </c>
      <c r="H20" s="111">
        <v>85.454545454545453</v>
      </c>
      <c r="I20" s="111">
        <v>60.12658227848101</v>
      </c>
      <c r="J20" s="111">
        <v>46.031746031746032</v>
      </c>
      <c r="K20" s="111">
        <v>27.476038338658146</v>
      </c>
    </row>
    <row r="21" spans="1:11" x14ac:dyDescent="0.25">
      <c r="A21" s="110" t="s">
        <v>6</v>
      </c>
      <c r="B21" s="111">
        <v>54.864864864864863</v>
      </c>
      <c r="C21" s="111">
        <v>49.428571428571431</v>
      </c>
      <c r="D21" s="111">
        <v>49.859154929577464</v>
      </c>
      <c r="E21" s="111">
        <v>27.108433734939759</v>
      </c>
      <c r="F21" s="111">
        <v>38.643067846607671</v>
      </c>
      <c r="G21" s="111">
        <v>35.777126099706742</v>
      </c>
      <c r="H21" s="111">
        <v>86.666666666666671</v>
      </c>
      <c r="I21" s="111">
        <v>61.337209302325583</v>
      </c>
      <c r="J21" s="111">
        <v>51.594202898550726</v>
      </c>
      <c r="K21" s="111">
        <v>30.232558139534884</v>
      </c>
    </row>
    <row r="22" spans="1:11" x14ac:dyDescent="0.25">
      <c r="A22" s="110" t="s">
        <v>70</v>
      </c>
      <c r="B22" s="111">
        <v>63.013698630136986</v>
      </c>
      <c r="C22" s="111">
        <v>61.860465116279073</v>
      </c>
      <c r="D22" s="111">
        <v>62.616822429906541</v>
      </c>
      <c r="E22" s="111">
        <v>31.088082901554404</v>
      </c>
      <c r="F22" s="111">
        <v>49.75124378109453</v>
      </c>
      <c r="G22" s="111">
        <v>61.53846153846154</v>
      </c>
      <c r="H22" s="111">
        <v>88.073394495412842</v>
      </c>
      <c r="I22" s="111">
        <v>58.706467661691541</v>
      </c>
      <c r="J22" s="111">
        <v>44.776119402985074</v>
      </c>
      <c r="K22" s="111">
        <v>26.600985221674875</v>
      </c>
    </row>
    <row r="23" spans="1:11" x14ac:dyDescent="0.25">
      <c r="A23" s="110" t="s">
        <v>7</v>
      </c>
      <c r="B23" s="111">
        <v>57.79220779220779</v>
      </c>
      <c r="C23" s="111">
        <v>55.102040816326529</v>
      </c>
      <c r="D23" s="111">
        <v>73.026315789473685</v>
      </c>
      <c r="E23" s="111">
        <v>41.25874125874126</v>
      </c>
      <c r="F23" s="111">
        <v>54.109589041095887</v>
      </c>
      <c r="G23" s="111">
        <v>48.251748251748253</v>
      </c>
      <c r="H23" s="111">
        <v>86.928104575163403</v>
      </c>
      <c r="I23" s="111">
        <v>52.413793103448278</v>
      </c>
      <c r="J23" s="111">
        <v>48.251748251748253</v>
      </c>
      <c r="K23" s="111">
        <v>32.167832167832167</v>
      </c>
    </row>
    <row r="24" spans="1:11" x14ac:dyDescent="0.25">
      <c r="A24" s="110" t="s">
        <v>22</v>
      </c>
      <c r="B24" s="111">
        <v>46.913580246913583</v>
      </c>
      <c r="C24" s="111">
        <v>57.055214723926383</v>
      </c>
      <c r="D24" s="111">
        <v>57.594936708860757</v>
      </c>
      <c r="E24" s="111">
        <v>30.201342281879196</v>
      </c>
      <c r="F24" s="111">
        <v>31.818181818181817</v>
      </c>
      <c r="G24" s="111">
        <v>37.179487179487182</v>
      </c>
      <c r="H24" s="111">
        <v>75.308641975308646</v>
      </c>
      <c r="I24" s="111">
        <v>57.41935483870968</v>
      </c>
      <c r="J24" s="111">
        <v>46.103896103896105</v>
      </c>
      <c r="K24" s="111">
        <v>23.566878980891719</v>
      </c>
    </row>
    <row r="25" spans="1:11" x14ac:dyDescent="0.25">
      <c r="A25" s="110" t="s">
        <v>8</v>
      </c>
      <c r="B25" s="111">
        <v>54.832347140039445</v>
      </c>
      <c r="C25" s="111">
        <v>50.201612903225808</v>
      </c>
      <c r="D25" s="111">
        <v>63.4</v>
      </c>
      <c r="E25" s="111">
        <v>38.085106382978722</v>
      </c>
      <c r="F25" s="111">
        <v>45.867768595041319</v>
      </c>
      <c r="G25" s="111">
        <v>48.353909465020578</v>
      </c>
      <c r="H25" s="111">
        <v>89.019607843137251</v>
      </c>
      <c r="I25" s="111">
        <v>61.522633744855966</v>
      </c>
      <c r="J25" s="111">
        <v>54.279749478079331</v>
      </c>
      <c r="K25" s="111">
        <v>30.08298755186722</v>
      </c>
    </row>
    <row r="26" spans="1:11" x14ac:dyDescent="0.25">
      <c r="A26" s="110" t="s">
        <v>9</v>
      </c>
      <c r="B26" s="111">
        <v>55.686274509803923</v>
      </c>
      <c r="C26" s="111">
        <v>49.800796812749006</v>
      </c>
      <c r="D26" s="111">
        <v>59.274193548387096</v>
      </c>
      <c r="E26" s="111">
        <v>30.204081632653061</v>
      </c>
      <c r="F26" s="111">
        <v>45.748987854251013</v>
      </c>
      <c r="G26" s="111">
        <v>41.935483870967744</v>
      </c>
      <c r="H26" s="111">
        <v>87.2</v>
      </c>
      <c r="I26" s="111">
        <v>54.838709677419352</v>
      </c>
      <c r="J26" s="111">
        <v>52.244897959183675</v>
      </c>
      <c r="K26" s="111">
        <v>26.720647773279353</v>
      </c>
    </row>
    <row r="27" spans="1:11" x14ac:dyDescent="0.25">
      <c r="A27" s="110" t="s">
        <v>54</v>
      </c>
      <c r="B27" s="111">
        <v>55.128205128205131</v>
      </c>
      <c r="C27" s="111">
        <v>52.903225806451616</v>
      </c>
      <c r="D27" s="111">
        <v>48.387096774193552</v>
      </c>
      <c r="E27" s="111">
        <v>41.379310344827587</v>
      </c>
      <c r="F27" s="111">
        <v>53.741496598639458</v>
      </c>
      <c r="G27" s="111">
        <v>57.615894039735096</v>
      </c>
      <c r="H27" s="111">
        <v>83.766233766233768</v>
      </c>
      <c r="I27" s="111">
        <v>51.315789473684212</v>
      </c>
      <c r="J27" s="111">
        <v>40.789473684210527</v>
      </c>
      <c r="K27" s="111">
        <v>26.490066225165563</v>
      </c>
    </row>
    <row r="28" spans="1:11" x14ac:dyDescent="0.25">
      <c r="A28" s="110" t="s">
        <v>71</v>
      </c>
      <c r="B28" s="111">
        <v>54.814814814814817</v>
      </c>
      <c r="C28" s="111">
        <v>52.25</v>
      </c>
      <c r="D28" s="111">
        <v>60.099750623441395</v>
      </c>
      <c r="E28" s="111">
        <v>37.10526315789474</v>
      </c>
      <c r="F28" s="111">
        <v>44.155844155844157</v>
      </c>
      <c r="G28" s="111">
        <v>45.591939546599498</v>
      </c>
      <c r="H28" s="111">
        <v>86.486486486486484</v>
      </c>
      <c r="I28" s="111">
        <v>54.755784061696659</v>
      </c>
      <c r="J28" s="111">
        <v>49.614395886889461</v>
      </c>
      <c r="K28" s="111">
        <v>28.020565552699228</v>
      </c>
    </row>
    <row r="29" spans="1:11" x14ac:dyDescent="0.25">
      <c r="A29" s="110" t="s">
        <v>10</v>
      </c>
      <c r="B29" s="111">
        <v>65.346534653465341</v>
      </c>
      <c r="C29" s="111">
        <v>62.686567164179102</v>
      </c>
      <c r="D29" s="111">
        <v>57.213930348258707</v>
      </c>
      <c r="E29" s="111">
        <v>33.157894736842103</v>
      </c>
      <c r="F29" s="111">
        <v>48.96907216494845</v>
      </c>
      <c r="G29" s="111">
        <v>46.428571428571431</v>
      </c>
      <c r="H29" s="111">
        <v>76.5</v>
      </c>
      <c r="I29" s="111">
        <v>60.512820512820511</v>
      </c>
      <c r="J29" s="111">
        <v>42.783505154639172</v>
      </c>
      <c r="K29" s="111">
        <v>28.205128205128204</v>
      </c>
    </row>
    <row r="30" spans="1:11" x14ac:dyDescent="0.25">
      <c r="A30" s="110" t="s">
        <v>56</v>
      </c>
      <c r="B30" s="111">
        <v>49.704142011834321</v>
      </c>
      <c r="C30" s="111">
        <v>55.487804878048777</v>
      </c>
      <c r="D30" s="111">
        <v>64.634146341463421</v>
      </c>
      <c r="E30" s="111">
        <v>30.967741935483872</v>
      </c>
      <c r="F30" s="111">
        <v>42.5</v>
      </c>
      <c r="G30" s="111">
        <v>45.283018867924525</v>
      </c>
      <c r="H30" s="111">
        <v>84.756097560975604</v>
      </c>
      <c r="I30" s="111">
        <v>54.037267080745345</v>
      </c>
      <c r="J30" s="111">
        <v>42.857142857142854</v>
      </c>
      <c r="K30" s="111">
        <v>22.981366459627328</v>
      </c>
    </row>
    <row r="31" spans="1:11" x14ac:dyDescent="0.25">
      <c r="A31" s="110" t="s">
        <v>11</v>
      </c>
      <c r="B31" s="111">
        <v>52.998379254457049</v>
      </c>
      <c r="C31" s="111">
        <v>49.917627677100491</v>
      </c>
      <c r="D31" s="111">
        <v>63.681592039800996</v>
      </c>
      <c r="E31" s="111">
        <v>38.103448275862071</v>
      </c>
      <c r="F31" s="111">
        <v>40.986394557823132</v>
      </c>
      <c r="G31" s="111">
        <v>40.16949152542373</v>
      </c>
      <c r="H31" s="111">
        <v>85.179153094462535</v>
      </c>
      <c r="I31" s="111">
        <v>60.16949152542373</v>
      </c>
      <c r="J31" s="111">
        <v>53.220338983050844</v>
      </c>
      <c r="K31" s="111">
        <v>30.18549747048904</v>
      </c>
    </row>
    <row r="32" spans="1:11" x14ac:dyDescent="0.25">
      <c r="A32" s="110" t="s">
        <v>58</v>
      </c>
      <c r="B32" s="111">
        <v>48.113207547169814</v>
      </c>
      <c r="C32" s="111">
        <v>53.921568627450981</v>
      </c>
      <c r="D32" s="111">
        <v>52.884615384615387</v>
      </c>
      <c r="E32" s="111">
        <v>28.865979381443299</v>
      </c>
      <c r="F32" s="111">
        <v>44.444444444444443</v>
      </c>
      <c r="G32" s="111">
        <v>56.862745098039213</v>
      </c>
      <c r="H32" s="111">
        <v>77.35849056603773</v>
      </c>
      <c r="I32" s="111">
        <v>45</v>
      </c>
      <c r="J32" s="111">
        <v>36</v>
      </c>
      <c r="K32" s="111">
        <v>17.171717171717173</v>
      </c>
    </row>
    <row r="33" spans="1:11" x14ac:dyDescent="0.25">
      <c r="A33" s="110" t="s">
        <v>59</v>
      </c>
      <c r="B33" s="111">
        <v>55.303030303030305</v>
      </c>
      <c r="C33" s="111">
        <v>49.242424242424242</v>
      </c>
      <c r="D33" s="111">
        <v>67.391304347826093</v>
      </c>
      <c r="E33" s="111">
        <v>40.625</v>
      </c>
      <c r="F33" s="111">
        <v>40.458015267175576</v>
      </c>
      <c r="G33" s="111">
        <v>41.860465116279073</v>
      </c>
      <c r="H33" s="111">
        <v>88.059701492537314</v>
      </c>
      <c r="I33" s="111">
        <v>56.488549618320612</v>
      </c>
      <c r="J33" s="111">
        <v>46.511627906976742</v>
      </c>
      <c r="K33" s="111">
        <v>26.5625</v>
      </c>
    </row>
    <row r="34" spans="1:11" x14ac:dyDescent="0.25">
      <c r="A34" s="110" t="s">
        <v>60</v>
      </c>
      <c r="B34" s="111">
        <v>55.147058823529413</v>
      </c>
      <c r="C34" s="111">
        <v>47.794117647058826</v>
      </c>
      <c r="D34" s="111">
        <v>54.814814814814817</v>
      </c>
      <c r="E34" s="111">
        <v>33.333333333333336</v>
      </c>
      <c r="F34" s="111">
        <v>46.875</v>
      </c>
      <c r="G34" s="111">
        <v>49.624060150375939</v>
      </c>
      <c r="H34" s="111">
        <v>83.211678832116789</v>
      </c>
      <c r="I34" s="111">
        <v>54.961832061068705</v>
      </c>
      <c r="J34" s="111">
        <v>43.07692307692308</v>
      </c>
      <c r="K34" s="111">
        <v>19.548872180451127</v>
      </c>
    </row>
    <row r="35" spans="1:11" x14ac:dyDescent="0.25">
      <c r="A35" s="110" t="s">
        <v>12</v>
      </c>
      <c r="B35" s="111">
        <v>49.152542372881356</v>
      </c>
      <c r="C35" s="111">
        <v>58.620689655172413</v>
      </c>
      <c r="D35" s="111">
        <v>62.809917355371901</v>
      </c>
      <c r="E35" s="111">
        <v>31.77570093457944</v>
      </c>
      <c r="F35" s="111">
        <v>61.81818181818182</v>
      </c>
      <c r="G35" s="111">
        <v>51.81818181818182</v>
      </c>
      <c r="H35" s="111">
        <v>83.760683760683762</v>
      </c>
      <c r="I35" s="111">
        <v>52.293577981651374</v>
      </c>
      <c r="J35" s="111">
        <v>36.111111111111114</v>
      </c>
      <c r="K35" s="111">
        <v>23.148148148148149</v>
      </c>
    </row>
    <row r="36" spans="1:11" x14ac:dyDescent="0.25">
      <c r="A36" s="110" t="s">
        <v>61</v>
      </c>
      <c r="B36" s="111">
        <v>55.601659751037346</v>
      </c>
      <c r="C36" s="111">
        <v>48.717948717948715</v>
      </c>
      <c r="D36" s="111">
        <v>59.243697478991599</v>
      </c>
      <c r="E36" s="111">
        <v>37.004405286343612</v>
      </c>
      <c r="F36" s="111">
        <v>50.649350649350652</v>
      </c>
      <c r="G36" s="111">
        <v>52.173913043478258</v>
      </c>
      <c r="H36" s="111">
        <v>88.75</v>
      </c>
      <c r="I36" s="111">
        <v>62.719298245614034</v>
      </c>
      <c r="J36" s="111">
        <v>53.070175438596493</v>
      </c>
      <c r="K36" s="111">
        <v>31.004366812227076</v>
      </c>
    </row>
    <row r="37" spans="1:11" x14ac:dyDescent="0.25">
      <c r="A37" s="110" t="s">
        <v>62</v>
      </c>
      <c r="B37" s="111">
        <v>68.867924528301884</v>
      </c>
      <c r="C37" s="111">
        <v>63.636363636363633</v>
      </c>
      <c r="D37" s="111">
        <v>68.316831683168317</v>
      </c>
      <c r="E37" s="111">
        <v>29.787234042553191</v>
      </c>
      <c r="F37" s="111">
        <v>56.122448979591837</v>
      </c>
      <c r="G37" s="111">
        <v>51.546391752577321</v>
      </c>
      <c r="H37" s="111">
        <v>85.148514851485146</v>
      </c>
      <c r="I37" s="111">
        <v>48.421052631578945</v>
      </c>
      <c r="J37" s="111">
        <v>42.268041237113401</v>
      </c>
      <c r="K37" s="111">
        <v>24.742268041237114</v>
      </c>
    </row>
    <row r="38" spans="1:11" x14ac:dyDescent="0.25">
      <c r="A38" s="110" t="s">
        <v>23</v>
      </c>
      <c r="B38" s="111">
        <v>60.185185185185183</v>
      </c>
      <c r="C38" s="111">
        <v>54.0625</v>
      </c>
      <c r="D38" s="111">
        <v>49.689440993788821</v>
      </c>
      <c r="E38" s="111">
        <v>30.16393442622951</v>
      </c>
      <c r="F38" s="111">
        <v>43.910256410256409</v>
      </c>
      <c r="G38" s="111">
        <v>43.174603174603178</v>
      </c>
      <c r="H38" s="111">
        <v>77.81155015197568</v>
      </c>
      <c r="I38" s="111">
        <v>64.761904761904759</v>
      </c>
      <c r="J38" s="111">
        <v>45.047923322683708</v>
      </c>
      <c r="K38" s="111">
        <v>31.948881789137381</v>
      </c>
    </row>
    <row r="39" spans="1:11" x14ac:dyDescent="0.25">
      <c r="A39" s="110" t="s">
        <v>13</v>
      </c>
      <c r="B39" s="111">
        <v>53.737373737373737</v>
      </c>
      <c r="C39" s="111">
        <v>51.851851851851855</v>
      </c>
      <c r="D39" s="111">
        <v>52.749490835030549</v>
      </c>
      <c r="E39" s="111">
        <v>34.285714285714285</v>
      </c>
      <c r="F39" s="111">
        <v>43.949044585987259</v>
      </c>
      <c r="G39" s="111">
        <v>43.844492440604753</v>
      </c>
      <c r="H39" s="111">
        <v>86.122448979591837</v>
      </c>
      <c r="I39" s="111">
        <v>59.913793103448278</v>
      </c>
      <c r="J39" s="111">
        <v>49.572649572649574</v>
      </c>
      <c r="K39" s="111">
        <v>27.505330490405118</v>
      </c>
    </row>
    <row r="40" spans="1:11" x14ac:dyDescent="0.25">
      <c r="A40" s="110" t="s">
        <v>14</v>
      </c>
      <c r="B40" s="111">
        <v>58.940397350993379</v>
      </c>
      <c r="C40" s="111">
        <v>50.666666666666664</v>
      </c>
      <c r="D40" s="111">
        <v>57.333333333333336</v>
      </c>
      <c r="E40" s="111">
        <v>34.482758620689658</v>
      </c>
      <c r="F40" s="111">
        <v>37.5</v>
      </c>
      <c r="G40" s="111">
        <v>36.054421768707485</v>
      </c>
      <c r="H40" s="111">
        <v>84.137931034482762</v>
      </c>
      <c r="I40" s="111">
        <v>62.068965517241381</v>
      </c>
      <c r="J40" s="111">
        <v>54.929577464788736</v>
      </c>
      <c r="K40" s="111">
        <v>32.876712328767127</v>
      </c>
    </row>
    <row r="41" spans="1:11" x14ac:dyDescent="0.25">
      <c r="A41" s="110" t="s">
        <v>64</v>
      </c>
      <c r="B41" s="111">
        <v>51.592356687898089</v>
      </c>
      <c r="C41" s="111">
        <v>53.703703703703702</v>
      </c>
      <c r="D41" s="111">
        <v>49.681528662420384</v>
      </c>
      <c r="E41" s="111">
        <v>31.818181818181817</v>
      </c>
      <c r="F41" s="111">
        <v>42.483660130718953</v>
      </c>
      <c r="G41" s="111">
        <v>41.666666666666664</v>
      </c>
      <c r="H41" s="111">
        <v>80</v>
      </c>
      <c r="I41" s="111">
        <v>51.633986928104576</v>
      </c>
      <c r="J41" s="111">
        <v>40.666666666666664</v>
      </c>
      <c r="K41" s="111">
        <v>23.178807947019866</v>
      </c>
    </row>
    <row r="42" spans="1:11" x14ac:dyDescent="0.25">
      <c r="A42" s="110" t="s">
        <v>65</v>
      </c>
      <c r="B42" s="111">
        <v>54.436090225563909</v>
      </c>
      <c r="C42" s="111">
        <v>55.267175572519086</v>
      </c>
      <c r="D42" s="111">
        <v>70.015220700152213</v>
      </c>
      <c r="E42" s="111">
        <v>41.176470588235297</v>
      </c>
      <c r="F42" s="111">
        <v>43.642072213500782</v>
      </c>
      <c r="G42" s="111">
        <v>39.465408805031444</v>
      </c>
      <c r="H42" s="111">
        <v>86.227544910179645</v>
      </c>
      <c r="I42" s="111">
        <v>63.55140186915888</v>
      </c>
      <c r="J42" s="111">
        <v>55.968992248062015</v>
      </c>
      <c r="K42" s="111">
        <v>34.89827856025039</v>
      </c>
    </row>
    <row r="43" spans="1:11" x14ac:dyDescent="0.25">
      <c r="A43" s="110" t="s">
        <v>66</v>
      </c>
      <c r="B43" s="111">
        <v>56.544502617801044</v>
      </c>
      <c r="C43" s="111">
        <v>52.631578947368418</v>
      </c>
      <c r="D43" s="111">
        <v>65.803108808290162</v>
      </c>
      <c r="E43" s="111">
        <v>32.584269662921351</v>
      </c>
      <c r="F43" s="111">
        <v>49.462365591397848</v>
      </c>
      <c r="G43" s="111">
        <v>58.011049723756905</v>
      </c>
      <c r="H43" s="111">
        <v>86.52849740932642</v>
      </c>
      <c r="I43" s="111">
        <v>63.101604278074866</v>
      </c>
      <c r="J43" s="111">
        <v>45.652173913043477</v>
      </c>
      <c r="K43" s="111">
        <v>27.027027027027028</v>
      </c>
    </row>
    <row r="44" spans="1:11" x14ac:dyDescent="0.25">
      <c r="A44" s="110" t="s">
        <v>15</v>
      </c>
      <c r="B44" s="111">
        <v>52.508361204013376</v>
      </c>
      <c r="C44" s="111">
        <v>47.884940778341793</v>
      </c>
      <c r="D44" s="111">
        <v>67.166666666666671</v>
      </c>
      <c r="E44" s="111">
        <v>35.273368606701943</v>
      </c>
      <c r="F44" s="111">
        <v>41.506129597197898</v>
      </c>
      <c r="G44" s="111">
        <v>40.766550522648082</v>
      </c>
      <c r="H44" s="111">
        <v>84.666666666666671</v>
      </c>
      <c r="I44" s="111">
        <v>62.222222222222221</v>
      </c>
      <c r="J44" s="111">
        <v>55.384615384615387</v>
      </c>
      <c r="K44" s="111">
        <v>37.328767123287669</v>
      </c>
    </row>
    <row r="45" spans="1:11" x14ac:dyDescent="0.25">
      <c r="A45" s="110" t="s">
        <v>16</v>
      </c>
      <c r="B45" s="111">
        <v>53.638814016172503</v>
      </c>
      <c r="C45" s="111">
        <v>50.974930362116993</v>
      </c>
      <c r="D45" s="111">
        <v>63.48773841961853</v>
      </c>
      <c r="E45" s="111">
        <v>38.681948424068771</v>
      </c>
      <c r="F45" s="111">
        <v>43.103448275862071</v>
      </c>
      <c r="G45" s="111">
        <v>42.776203966005667</v>
      </c>
      <c r="H45" s="111">
        <v>82.526881720430111</v>
      </c>
      <c r="I45" s="111">
        <v>62.784090909090907</v>
      </c>
      <c r="J45" s="111">
        <v>52.542372881355931</v>
      </c>
      <c r="K45" s="111">
        <v>35.028248587570623</v>
      </c>
    </row>
    <row r="46" spans="1:11" x14ac:dyDescent="0.25">
      <c r="A46" s="110" t="s">
        <v>17</v>
      </c>
      <c r="B46" s="111">
        <v>61.53846153846154</v>
      </c>
      <c r="C46" s="111">
        <v>60.674157303370784</v>
      </c>
      <c r="D46" s="111">
        <v>74.444444444444443</v>
      </c>
      <c r="E46" s="111">
        <v>36.781609195402297</v>
      </c>
      <c r="F46" s="111">
        <v>53.571428571428569</v>
      </c>
      <c r="G46" s="111">
        <v>46.511627906976742</v>
      </c>
      <c r="H46" s="111">
        <v>82.417582417582423</v>
      </c>
      <c r="I46" s="111">
        <v>44.047619047619051</v>
      </c>
      <c r="J46" s="111">
        <v>34.523809523809526</v>
      </c>
      <c r="K46" s="111">
        <v>17.647058823529413</v>
      </c>
    </row>
    <row r="47" spans="1:11" x14ac:dyDescent="0.25">
      <c r="A47" s="110" t="s">
        <v>24</v>
      </c>
      <c r="B47" s="111">
        <v>64.49704142011835</v>
      </c>
      <c r="C47" s="111">
        <v>66.860465116279073</v>
      </c>
      <c r="D47" s="111">
        <v>61.349693251533743</v>
      </c>
      <c r="E47" s="111">
        <v>33.75</v>
      </c>
      <c r="F47" s="111">
        <v>52.564102564102562</v>
      </c>
      <c r="G47" s="111">
        <v>50.931677018633543</v>
      </c>
      <c r="H47" s="111">
        <v>63.636363636363633</v>
      </c>
      <c r="I47" s="111">
        <v>61.349693251533743</v>
      </c>
      <c r="J47" s="111">
        <v>37.735849056603776</v>
      </c>
      <c r="K47" s="111">
        <v>20.496894409937887</v>
      </c>
    </row>
    <row r="50" spans="1:11" ht="13" x14ac:dyDescent="0.3">
      <c r="B50" s="106" t="s">
        <v>183</v>
      </c>
    </row>
    <row r="51" spans="1:11" ht="13" x14ac:dyDescent="0.3">
      <c r="A51" s="112" t="s">
        <v>158</v>
      </c>
      <c r="B51" s="117" t="s">
        <v>184</v>
      </c>
      <c r="C51" s="117" t="s">
        <v>185</v>
      </c>
      <c r="D51" s="117" t="s">
        <v>186</v>
      </c>
      <c r="E51" s="117" t="s">
        <v>187</v>
      </c>
      <c r="F51" s="117" t="s">
        <v>188</v>
      </c>
      <c r="G51" s="117" t="s">
        <v>189</v>
      </c>
      <c r="H51" s="117" t="s">
        <v>190</v>
      </c>
      <c r="I51" s="117" t="s">
        <v>191</v>
      </c>
      <c r="J51" s="117" t="s">
        <v>192</v>
      </c>
      <c r="K51" s="117" t="s">
        <v>193</v>
      </c>
    </row>
    <row r="52" spans="1:11" x14ac:dyDescent="0.25">
      <c r="A52" s="113" t="s">
        <v>74</v>
      </c>
      <c r="B52" s="114">
        <v>59.677419354838712</v>
      </c>
      <c r="C52" s="114">
        <v>56.933115823817289</v>
      </c>
      <c r="D52" s="114">
        <v>63.26860841423948</v>
      </c>
      <c r="E52" s="114">
        <v>31.369150779896014</v>
      </c>
      <c r="F52" s="114">
        <v>49.914529914529915</v>
      </c>
      <c r="G52" s="114">
        <v>51.683501683501682</v>
      </c>
      <c r="H52" s="114">
        <v>82.775119617224874</v>
      </c>
      <c r="I52" s="114">
        <v>50.084602368866328</v>
      </c>
      <c r="J52" s="114">
        <v>40.23769100169779</v>
      </c>
      <c r="K52" s="114">
        <v>20.37037037037037</v>
      </c>
    </row>
    <row r="53" spans="1:11" x14ac:dyDescent="0.25">
      <c r="A53" s="110" t="s">
        <v>75</v>
      </c>
      <c r="B53" s="114">
        <v>56.730769230769234</v>
      </c>
      <c r="C53" s="114">
        <v>59.075043630017454</v>
      </c>
      <c r="D53" s="114">
        <v>61.341571050308914</v>
      </c>
      <c r="E53" s="114">
        <v>33.888888888888886</v>
      </c>
      <c r="F53" s="114">
        <v>48.263254113345518</v>
      </c>
      <c r="G53" s="114">
        <v>46.684831970935512</v>
      </c>
      <c r="H53" s="114">
        <v>81.889763779527556</v>
      </c>
      <c r="I53" s="114">
        <v>57.597816196542311</v>
      </c>
      <c r="J53" s="114">
        <v>44.608294930875573</v>
      </c>
      <c r="K53" s="114">
        <v>24.747937671860679</v>
      </c>
    </row>
    <row r="54" spans="1:11" x14ac:dyDescent="0.25">
      <c r="A54" s="110" t="s">
        <v>76</v>
      </c>
      <c r="B54" s="114">
        <v>56.942003514938492</v>
      </c>
      <c r="C54" s="114">
        <v>55.017921146953405</v>
      </c>
      <c r="D54" s="114">
        <v>60.301953818827705</v>
      </c>
      <c r="E54" s="114">
        <v>36.082474226804123</v>
      </c>
      <c r="F54" s="114">
        <v>46.857670979667283</v>
      </c>
      <c r="G54" s="114">
        <v>48.215919487648677</v>
      </c>
      <c r="H54" s="114">
        <v>84.821428571428569</v>
      </c>
      <c r="I54" s="114">
        <v>56.485740570377182</v>
      </c>
      <c r="J54" s="114">
        <v>46.040515653775323</v>
      </c>
      <c r="K54" s="114">
        <v>27.61467889908257</v>
      </c>
    </row>
    <row r="55" spans="1:11" x14ac:dyDescent="0.25">
      <c r="A55" s="110" t="s">
        <v>77</v>
      </c>
      <c r="B55" s="114">
        <v>58.396533044420366</v>
      </c>
      <c r="C55" s="114">
        <v>53.884297520661157</v>
      </c>
      <c r="D55" s="114">
        <v>60.032985156679494</v>
      </c>
      <c r="E55" s="114">
        <v>33.294596165020337</v>
      </c>
      <c r="F55" s="114">
        <v>46.898121798520208</v>
      </c>
      <c r="G55" s="114">
        <v>47.843359818388194</v>
      </c>
      <c r="H55" s="114">
        <v>85.064935064935071</v>
      </c>
      <c r="I55" s="114">
        <v>60.270880361173816</v>
      </c>
      <c r="J55" s="114">
        <v>47.613636363636367</v>
      </c>
      <c r="K55" s="114">
        <v>28.571428571428573</v>
      </c>
    </row>
    <row r="56" spans="1:11" x14ac:dyDescent="0.25">
      <c r="A56" s="110" t="s">
        <v>78</v>
      </c>
      <c r="B56" s="114">
        <v>54.191176470588232</v>
      </c>
      <c r="C56" s="114">
        <v>50.39637599093998</v>
      </c>
      <c r="D56" s="114">
        <v>57.244744744744743</v>
      </c>
      <c r="E56" s="114">
        <v>35.333863275039747</v>
      </c>
      <c r="F56" s="114">
        <v>42.111414102064664</v>
      </c>
      <c r="G56" s="114">
        <v>42.368932038834949</v>
      </c>
      <c r="H56" s="114">
        <v>86.151012891344379</v>
      </c>
      <c r="I56" s="114">
        <v>59.076803723816916</v>
      </c>
      <c r="J56" s="114">
        <v>51.357641582622186</v>
      </c>
      <c r="K56" s="114">
        <v>30.081300813008131</v>
      </c>
    </row>
    <row r="57" spans="1:11" x14ac:dyDescent="0.25">
      <c r="A57" s="110" t="s">
        <v>79</v>
      </c>
      <c r="B57" s="114">
        <v>54.564869193806729</v>
      </c>
      <c r="C57" s="114">
        <v>51.191765980498374</v>
      </c>
      <c r="D57" s="114">
        <v>60.607704829083019</v>
      </c>
      <c r="E57" s="114">
        <v>39.051094890510946</v>
      </c>
      <c r="F57" s="114">
        <v>41.979427300528215</v>
      </c>
      <c r="G57" s="114">
        <v>39.54330270119744</v>
      </c>
      <c r="H57" s="114">
        <v>86.664885088188129</v>
      </c>
      <c r="I57" s="114">
        <v>62.334437086092713</v>
      </c>
      <c r="J57" s="114">
        <v>56.539735099337747</v>
      </c>
      <c r="K57" s="114">
        <v>35.934914506343077</v>
      </c>
    </row>
    <row r="59" spans="1:11" ht="13" x14ac:dyDescent="0.3">
      <c r="A59" s="109" t="s">
        <v>159</v>
      </c>
      <c r="B59" s="114">
        <v>55.849830568931694</v>
      </c>
      <c r="C59" s="114">
        <v>52.968905810896565</v>
      </c>
      <c r="D59" s="114">
        <v>59.894984609813505</v>
      </c>
      <c r="E59" s="114">
        <v>35.968830181507172</v>
      </c>
      <c r="F59" s="114">
        <v>44.392435873431943</v>
      </c>
      <c r="G59" s="114">
        <v>43.878312803284807</v>
      </c>
      <c r="H59" s="114">
        <v>85.386333184457342</v>
      </c>
      <c r="I59" s="114">
        <v>59.464235885033951</v>
      </c>
      <c r="J59" s="114">
        <v>50.662189889945907</v>
      </c>
      <c r="K59" s="114">
        <v>30.480089318943058</v>
      </c>
    </row>
    <row r="60" spans="1:11" ht="13" x14ac:dyDescent="0.3">
      <c r="A60" s="109"/>
    </row>
    <row r="61" spans="1:11" ht="13" x14ac:dyDescent="0.3">
      <c r="E61" s="117"/>
    </row>
    <row r="62" spans="1:11" ht="13" x14ac:dyDescent="0.3">
      <c r="B62" s="106" t="s">
        <v>183</v>
      </c>
    </row>
    <row r="64" spans="1:11" ht="13" x14ac:dyDescent="0.3">
      <c r="A64" s="117" t="s">
        <v>184</v>
      </c>
      <c r="B64" s="106" t="s">
        <v>194</v>
      </c>
      <c r="C64" s="114">
        <v>55.849830568931694</v>
      </c>
    </row>
    <row r="65" spans="1:3" ht="13" x14ac:dyDescent="0.3">
      <c r="A65" s="117" t="s">
        <v>185</v>
      </c>
      <c r="B65" s="106" t="s">
        <v>195</v>
      </c>
      <c r="C65" s="114">
        <v>52.968905810896565</v>
      </c>
    </row>
    <row r="66" spans="1:3" ht="13" x14ac:dyDescent="0.3">
      <c r="A66" s="117" t="s">
        <v>186</v>
      </c>
      <c r="B66" s="106" t="s">
        <v>196</v>
      </c>
      <c r="C66" s="114">
        <v>59.894984609813505</v>
      </c>
    </row>
    <row r="67" spans="1:3" ht="13" x14ac:dyDescent="0.3">
      <c r="A67" s="117" t="s">
        <v>187</v>
      </c>
      <c r="B67" s="106" t="s">
        <v>197</v>
      </c>
      <c r="C67" s="114">
        <v>35.968830181507172</v>
      </c>
    </row>
    <row r="68" spans="1:3" ht="13" x14ac:dyDescent="0.3">
      <c r="A68" s="117" t="s">
        <v>188</v>
      </c>
      <c r="B68" s="106" t="s">
        <v>198</v>
      </c>
      <c r="C68" s="114">
        <v>44.392435873431943</v>
      </c>
    </row>
    <row r="69" spans="1:3" ht="13" x14ac:dyDescent="0.3">
      <c r="A69" s="117" t="s">
        <v>199</v>
      </c>
      <c r="B69" s="106" t="s">
        <v>200</v>
      </c>
      <c r="C69" s="114">
        <v>43.878312803284807</v>
      </c>
    </row>
    <row r="70" spans="1:3" ht="13" x14ac:dyDescent="0.3">
      <c r="A70" s="117" t="s">
        <v>190</v>
      </c>
      <c r="B70" s="106" t="s">
        <v>201</v>
      </c>
      <c r="C70" s="114">
        <v>85.386333184457342</v>
      </c>
    </row>
    <row r="71" spans="1:3" ht="13" x14ac:dyDescent="0.3">
      <c r="A71" s="117" t="s">
        <v>191</v>
      </c>
      <c r="B71" s="106" t="s">
        <v>202</v>
      </c>
      <c r="C71" s="114">
        <v>59.464235885033951</v>
      </c>
    </row>
    <row r="72" spans="1:3" ht="13" x14ac:dyDescent="0.3">
      <c r="A72" s="117" t="s">
        <v>192</v>
      </c>
      <c r="B72" s="106" t="s">
        <v>203</v>
      </c>
      <c r="C72" s="114">
        <v>50.662189889945907</v>
      </c>
    </row>
    <row r="73" spans="1:3" ht="13" x14ac:dyDescent="0.3">
      <c r="A73" s="117" t="s">
        <v>193</v>
      </c>
      <c r="B73" s="106" t="s">
        <v>204</v>
      </c>
      <c r="C73" s="114">
        <v>30.480089318943058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33</vt:i4>
      </vt:variant>
      <vt:variant>
        <vt:lpstr>Nimetyt alueet</vt:lpstr>
      </vt:variant>
      <vt:variant>
        <vt:i4>5</vt:i4>
      </vt:variant>
    </vt:vector>
  </HeadingPairs>
  <TitlesOfParts>
    <vt:vector size="38" baseType="lpstr">
      <vt:lpstr>Etusivu</vt:lpstr>
      <vt:lpstr>work</vt:lpstr>
      <vt:lpstr>Vastauspros</vt:lpstr>
      <vt:lpstr>K11</vt:lpstr>
      <vt:lpstr>K12</vt:lpstr>
      <vt:lpstr>K13</vt:lpstr>
      <vt:lpstr>K14</vt:lpstr>
      <vt:lpstr>K15</vt:lpstr>
      <vt:lpstr>K16</vt:lpstr>
      <vt:lpstr>K22</vt:lpstr>
      <vt:lpstr>K23</vt:lpstr>
      <vt:lpstr>K24</vt:lpstr>
      <vt:lpstr>K17A</vt:lpstr>
      <vt:lpstr>K17B</vt:lpstr>
      <vt:lpstr>K18</vt:lpstr>
      <vt:lpstr>K20A</vt:lpstr>
      <vt:lpstr>K20B</vt:lpstr>
      <vt:lpstr>K25</vt:lpstr>
      <vt:lpstr>K26</vt:lpstr>
      <vt:lpstr>K27</vt:lpstr>
      <vt:lpstr>K28</vt:lpstr>
      <vt:lpstr>K30</vt:lpstr>
      <vt:lpstr>K31</vt:lpstr>
      <vt:lpstr>K32</vt:lpstr>
      <vt:lpstr>K33</vt:lpstr>
      <vt:lpstr>K34</vt:lpstr>
      <vt:lpstr>K35A</vt:lpstr>
      <vt:lpstr>K35B</vt:lpstr>
      <vt:lpstr>K36A</vt:lpstr>
      <vt:lpstr>K36B</vt:lpstr>
      <vt:lpstr>K37</vt:lpstr>
      <vt:lpstr>K38</vt:lpstr>
      <vt:lpstr>K39</vt:lpstr>
      <vt:lpstr>AN_koko</vt:lpstr>
      <vt:lpstr>asukasluku</vt:lpstr>
      <vt:lpstr>Kunnat</vt:lpstr>
      <vt:lpstr>Kunnat2</vt:lpstr>
      <vt:lpstr>Etusivu!Tulostusalue</vt:lpstr>
    </vt:vector>
  </TitlesOfParts>
  <Company>FC Sovelto Oyj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Eero.Ylinentalo@kuntaliitto.fi</dc:creator>
  <cp:lastModifiedBy>Pekola-Sjöblom Marianne</cp:lastModifiedBy>
  <cp:lastPrinted>2017-10-30T07:12:32Z</cp:lastPrinted>
  <dcterms:created xsi:type="dcterms:W3CDTF">2010-06-23T07:49:47Z</dcterms:created>
  <dcterms:modified xsi:type="dcterms:W3CDTF">2018-10-10T05:39:21Z</dcterms:modified>
</cp:coreProperties>
</file>