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ntaliittofi-my.sharepoint.com/personal/aaro_hottinen_kuntaliitto_fi/Documents/Tiedostot/Askartelupöytä/Kuntien ja kuntayhtymien ostot/"/>
    </mc:Choice>
  </mc:AlternateContent>
  <xr:revisionPtr revIDLastSave="379" documentId="8_{82FC1C0B-166F-4453-87FE-2699BF01474B}" xr6:coauthVersionLast="47" xr6:coauthVersionMax="47" xr10:uidLastSave="{DA1F7E1C-69D2-4256-9785-509BF22CC2AA}"/>
  <bookViews>
    <workbookView xWindow="-120" yWindow="-120" windowWidth="29040" windowHeight="17640" xr2:uid="{00000000-000D-0000-FFFF-FFFF00000000}"/>
  </bookViews>
  <sheets>
    <sheet name="aspalvelut" sheetId="18" r:id="rId1"/>
    <sheet name="aspalv yks" sheetId="6" r:id="rId2"/>
    <sheet name="muiden palv. ostot, erittely" sheetId="15" r:id="rId3"/>
    <sheet name="materiaalin ostot, erittely" sheetId="19" r:id="rId4"/>
  </sheets>
  <definedNames>
    <definedName name="_xlnm.Print_Area" localSheetId="1">'aspalv yks'!$A$1:$AP$33</definedName>
    <definedName name="_xlnm.Print_Area" localSheetId="0">aspalvelut!$A$1:$AV$22</definedName>
    <definedName name="_xlnm.Print_Area" localSheetId="3">'materiaalin ostot, erittely'!$A$1:$AM$32</definedName>
    <definedName name="_xlnm.Print_Area" localSheetId="2">'muiden palv. ostot, erittely'!$A$1:$AM$35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3" i="6" l="1"/>
  <c r="W20" i="19"/>
  <c r="W28" i="19" s="1"/>
  <c r="AS28" i="19" s="1"/>
  <c r="W20" i="18"/>
  <c r="AS20" i="18" s="1"/>
  <c r="AS13" i="15"/>
  <c r="AS14" i="15"/>
  <c r="AS15" i="15"/>
  <c r="AS16" i="15"/>
  <c r="AS17" i="15"/>
  <c r="AS19" i="15"/>
  <c r="AS21" i="15"/>
  <c r="AS22" i="15"/>
  <c r="AS23" i="15"/>
  <c r="AS24" i="15"/>
  <c r="AS25" i="15"/>
  <c r="AS26" i="15"/>
  <c r="AS27" i="15"/>
  <c r="AS28" i="15"/>
  <c r="AS29" i="15"/>
  <c r="AS35" i="15"/>
  <c r="AS13" i="19"/>
  <c r="AS14" i="19"/>
  <c r="AS15" i="19"/>
  <c r="AS16" i="19"/>
  <c r="AS17" i="19"/>
  <c r="AS18" i="19"/>
  <c r="AS19" i="19"/>
  <c r="AS21" i="19"/>
  <c r="AS22" i="19"/>
  <c r="AS23" i="19"/>
  <c r="AS24" i="19"/>
  <c r="AS25" i="19"/>
  <c r="AS26" i="19"/>
  <c r="AS32" i="19"/>
  <c r="AS17" i="18"/>
  <c r="AS18" i="18"/>
  <c r="AS19" i="18"/>
  <c r="AS14" i="18"/>
  <c r="AR13" i="19"/>
  <c r="AR14" i="19"/>
  <c r="AR15" i="19"/>
  <c r="AR16" i="19"/>
  <c r="AR17" i="19"/>
  <c r="AR18" i="19"/>
  <c r="AR19" i="19"/>
  <c r="AR21" i="19"/>
  <c r="AR22" i="19"/>
  <c r="AR23" i="19"/>
  <c r="AR24" i="19"/>
  <c r="AR25" i="19"/>
  <c r="AR26" i="19"/>
  <c r="AR32" i="19"/>
  <c r="V20" i="19"/>
  <c r="V28" i="19" s="1"/>
  <c r="AS20" i="19" l="1"/>
  <c r="W31" i="15"/>
  <c r="AR13" i="15"/>
  <c r="AR14" i="15"/>
  <c r="AR15" i="15"/>
  <c r="AR16" i="15"/>
  <c r="AR17" i="15"/>
  <c r="AR19" i="15"/>
  <c r="AR21" i="15"/>
  <c r="AR22" i="15"/>
  <c r="AR23" i="15"/>
  <c r="AR24" i="15"/>
  <c r="AR25" i="15"/>
  <c r="AR26" i="15"/>
  <c r="AR27" i="15"/>
  <c r="AR28" i="15"/>
  <c r="AR29" i="15"/>
  <c r="AR35" i="15"/>
  <c r="AP26" i="6"/>
  <c r="AP19" i="6"/>
  <c r="AP20" i="6"/>
  <c r="AP24" i="6"/>
  <c r="AN26" i="6"/>
  <c r="AN27" i="6"/>
  <c r="AN18" i="6"/>
  <c r="AN19" i="6"/>
  <c r="AN20" i="6"/>
  <c r="AN21" i="6"/>
  <c r="AN22" i="6"/>
  <c r="AN23" i="6"/>
  <c r="AN24" i="6"/>
  <c r="V28" i="6"/>
  <c r="V16" i="6"/>
  <c r="V13" i="6"/>
  <c r="AR17" i="18"/>
  <c r="AR18" i="18"/>
  <c r="AR19" i="18"/>
  <c r="AR20" i="18"/>
  <c r="AR14" i="18"/>
  <c r="AQ19" i="19"/>
  <c r="AQ13" i="19"/>
  <c r="U20" i="19"/>
  <c r="AQ20" i="19" s="1"/>
  <c r="AQ26" i="19"/>
  <c r="AQ25" i="19"/>
  <c r="AQ24" i="19"/>
  <c r="AQ23" i="19"/>
  <c r="AQ22" i="19"/>
  <c r="AQ21" i="19"/>
  <c r="AQ18" i="19"/>
  <c r="AQ17" i="19"/>
  <c r="AQ16" i="19"/>
  <c r="AQ15" i="19"/>
  <c r="AQ14" i="19"/>
  <c r="AQ14" i="15"/>
  <c r="AQ15" i="15"/>
  <c r="AQ16" i="15"/>
  <c r="AQ17" i="15"/>
  <c r="AQ19" i="15"/>
  <c r="AQ21" i="15"/>
  <c r="AQ22" i="15"/>
  <c r="AQ23" i="15"/>
  <c r="AQ24" i="15"/>
  <c r="AQ25" i="15"/>
  <c r="AQ26" i="15"/>
  <c r="AQ27" i="15"/>
  <c r="AQ28" i="15"/>
  <c r="AQ29" i="15"/>
  <c r="AQ35" i="15"/>
  <c r="AQ13" i="15"/>
  <c r="U31" i="15"/>
  <c r="T31" i="15"/>
  <c r="AQ31" i="15" l="1"/>
  <c r="U28" i="19"/>
  <c r="AR20" i="19"/>
  <c r="AP16" i="6"/>
  <c r="U13" i="6"/>
  <c r="AM13" i="6" s="1"/>
  <c r="AM18" i="6"/>
  <c r="AM19" i="6"/>
  <c r="AM20" i="6"/>
  <c r="AM21" i="6"/>
  <c r="AM22" i="6"/>
  <c r="AM23" i="6"/>
  <c r="AM24" i="6"/>
  <c r="AM26" i="6"/>
  <c r="AM27" i="6"/>
  <c r="Z20" i="6"/>
  <c r="U28" i="6"/>
  <c r="AN28" i="6" s="1"/>
  <c r="U16" i="6"/>
  <c r="AN16" i="6" s="1"/>
  <c r="T19" i="18"/>
  <c r="AQ19" i="18" s="1"/>
  <c r="T18" i="18"/>
  <c r="AQ18" i="18" s="1"/>
  <c r="AQ14" i="18"/>
  <c r="AQ17" i="18"/>
  <c r="AQ20" i="18"/>
  <c r="AR28" i="19" l="1"/>
  <c r="AM16" i="6"/>
  <c r="AN13" i="6"/>
  <c r="T28" i="19"/>
  <c r="T32" i="19" s="1"/>
  <c r="AQ32" i="19" s="1"/>
  <c r="S28" i="19"/>
  <c r="AP13" i="19"/>
  <c r="AP14" i="19"/>
  <c r="AP15" i="19"/>
  <c r="AP16" i="19"/>
  <c r="AP17" i="19"/>
  <c r="AP18" i="19"/>
  <c r="AP19" i="19"/>
  <c r="AP20" i="19"/>
  <c r="AP21" i="19"/>
  <c r="AP22" i="19"/>
  <c r="AP23" i="19"/>
  <c r="AP24" i="19"/>
  <c r="AP25" i="19"/>
  <c r="AP26" i="19"/>
  <c r="AQ28" i="19" l="1"/>
  <c r="AP28" i="19"/>
  <c r="T28" i="6"/>
  <c r="AM28" i="6" s="1"/>
  <c r="AP13" i="15" l="1"/>
  <c r="AP14" i="15"/>
  <c r="AP15" i="15"/>
  <c r="AP16" i="15"/>
  <c r="AP17" i="15"/>
  <c r="AP19" i="15"/>
  <c r="AP21" i="15"/>
  <c r="AP22" i="15"/>
  <c r="AP23" i="15"/>
  <c r="AP24" i="15"/>
  <c r="AP25" i="15"/>
  <c r="AP26" i="15"/>
  <c r="AP27" i="15"/>
  <c r="AP28" i="15"/>
  <c r="AP29" i="15"/>
  <c r="AP31" i="15"/>
  <c r="AP35" i="15"/>
  <c r="AK13" i="6"/>
  <c r="AL13" i="6"/>
  <c r="AK16" i="6"/>
  <c r="AL16" i="6"/>
  <c r="AK18" i="6"/>
  <c r="AL18" i="6"/>
  <c r="AK19" i="6"/>
  <c r="AL19" i="6"/>
  <c r="AK20" i="6"/>
  <c r="AL20" i="6"/>
  <c r="AK21" i="6"/>
  <c r="AL21" i="6"/>
  <c r="AK22" i="6"/>
  <c r="AL22" i="6"/>
  <c r="AK23" i="6"/>
  <c r="AL23" i="6"/>
  <c r="AL24" i="6"/>
  <c r="AK26" i="6"/>
  <c r="AL26" i="6"/>
  <c r="AK27" i="6"/>
  <c r="AL27" i="6"/>
  <c r="AP17" i="18" l="1"/>
  <c r="AP18" i="18"/>
  <c r="AP19" i="18"/>
  <c r="AP20" i="18"/>
  <c r="AO14" i="19" l="1"/>
  <c r="AO15" i="19"/>
  <c r="AO16" i="19"/>
  <c r="AO17" i="19"/>
  <c r="AO18" i="19"/>
  <c r="AO19" i="19"/>
  <c r="AO20" i="19"/>
  <c r="AO21" i="19"/>
  <c r="AO22" i="19"/>
  <c r="AO23" i="19"/>
  <c r="AO24" i="19"/>
  <c r="AO25" i="19"/>
  <c r="AO26" i="19"/>
  <c r="AO13" i="19"/>
  <c r="S32" i="19"/>
  <c r="R28" i="19"/>
  <c r="R32" i="19" s="1"/>
  <c r="Z13" i="15"/>
  <c r="AO19" i="15"/>
  <c r="AO21" i="15"/>
  <c r="AO22" i="15"/>
  <c r="AO23" i="15"/>
  <c r="AO24" i="15"/>
  <c r="AO25" i="15"/>
  <c r="AO26" i="15"/>
  <c r="AO27" i="15"/>
  <c r="AO28" i="15"/>
  <c r="AO29" i="15"/>
  <c r="AO14" i="15"/>
  <c r="AO15" i="15"/>
  <c r="AO16" i="15"/>
  <c r="AO17" i="15"/>
  <c r="AO13" i="15"/>
  <c r="AN13" i="15"/>
  <c r="AO32" i="19" l="1"/>
  <c r="AP32" i="19"/>
  <c r="AO28" i="19"/>
  <c r="S28" i="6" l="1"/>
  <c r="R28" i="6"/>
  <c r="AK28" i="6" l="1"/>
  <c r="AL28" i="6"/>
  <c r="S14" i="18"/>
  <c r="AP14" i="18" s="1"/>
  <c r="AJ27" i="6" l="1"/>
  <c r="AJ26" i="6"/>
  <c r="AJ23" i="6"/>
  <c r="AJ22" i="6"/>
  <c r="AJ21" i="6"/>
  <c r="AJ20" i="6"/>
  <c r="AJ19" i="6"/>
  <c r="AJ18" i="6"/>
  <c r="AJ16" i="6"/>
  <c r="AJ13" i="6"/>
  <c r="AK24" i="6" l="1"/>
  <c r="R20" i="18"/>
  <c r="AO20" i="18" s="1"/>
  <c r="R19" i="18"/>
  <c r="AO19" i="18" s="1"/>
  <c r="R18" i="18"/>
  <c r="AO18" i="18" s="1"/>
  <c r="R17" i="18"/>
  <c r="AO17" i="18" s="1"/>
  <c r="R14" i="18" l="1"/>
  <c r="R31" i="15"/>
  <c r="AO14" i="18" l="1"/>
  <c r="R35" i="15"/>
  <c r="AO35" i="15" s="1"/>
  <c r="AO31" i="15"/>
  <c r="Q23" i="19"/>
  <c r="AN23" i="19" s="1"/>
  <c r="Q22" i="19"/>
  <c r="AN22" i="19" s="1"/>
  <c r="Q21" i="19"/>
  <c r="AN21" i="19" s="1"/>
  <c r="Q26" i="19"/>
  <c r="Q25" i="19"/>
  <c r="Q24" i="19"/>
  <c r="Q20" i="19"/>
  <c r="AN20" i="19" s="1"/>
  <c r="Q19" i="19"/>
  <c r="Q18" i="19"/>
  <c r="Q17" i="19"/>
  <c r="Q16" i="19"/>
  <c r="Q15" i="19"/>
  <c r="Q14" i="19"/>
  <c r="AN14" i="19" s="1"/>
  <c r="Q13" i="19"/>
  <c r="AN13" i="19" s="1"/>
  <c r="Q29" i="15"/>
  <c r="AN29" i="15" s="1"/>
  <c r="AN15" i="19" l="1"/>
  <c r="AN16" i="19"/>
  <c r="AN17" i="19"/>
  <c r="AN24" i="19"/>
  <c r="AN18" i="19"/>
  <c r="AN25" i="19"/>
  <c r="AN19" i="19"/>
  <c r="AN26" i="19"/>
  <c r="Q28" i="19"/>
  <c r="AN28" i="19" s="1"/>
  <c r="Q32" i="19" l="1"/>
  <c r="AN32" i="19" s="1"/>
  <c r="Q28" i="15"/>
  <c r="AN28" i="15" s="1"/>
  <c r="Q27" i="15"/>
  <c r="AN27" i="15" s="1"/>
  <c r="Q26" i="15"/>
  <c r="AN26" i="15" s="1"/>
  <c r="Q25" i="15"/>
  <c r="AN25" i="15" s="1"/>
  <c r="Q24" i="15"/>
  <c r="AN24" i="15" s="1"/>
  <c r="Q23" i="15"/>
  <c r="AN23" i="15" s="1"/>
  <c r="Q22" i="15"/>
  <c r="AN22" i="15" s="1"/>
  <c r="Q21" i="15"/>
  <c r="AN21" i="15" s="1"/>
  <c r="Q19" i="15"/>
  <c r="AN19" i="15" s="1"/>
  <c r="Q17" i="15"/>
  <c r="AN17" i="15" s="1"/>
  <c r="Q16" i="15"/>
  <c r="AN16" i="15" s="1"/>
  <c r="Q15" i="15"/>
  <c r="AN15" i="15" s="1"/>
  <c r="Q14" i="15"/>
  <c r="Q31" i="15" l="1"/>
  <c r="AN31" i="15" s="1"/>
  <c r="AN14" i="15"/>
  <c r="AJ24" i="6"/>
  <c r="AI26" i="6"/>
  <c r="AI23" i="6"/>
  <c r="AI21" i="6"/>
  <c r="AI19" i="6"/>
  <c r="AI16" i="6"/>
  <c r="AI13" i="6"/>
  <c r="Q35" i="15" l="1"/>
  <c r="AN35" i="15" s="1"/>
  <c r="Q28" i="6"/>
  <c r="AJ28" i="6" s="1"/>
  <c r="Q20" i="18"/>
  <c r="AN20" i="18" s="1"/>
  <c r="Q19" i="18"/>
  <c r="AN19" i="18" s="1"/>
  <c r="Q18" i="18"/>
  <c r="Q17" i="18"/>
  <c r="AN17" i="18" s="1"/>
  <c r="Q14" i="18" l="1"/>
  <c r="AN18" i="18"/>
  <c r="P27" i="6"/>
  <c r="AI27" i="6" s="1"/>
  <c r="P22" i="6"/>
  <c r="AI22" i="6" s="1"/>
  <c r="AN14" i="18" l="1"/>
  <c r="P28" i="19"/>
  <c r="P31" i="15"/>
  <c r="P35" i="15" l="1"/>
  <c r="P32" i="19"/>
  <c r="AM35" i="15" l="1"/>
  <c r="P18" i="6" l="1"/>
  <c r="AI18" i="6" l="1"/>
  <c r="AH26" i="6"/>
  <c r="AH16" i="6"/>
  <c r="P28" i="6"/>
  <c r="AI28" i="6" s="1"/>
  <c r="AI20" i="6"/>
  <c r="P20" i="18"/>
  <c r="AM20" i="18" s="1"/>
  <c r="P19" i="18"/>
  <c r="AM19" i="18" s="1"/>
  <c r="P18" i="18"/>
  <c r="AM18" i="18" s="1"/>
  <c r="P17" i="18"/>
  <c r="AM17" i="18" s="1"/>
  <c r="AI24" i="6" l="1"/>
  <c r="P14" i="18"/>
  <c r="AM14" i="18" s="1"/>
  <c r="O30" i="19"/>
  <c r="AL30" i="19" s="1"/>
  <c r="O26" i="19"/>
  <c r="AL26" i="19" s="1"/>
  <c r="O25" i="19"/>
  <c r="AL25" i="19" s="1"/>
  <c r="O24" i="19"/>
  <c r="AL24" i="19" s="1"/>
  <c r="O20" i="19"/>
  <c r="AL20" i="19" s="1"/>
  <c r="O19" i="19"/>
  <c r="O18" i="19"/>
  <c r="O17" i="19"/>
  <c r="O16" i="19"/>
  <c r="O15" i="19"/>
  <c r="AL15" i="19" s="1"/>
  <c r="O14" i="19"/>
  <c r="AL14" i="19" s="1"/>
  <c r="O13" i="19"/>
  <c r="AL13" i="19" s="1"/>
  <c r="AK30" i="19"/>
  <c r="O33" i="15"/>
  <c r="AK33" i="15" s="1"/>
  <c r="O28" i="15"/>
  <c r="AL28" i="15" s="1"/>
  <c r="O27" i="15"/>
  <c r="AL27" i="15" s="1"/>
  <c r="O26" i="15"/>
  <c r="AL26" i="15" s="1"/>
  <c r="O25" i="15"/>
  <c r="O24" i="15"/>
  <c r="AL24" i="15" s="1"/>
  <c r="O23" i="15"/>
  <c r="O22" i="15"/>
  <c r="AL22" i="15" s="1"/>
  <c r="O21" i="15"/>
  <c r="O19" i="15"/>
  <c r="O17" i="15"/>
  <c r="O16" i="15"/>
  <c r="O15" i="15"/>
  <c r="AL13" i="15"/>
  <c r="N28" i="6"/>
  <c r="AG26" i="6"/>
  <c r="AF26" i="6"/>
  <c r="AE26" i="6"/>
  <c r="AD26" i="6"/>
  <c r="AC26" i="6"/>
  <c r="AB26" i="6"/>
  <c r="AA26" i="6"/>
  <c r="Z26" i="6"/>
  <c r="O13" i="6"/>
  <c r="O23" i="6"/>
  <c r="AH23" i="6" s="1"/>
  <c r="O22" i="6"/>
  <c r="AH22" i="6" s="1"/>
  <c r="O21" i="6"/>
  <c r="O18" i="6"/>
  <c r="AG16" i="6"/>
  <c r="O27" i="6"/>
  <c r="O28" i="6" s="1"/>
  <c r="Y27" i="6"/>
  <c r="M27" i="6"/>
  <c r="AF27" i="6" s="1"/>
  <c r="L27" i="6"/>
  <c r="AP27" i="6" s="1"/>
  <c r="K27" i="6"/>
  <c r="K28" i="6" s="1"/>
  <c r="J27" i="6"/>
  <c r="J28" i="6" s="1"/>
  <c r="I27" i="6"/>
  <c r="I28" i="6" s="1"/>
  <c r="H27" i="6"/>
  <c r="H28" i="6" s="1"/>
  <c r="G27" i="6"/>
  <c r="F27" i="6"/>
  <c r="E27" i="6"/>
  <c r="F28" i="6" l="1"/>
  <c r="G28" i="6"/>
  <c r="Z28" i="6" s="1"/>
  <c r="AH18" i="6"/>
  <c r="AH24" i="6"/>
  <c r="M28" i="6"/>
  <c r="AF28" i="6" s="1"/>
  <c r="AD27" i="6"/>
  <c r="AG22" i="6"/>
  <c r="AB28" i="6"/>
  <c r="AC28" i="6"/>
  <c r="AG28" i="6"/>
  <c r="AH28" i="6"/>
  <c r="AG19" i="6"/>
  <c r="AH19" i="6"/>
  <c r="AG20" i="6"/>
  <c r="AH20" i="6"/>
  <c r="AG27" i="6"/>
  <c r="AH27" i="6"/>
  <c r="AG21" i="6"/>
  <c r="AH21" i="6"/>
  <c r="AG13" i="6"/>
  <c r="AH13" i="6"/>
  <c r="AL18" i="19"/>
  <c r="AL16" i="19"/>
  <c r="AL17" i="19"/>
  <c r="AL19" i="19"/>
  <c r="AL16" i="15"/>
  <c r="AL17" i="15"/>
  <c r="AL23" i="15"/>
  <c r="AL15" i="15"/>
  <c r="AL19" i="15"/>
  <c r="AL21" i="15"/>
  <c r="AL25" i="15"/>
  <c r="AL33" i="15"/>
  <c r="O28" i="19"/>
  <c r="AL28" i="19" s="1"/>
  <c r="O31" i="15"/>
  <c r="AA28" i="6"/>
  <c r="Z27" i="6"/>
  <c r="L28" i="6"/>
  <c r="AG23" i="6"/>
  <c r="AG18" i="6"/>
  <c r="AA27" i="6"/>
  <c r="AC27" i="6"/>
  <c r="AE27" i="6"/>
  <c r="AB27" i="6"/>
  <c r="O20" i="18"/>
  <c r="AL20" i="18" s="1"/>
  <c r="O19" i="18"/>
  <c r="AL19" i="18" s="1"/>
  <c r="O18" i="18"/>
  <c r="AL18" i="18" s="1"/>
  <c r="O17" i="18"/>
  <c r="AL17" i="18" s="1"/>
  <c r="AD28" i="6" l="1"/>
  <c r="AP28" i="6"/>
  <c r="O35" i="15"/>
  <c r="AL31" i="15"/>
  <c r="O32" i="19"/>
  <c r="AL32" i="19" s="1"/>
  <c r="AE28" i="6"/>
  <c r="AG24" i="6"/>
  <c r="O14" i="18"/>
  <c r="N26" i="19"/>
  <c r="AK26" i="19" s="1"/>
  <c r="N25" i="19"/>
  <c r="AK25" i="19" s="1"/>
  <c r="N24" i="19"/>
  <c r="AK24" i="19" s="1"/>
  <c r="N20" i="19"/>
  <c r="AK20" i="19" s="1"/>
  <c r="N19" i="19"/>
  <c r="AK19" i="19" s="1"/>
  <c r="N18" i="19"/>
  <c r="AK18" i="19" s="1"/>
  <c r="N17" i="19"/>
  <c r="AK17" i="19" s="1"/>
  <c r="N16" i="19"/>
  <c r="AK16" i="19" s="1"/>
  <c r="N15" i="19"/>
  <c r="AK15" i="19" s="1"/>
  <c r="N14" i="19"/>
  <c r="AK14" i="19" s="1"/>
  <c r="N13" i="19"/>
  <c r="N28" i="15"/>
  <c r="AK28" i="15" s="1"/>
  <c r="N27" i="15"/>
  <c r="N26" i="15"/>
  <c r="AK26" i="15" s="1"/>
  <c r="N25" i="15"/>
  <c r="AK25" i="15" s="1"/>
  <c r="N24" i="15"/>
  <c r="AK24" i="15" s="1"/>
  <c r="N23" i="15"/>
  <c r="AK23" i="15" s="1"/>
  <c r="N22" i="15"/>
  <c r="N21" i="15"/>
  <c r="AK21" i="15" s="1"/>
  <c r="N19" i="15"/>
  <c r="AK19" i="15" s="1"/>
  <c r="N17" i="15"/>
  <c r="N16" i="15"/>
  <c r="AK16" i="15" s="1"/>
  <c r="N15" i="15"/>
  <c r="AK15" i="15" s="1"/>
  <c r="AL14" i="18" l="1"/>
  <c r="AK13" i="19"/>
  <c r="AK13" i="15"/>
  <c r="AK27" i="15"/>
  <c r="AK22" i="15"/>
  <c r="AK17" i="15"/>
  <c r="AL35" i="15"/>
  <c r="N28" i="19"/>
  <c r="AK28" i="19" s="1"/>
  <c r="N31" i="15"/>
  <c r="N35" i="15" l="1"/>
  <c r="AK31" i="15"/>
  <c r="N32" i="19"/>
  <c r="AK32" i="19" l="1"/>
  <c r="AK35" i="15"/>
  <c r="AF23" i="6"/>
  <c r="AF21" i="6"/>
  <c r="AF20" i="6"/>
  <c r="AF16" i="6"/>
  <c r="AF13" i="6"/>
  <c r="N20" i="18"/>
  <c r="AK20" i="18" s="1"/>
  <c r="N19" i="18"/>
  <c r="AK19" i="18" s="1"/>
  <c r="N18" i="18"/>
  <c r="AK18" i="18" s="1"/>
  <c r="N17" i="18"/>
  <c r="AK17" i="18" s="1"/>
  <c r="N14" i="18" l="1"/>
  <c r="AK14" i="18" s="1"/>
  <c r="M30" i="19"/>
  <c r="AJ30" i="19" s="1"/>
  <c r="M26" i="19"/>
  <c r="AJ26" i="19" s="1"/>
  <c r="M25" i="19"/>
  <c r="M24" i="19"/>
  <c r="M20" i="19"/>
  <c r="M19" i="19"/>
  <c r="AJ19" i="19" s="1"/>
  <c r="M18" i="19"/>
  <c r="AJ18" i="19" s="1"/>
  <c r="M17" i="19"/>
  <c r="M16" i="19"/>
  <c r="AJ16" i="19" s="1"/>
  <c r="M15" i="19"/>
  <c r="AJ15" i="19" s="1"/>
  <c r="M14" i="19"/>
  <c r="M13" i="19"/>
  <c r="AJ13" i="19" s="1"/>
  <c r="M28" i="15"/>
  <c r="M33" i="15"/>
  <c r="AJ33" i="15" s="1"/>
  <c r="M27" i="15"/>
  <c r="M26" i="15"/>
  <c r="AJ26" i="15" s="1"/>
  <c r="M25" i="15"/>
  <c r="M24" i="15"/>
  <c r="M23" i="15"/>
  <c r="M22" i="15"/>
  <c r="M21" i="15"/>
  <c r="M19" i="15"/>
  <c r="M17" i="15"/>
  <c r="M16" i="15"/>
  <c r="M15" i="15"/>
  <c r="AJ15" i="15" s="1"/>
  <c r="AJ20" i="19" l="1"/>
  <c r="AJ17" i="19"/>
  <c r="AJ24" i="19"/>
  <c r="AJ14" i="19"/>
  <c r="AJ25" i="19"/>
  <c r="AJ21" i="15"/>
  <c r="AJ28" i="15"/>
  <c r="AJ16" i="15"/>
  <c r="AJ19" i="15"/>
  <c r="AJ24" i="15"/>
  <c r="AJ25" i="15"/>
  <c r="AJ22" i="15"/>
  <c r="AJ13" i="15"/>
  <c r="AJ17" i="15"/>
  <c r="AJ23" i="15"/>
  <c r="AJ27" i="15"/>
  <c r="M28" i="19"/>
  <c r="M31" i="15"/>
  <c r="M22" i="6"/>
  <c r="M18" i="6"/>
  <c r="AE16" i="6"/>
  <c r="AF24" i="6" l="1"/>
  <c r="M32" i="19"/>
  <c r="AJ32" i="19" s="1"/>
  <c r="AJ28" i="19"/>
  <c r="M35" i="15"/>
  <c r="AJ31" i="15"/>
  <c r="AF19" i="6"/>
  <c r="AF18" i="6"/>
  <c r="AF22" i="6"/>
  <c r="AJ35" i="15" l="1"/>
  <c r="M20" i="18"/>
  <c r="M19" i="18"/>
  <c r="M18" i="18"/>
  <c r="AJ18" i="18" s="1"/>
  <c r="M17" i="18"/>
  <c r="AJ17" i="18" s="1"/>
  <c r="AJ19" i="18" l="1"/>
  <c r="AJ20" i="18"/>
  <c r="M14" i="18"/>
  <c r="AJ14" i="18" l="1"/>
  <c r="L28" i="15"/>
  <c r="AI28" i="15" s="1"/>
  <c r="L33" i="15"/>
  <c r="AI33" i="15" s="1"/>
  <c r="L27" i="15"/>
  <c r="AI27" i="15" s="1"/>
  <c r="L26" i="15"/>
  <c r="AI26" i="15" s="1"/>
  <c r="L25" i="15"/>
  <c r="AI25" i="15" s="1"/>
  <c r="L24" i="15"/>
  <c r="L23" i="15"/>
  <c r="L22" i="15"/>
  <c r="AI22" i="15" s="1"/>
  <c r="L21" i="15"/>
  <c r="AI21" i="15" s="1"/>
  <c r="L19" i="15"/>
  <c r="AI19" i="15" s="1"/>
  <c r="L17" i="15"/>
  <c r="L16" i="15"/>
  <c r="AI16" i="15" s="1"/>
  <c r="L15" i="15"/>
  <c r="AI15" i="15" s="1"/>
  <c r="AI13" i="15"/>
  <c r="L30" i="19"/>
  <c r="L26" i="19"/>
  <c r="AI26" i="19" s="1"/>
  <c r="L25" i="19"/>
  <c r="AI25" i="19" s="1"/>
  <c r="L24" i="19"/>
  <c r="AI24" i="19" s="1"/>
  <c r="L20" i="19"/>
  <c r="L19" i="19"/>
  <c r="AI19" i="19" s="1"/>
  <c r="L18" i="19"/>
  <c r="L17" i="19"/>
  <c r="AI17" i="19" s="1"/>
  <c r="L16" i="19"/>
  <c r="AI16" i="19" s="1"/>
  <c r="L15" i="19"/>
  <c r="AI15" i="19" s="1"/>
  <c r="L14" i="19"/>
  <c r="AI14" i="19" s="1"/>
  <c r="L13" i="19"/>
  <c r="AI13" i="19" s="1"/>
  <c r="AI30" i="19" l="1"/>
  <c r="AI20" i="19"/>
  <c r="AI18" i="19"/>
  <c r="AI24" i="15"/>
  <c r="AI17" i="15"/>
  <c r="AI23" i="15"/>
  <c r="L28" i="19"/>
  <c r="AI28" i="19" s="1"/>
  <c r="L31" i="15"/>
  <c r="L23" i="6"/>
  <c r="L22" i="6"/>
  <c r="L21" i="6"/>
  <c r="AE20" i="6"/>
  <c r="AE19" i="6"/>
  <c r="AD16" i="6"/>
  <c r="L18" i="6"/>
  <c r="AP18" i="6" s="1"/>
  <c r="L13" i="6"/>
  <c r="L20" i="18"/>
  <c r="AI20" i="18" s="1"/>
  <c r="L19" i="18"/>
  <c r="AI19" i="18" s="1"/>
  <c r="L18" i="18"/>
  <c r="AI18" i="18" s="1"/>
  <c r="L17" i="18"/>
  <c r="AI17" i="18" s="1"/>
  <c r="K30" i="19"/>
  <c r="AH30" i="19" s="1"/>
  <c r="K26" i="19"/>
  <c r="AH26" i="19" s="1"/>
  <c r="K25" i="19"/>
  <c r="AH25" i="19" s="1"/>
  <c r="K24" i="19"/>
  <c r="AH24" i="19" s="1"/>
  <c r="K20" i="19"/>
  <c r="AH20" i="19" s="1"/>
  <c r="K19" i="19"/>
  <c r="AH19" i="19" s="1"/>
  <c r="K18" i="19"/>
  <c r="K17" i="19"/>
  <c r="AH17" i="19" s="1"/>
  <c r="K16" i="19"/>
  <c r="AH16" i="19" s="1"/>
  <c r="K15" i="19"/>
  <c r="AH15" i="19" s="1"/>
  <c r="K14" i="19"/>
  <c r="AH14" i="19" s="1"/>
  <c r="K13" i="19"/>
  <c r="AH13" i="19" s="1"/>
  <c r="K33" i="15"/>
  <c r="AH33" i="15" s="1"/>
  <c r="K28" i="15"/>
  <c r="AH28" i="15" s="1"/>
  <c r="K27" i="15"/>
  <c r="AH27" i="15" s="1"/>
  <c r="K26" i="15"/>
  <c r="AH26" i="15" s="1"/>
  <c r="K25" i="15"/>
  <c r="AH25" i="15" s="1"/>
  <c r="K24" i="15"/>
  <c r="AH24" i="15" s="1"/>
  <c r="K23" i="15"/>
  <c r="K22" i="15"/>
  <c r="AH22" i="15" s="1"/>
  <c r="K21" i="15"/>
  <c r="AH21" i="15" s="1"/>
  <c r="K19" i="15"/>
  <c r="AH19" i="15" s="1"/>
  <c r="K17" i="15"/>
  <c r="K16" i="15"/>
  <c r="AH16" i="15" s="1"/>
  <c r="K15" i="15"/>
  <c r="AH15" i="15" s="1"/>
  <c r="AH13" i="15"/>
  <c r="K22" i="6"/>
  <c r="K18" i="6"/>
  <c r="K13" i="6"/>
  <c r="K20" i="18"/>
  <c r="K19" i="18"/>
  <c r="K18" i="18"/>
  <c r="K17" i="18"/>
  <c r="J30" i="19"/>
  <c r="J26" i="19"/>
  <c r="J25" i="19"/>
  <c r="J24" i="19"/>
  <c r="J20" i="19"/>
  <c r="J19" i="19"/>
  <c r="J18" i="19"/>
  <c r="J17" i="19"/>
  <c r="J16" i="19"/>
  <c r="J15" i="19"/>
  <c r="J14" i="19"/>
  <c r="J13" i="19"/>
  <c r="J33" i="15"/>
  <c r="J28" i="15"/>
  <c r="J27" i="15"/>
  <c r="J26" i="15"/>
  <c r="J25" i="15"/>
  <c r="J24" i="15"/>
  <c r="J23" i="15"/>
  <c r="J22" i="15"/>
  <c r="J21" i="15"/>
  <c r="J19" i="15"/>
  <c r="J17" i="15"/>
  <c r="J16" i="15"/>
  <c r="J15" i="15"/>
  <c r="J23" i="6"/>
  <c r="AC23" i="6" s="1"/>
  <c r="J22" i="6"/>
  <c r="J21" i="6"/>
  <c r="AC21" i="6" s="1"/>
  <c r="AC20" i="6"/>
  <c r="AC19" i="6"/>
  <c r="J18" i="6"/>
  <c r="J13" i="6"/>
  <c r="J20" i="18"/>
  <c r="J19" i="18"/>
  <c r="J18" i="18"/>
  <c r="J17" i="18"/>
  <c r="I30" i="19"/>
  <c r="I26" i="19"/>
  <c r="I25" i="19"/>
  <c r="I24" i="19"/>
  <c r="I20" i="19"/>
  <c r="I19" i="19"/>
  <c r="I18" i="19"/>
  <c r="I17" i="19"/>
  <c r="I16" i="19"/>
  <c r="I15" i="19"/>
  <c r="I14" i="19"/>
  <c r="I13" i="19"/>
  <c r="I33" i="15"/>
  <c r="I28" i="15"/>
  <c r="I27" i="15"/>
  <c r="I25" i="15"/>
  <c r="I24" i="15"/>
  <c r="I23" i="15"/>
  <c r="I22" i="15"/>
  <c r="I21" i="15"/>
  <c r="I19" i="15"/>
  <c r="AF19" i="15" s="1"/>
  <c r="I17" i="15"/>
  <c r="I16" i="15"/>
  <c r="I15" i="15"/>
  <c r="H15" i="15"/>
  <c r="H16" i="15"/>
  <c r="H17" i="15"/>
  <c r="H19" i="15"/>
  <c r="H21" i="15"/>
  <c r="H22" i="15"/>
  <c r="H23" i="15"/>
  <c r="H24" i="15"/>
  <c r="H25" i="15"/>
  <c r="H26" i="15"/>
  <c r="AE26" i="15" s="1"/>
  <c r="H27" i="15"/>
  <c r="H28" i="15"/>
  <c r="H33" i="15"/>
  <c r="I18" i="6"/>
  <c r="I21" i="6"/>
  <c r="I22" i="6"/>
  <c r="I23" i="6"/>
  <c r="I13" i="6"/>
  <c r="H18" i="6"/>
  <c r="H21" i="6"/>
  <c r="H22" i="6"/>
  <c r="H23" i="6"/>
  <c r="H13" i="6"/>
  <c r="I20" i="18"/>
  <c r="I19" i="18"/>
  <c r="I18" i="18"/>
  <c r="I17" i="18"/>
  <c r="H13" i="19"/>
  <c r="H14" i="19"/>
  <c r="H15" i="19"/>
  <c r="H16" i="19"/>
  <c r="H17" i="19"/>
  <c r="H18" i="19"/>
  <c r="H19" i="19"/>
  <c r="H20" i="19"/>
  <c r="H24" i="19"/>
  <c r="H25" i="19"/>
  <c r="H26" i="19"/>
  <c r="H30" i="19"/>
  <c r="G13" i="19"/>
  <c r="G14" i="19"/>
  <c r="G15" i="19"/>
  <c r="G16" i="19"/>
  <c r="G17" i="19"/>
  <c r="AD17" i="19" s="1"/>
  <c r="G18" i="19"/>
  <c r="G19" i="19"/>
  <c r="G20" i="19"/>
  <c r="G24" i="19"/>
  <c r="G25" i="19"/>
  <c r="G26" i="19"/>
  <c r="G30" i="19"/>
  <c r="F13" i="19"/>
  <c r="F14" i="19"/>
  <c r="F15" i="19"/>
  <c r="F16" i="19"/>
  <c r="F17" i="19"/>
  <c r="F18" i="19"/>
  <c r="F19" i="19"/>
  <c r="F20" i="19"/>
  <c r="F24" i="19"/>
  <c r="F25" i="19"/>
  <c r="F26" i="19"/>
  <c r="F30" i="19"/>
  <c r="AB30" i="19" s="1"/>
  <c r="E13" i="19"/>
  <c r="AA13" i="19" s="1"/>
  <c r="E14" i="19"/>
  <c r="AA14" i="19" s="1"/>
  <c r="E15" i="19"/>
  <c r="E16" i="19"/>
  <c r="E17" i="19"/>
  <c r="AA17" i="19" s="1"/>
  <c r="E18" i="19"/>
  <c r="AA18" i="19" s="1"/>
  <c r="E19" i="19"/>
  <c r="AA19" i="19" s="1"/>
  <c r="E20" i="19"/>
  <c r="AA20" i="19" s="1"/>
  <c r="E24" i="19"/>
  <c r="AA24" i="19" s="1"/>
  <c r="E25" i="19"/>
  <c r="AA25" i="19" s="1"/>
  <c r="E26" i="19"/>
  <c r="AA26" i="19" s="1"/>
  <c r="D32" i="19"/>
  <c r="C32" i="19"/>
  <c r="AA30" i="19"/>
  <c r="Z30" i="19"/>
  <c r="Z28" i="19"/>
  <c r="Z26" i="19"/>
  <c r="Z25" i="19"/>
  <c r="Z24" i="19"/>
  <c r="Z20" i="19"/>
  <c r="Z19" i="19"/>
  <c r="Z18" i="19"/>
  <c r="Z17" i="19"/>
  <c r="AA16" i="19"/>
  <c r="Z16" i="19"/>
  <c r="Z15" i="19"/>
  <c r="Z14" i="19"/>
  <c r="Z13" i="19"/>
  <c r="G15" i="15"/>
  <c r="G16" i="15"/>
  <c r="G17" i="15"/>
  <c r="G19" i="15"/>
  <c r="G21" i="15"/>
  <c r="G22" i="15"/>
  <c r="G23" i="15"/>
  <c r="G24" i="15"/>
  <c r="G25" i="15"/>
  <c r="G26" i="15"/>
  <c r="G27" i="15"/>
  <c r="G28" i="15"/>
  <c r="G33" i="15"/>
  <c r="AD13" i="15"/>
  <c r="F21" i="6"/>
  <c r="E21" i="6"/>
  <c r="D21" i="6"/>
  <c r="C21" i="6"/>
  <c r="B21" i="6"/>
  <c r="G21" i="6"/>
  <c r="G18" i="6"/>
  <c r="G22" i="6"/>
  <c r="G23" i="6"/>
  <c r="F18" i="6"/>
  <c r="F22" i="6"/>
  <c r="F23" i="6"/>
  <c r="E18" i="6"/>
  <c r="E22" i="6"/>
  <c r="E23" i="6"/>
  <c r="D18" i="6"/>
  <c r="C18" i="6"/>
  <c r="B18" i="6"/>
  <c r="Z16" i="6"/>
  <c r="G13" i="6"/>
  <c r="H20" i="18"/>
  <c r="H19" i="18"/>
  <c r="H18" i="18"/>
  <c r="H17" i="18"/>
  <c r="G19" i="18"/>
  <c r="G20" i="18"/>
  <c r="G18" i="18"/>
  <c r="G17" i="18"/>
  <c r="AC13" i="15"/>
  <c r="F15" i="15"/>
  <c r="F16" i="15"/>
  <c r="F17" i="15"/>
  <c r="F19" i="15"/>
  <c r="F21" i="15"/>
  <c r="F22" i="15"/>
  <c r="F23" i="15"/>
  <c r="F24" i="15"/>
  <c r="F25" i="15"/>
  <c r="F26" i="15"/>
  <c r="F27" i="15"/>
  <c r="F28" i="15"/>
  <c r="F33" i="15"/>
  <c r="F13" i="6"/>
  <c r="B20" i="18"/>
  <c r="AT20" i="18" s="1"/>
  <c r="B19" i="18"/>
  <c r="AT19" i="18" s="1"/>
  <c r="B18" i="18"/>
  <c r="AT18" i="18" s="1"/>
  <c r="B17" i="18"/>
  <c r="AT17" i="18" s="1"/>
  <c r="C20" i="18"/>
  <c r="C19" i="18"/>
  <c r="C18" i="18"/>
  <c r="C17" i="18"/>
  <c r="D20" i="18"/>
  <c r="D19" i="18"/>
  <c r="D18" i="18"/>
  <c r="D17" i="18"/>
  <c r="E20" i="18"/>
  <c r="E19" i="18"/>
  <c r="E18" i="18"/>
  <c r="E17" i="18"/>
  <c r="F20" i="18"/>
  <c r="F19" i="18"/>
  <c r="F18" i="18"/>
  <c r="F17" i="18"/>
  <c r="E15" i="15"/>
  <c r="AA15" i="15" s="1"/>
  <c r="E16" i="15"/>
  <c r="E17" i="15"/>
  <c r="AA17" i="15" s="1"/>
  <c r="E19" i="15"/>
  <c r="AA19" i="15" s="1"/>
  <c r="E21" i="15"/>
  <c r="AA21" i="15" s="1"/>
  <c r="E22" i="15"/>
  <c r="E23" i="15"/>
  <c r="AA23" i="15" s="1"/>
  <c r="E24" i="15"/>
  <c r="AA24" i="15" s="1"/>
  <c r="E25" i="15"/>
  <c r="AA25" i="15" s="1"/>
  <c r="E26" i="15"/>
  <c r="E27" i="15"/>
  <c r="AA27" i="15" s="1"/>
  <c r="E28" i="15"/>
  <c r="AA28" i="15" s="1"/>
  <c r="E33" i="15"/>
  <c r="AB13" i="15"/>
  <c r="E13" i="6"/>
  <c r="D13" i="6"/>
  <c r="Y23" i="6"/>
  <c r="Y22" i="6"/>
  <c r="Y19" i="6"/>
  <c r="Y16" i="6"/>
  <c r="Y13" i="6"/>
  <c r="AA13" i="15"/>
  <c r="Z35" i="15"/>
  <c r="Z33" i="15"/>
  <c r="Z31" i="15"/>
  <c r="Z28" i="15"/>
  <c r="Z27" i="15"/>
  <c r="Z26" i="15"/>
  <c r="Z25" i="15"/>
  <c r="Z24" i="15"/>
  <c r="Z23" i="15"/>
  <c r="Z22" i="15"/>
  <c r="Z21" i="15"/>
  <c r="Z19" i="15"/>
  <c r="Z17" i="15"/>
  <c r="Z16" i="15"/>
  <c r="Z15" i="15"/>
  <c r="AG24" i="19" l="1"/>
  <c r="AE18" i="19"/>
  <c r="AG13" i="19"/>
  <c r="AC27" i="15"/>
  <c r="AE13" i="6"/>
  <c r="AP13" i="6"/>
  <c r="AE23" i="6"/>
  <c r="AP23" i="6"/>
  <c r="AE21" i="6"/>
  <c r="AP21" i="6"/>
  <c r="AE22" i="6"/>
  <c r="AP22" i="6"/>
  <c r="AC20" i="19"/>
  <c r="AB16" i="19"/>
  <c r="AD16" i="19"/>
  <c r="AC17" i="15"/>
  <c r="AE27" i="15"/>
  <c r="AG17" i="19"/>
  <c r="AB20" i="19"/>
  <c r="AC16" i="19"/>
  <c r="AD20" i="19"/>
  <c r="AF30" i="19"/>
  <c r="AC23" i="15"/>
  <c r="AG25" i="15"/>
  <c r="AB33" i="15"/>
  <c r="AC22" i="15"/>
  <c r="AB17" i="15"/>
  <c r="AD23" i="15"/>
  <c r="AF15" i="15"/>
  <c r="AD17" i="15"/>
  <c r="Z19" i="6"/>
  <c r="AA20" i="6"/>
  <c r="Z13" i="6"/>
  <c r="AE24" i="6"/>
  <c r="AB13" i="6"/>
  <c r="AA23" i="6"/>
  <c r="Z21" i="6"/>
  <c r="Z22" i="6"/>
  <c r="Y17" i="18"/>
  <c r="AE18" i="18"/>
  <c r="AC19" i="18"/>
  <c r="AE19" i="18"/>
  <c r="AB17" i="18"/>
  <c r="Z17" i="18"/>
  <c r="AA19" i="18"/>
  <c r="C14" i="18"/>
  <c r="AA20" i="18"/>
  <c r="Y20" i="18"/>
  <c r="AB18" i="18"/>
  <c r="AE20" i="18"/>
  <c r="G14" i="18"/>
  <c r="AH18" i="18"/>
  <c r="Z19" i="18"/>
  <c r="AF20" i="18"/>
  <c r="AB19" i="18"/>
  <c r="Y19" i="18"/>
  <c r="AA17" i="18"/>
  <c r="AG18" i="18"/>
  <c r="AD20" i="18"/>
  <c r="AA18" i="18"/>
  <c r="Y18" i="18"/>
  <c r="AG19" i="18"/>
  <c r="AD28" i="15"/>
  <c r="AB26" i="15"/>
  <c r="AB16" i="15"/>
  <c r="AE30" i="19"/>
  <c r="AB24" i="19"/>
  <c r="AB17" i="19"/>
  <c r="AB13" i="19"/>
  <c r="AF15" i="19"/>
  <c r="AF19" i="19"/>
  <c r="AF26" i="19"/>
  <c r="AG14" i="19"/>
  <c r="AD13" i="19"/>
  <c r="AC26" i="19"/>
  <c r="AC15" i="19"/>
  <c r="AG16" i="19"/>
  <c r="AG30" i="19"/>
  <c r="AF16" i="19"/>
  <c r="AG18" i="19"/>
  <c r="AE25" i="19"/>
  <c r="AE14" i="19"/>
  <c r="AD24" i="19"/>
  <c r="AF20" i="19"/>
  <c r="AE28" i="15"/>
  <c r="AG27" i="15"/>
  <c r="AD19" i="15"/>
  <c r="AE25" i="15"/>
  <c r="AD15" i="15"/>
  <c r="AF24" i="15"/>
  <c r="AB23" i="15"/>
  <c r="AC21" i="15"/>
  <c r="AE15" i="15"/>
  <c r="AF27" i="15"/>
  <c r="AG21" i="15"/>
  <c r="AG33" i="15"/>
  <c r="AC25" i="15"/>
  <c r="AE21" i="15"/>
  <c r="AD13" i="6"/>
  <c r="AD21" i="6"/>
  <c r="AC17" i="18"/>
  <c r="AA33" i="15"/>
  <c r="AB21" i="15"/>
  <c r="F14" i="18"/>
  <c r="Z18" i="18"/>
  <c r="B14" i="18"/>
  <c r="AT14" i="18" s="1"/>
  <c r="AC26" i="15"/>
  <c r="AC16" i="15"/>
  <c r="AD21" i="15"/>
  <c r="AD24" i="15"/>
  <c r="AE13" i="19"/>
  <c r="AE24" i="19"/>
  <c r="AG23" i="15"/>
  <c r="AB25" i="15"/>
  <c r="Y21" i="6"/>
  <c r="AE22" i="15"/>
  <c r="AF13" i="15"/>
  <c r="AF23" i="15"/>
  <c r="AH17" i="18"/>
  <c r="AB27" i="15"/>
  <c r="AB22" i="15"/>
  <c r="AD27" i="15"/>
  <c r="AC19" i="19"/>
  <c r="AB21" i="6"/>
  <c r="K14" i="18"/>
  <c r="Z20" i="18"/>
  <c r="AD18" i="18"/>
  <c r="AD18" i="19"/>
  <c r="AG17" i="18"/>
  <c r="AG17" i="15"/>
  <c r="L14" i="18"/>
  <c r="AH19" i="18"/>
  <c r="AH20" i="18"/>
  <c r="AB20" i="18"/>
  <c r="AD19" i="18"/>
  <c r="AC33" i="15"/>
  <c r="H14" i="18"/>
  <c r="Z32" i="19"/>
  <c r="I14" i="18"/>
  <c r="AE16" i="15"/>
  <c r="AF17" i="15"/>
  <c r="AF28" i="15"/>
  <c r="AF18" i="18"/>
  <c r="AG20" i="19"/>
  <c r="AG13" i="15"/>
  <c r="AH18" i="19"/>
  <c r="AB25" i="19"/>
  <c r="AF17" i="19"/>
  <c r="AD14" i="19"/>
  <c r="AD25" i="19"/>
  <c r="AC30" i="19"/>
  <c r="AE20" i="19"/>
  <c r="AE16" i="19"/>
  <c r="AB18" i="19"/>
  <c r="AF13" i="19"/>
  <c r="AF24" i="19"/>
  <c r="AC24" i="19"/>
  <c r="AC17" i="19"/>
  <c r="AE17" i="19"/>
  <c r="AF14" i="19"/>
  <c r="AF18" i="19"/>
  <c r="AF25" i="19"/>
  <c r="AG15" i="19"/>
  <c r="AG19" i="19"/>
  <c r="AG26" i="19"/>
  <c r="AG25" i="19"/>
  <c r="AA16" i="15"/>
  <c r="AA26" i="15"/>
  <c r="AE23" i="15"/>
  <c r="AE33" i="15"/>
  <c r="J31" i="15"/>
  <c r="J35" i="15" s="1"/>
  <c r="AG16" i="15"/>
  <c r="AG22" i="15"/>
  <c r="AG26" i="15"/>
  <c r="AH23" i="15"/>
  <c r="F31" i="15"/>
  <c r="F35" i="15" s="1"/>
  <c r="AD25" i="15"/>
  <c r="AE13" i="15"/>
  <c r="AE19" i="15"/>
  <c r="H31" i="15"/>
  <c r="H35" i="15" s="1"/>
  <c r="AH17" i="15"/>
  <c r="AA22" i="15"/>
  <c r="AD33" i="15"/>
  <c r="E31" i="15"/>
  <c r="AA31" i="15" s="1"/>
  <c r="AB28" i="15"/>
  <c r="AB24" i="15"/>
  <c r="AB19" i="15"/>
  <c r="AB15" i="15"/>
  <c r="AE17" i="15"/>
  <c r="AE24" i="15"/>
  <c r="AF21" i="15"/>
  <c r="AF25" i="15"/>
  <c r="L35" i="15"/>
  <c r="AI35" i="15" s="1"/>
  <c r="AI31" i="15"/>
  <c r="Y18" i="6"/>
  <c r="Z23" i="6"/>
  <c r="AA13" i="6"/>
  <c r="AB23" i="6"/>
  <c r="AB20" i="6"/>
  <c r="AC18" i="6"/>
  <c r="AA18" i="6"/>
  <c r="AD18" i="6"/>
  <c r="AA21" i="6"/>
  <c r="AB22" i="6"/>
  <c r="AB19" i="6"/>
  <c r="AD19" i="6"/>
  <c r="AD22" i="6"/>
  <c r="Y20" i="6"/>
  <c r="AB18" i="6"/>
  <c r="AC22" i="6"/>
  <c r="AD20" i="6"/>
  <c r="AD23" i="6"/>
  <c r="Z18" i="6"/>
  <c r="AA22" i="6"/>
  <c r="AA19" i="6"/>
  <c r="AE18" i="6"/>
  <c r="L32" i="19"/>
  <c r="AI32" i="19" s="1"/>
  <c r="D14" i="18"/>
  <c r="AC18" i="18"/>
  <c r="AC15" i="15"/>
  <c r="AC19" i="15"/>
  <c r="AC24" i="15"/>
  <c r="AC28" i="15"/>
  <c r="G31" i="15"/>
  <c r="AD30" i="19"/>
  <c r="AE26" i="19"/>
  <c r="AD26" i="19"/>
  <c r="AE19" i="19"/>
  <c r="AD19" i="19"/>
  <c r="H28" i="19"/>
  <c r="AE15" i="19"/>
  <c r="AD15" i="19"/>
  <c r="AF17" i="18"/>
  <c r="E28" i="19"/>
  <c r="AA15" i="19"/>
  <c r="AE17" i="18"/>
  <c r="E14" i="18"/>
  <c r="AB15" i="19"/>
  <c r="AB19" i="19"/>
  <c r="AB26" i="19"/>
  <c r="AB14" i="19"/>
  <c r="F28" i="19"/>
  <c r="AD17" i="18"/>
  <c r="AC20" i="18"/>
  <c r="AC14" i="19"/>
  <c r="AC18" i="19"/>
  <c r="AC25" i="19"/>
  <c r="AC13" i="19"/>
  <c r="G28" i="19"/>
  <c r="AB16" i="6"/>
  <c r="AA16" i="6"/>
  <c r="AD16" i="15"/>
  <c r="AD22" i="15"/>
  <c r="AD26" i="15"/>
  <c r="I31" i="15"/>
  <c r="AF19" i="18"/>
  <c r="AF16" i="15"/>
  <c r="AF22" i="15"/>
  <c r="AF26" i="15"/>
  <c r="AF33" i="15"/>
  <c r="AG20" i="18"/>
  <c r="AC13" i="6"/>
  <c r="AG15" i="15"/>
  <c r="AG19" i="15"/>
  <c r="AG24" i="15"/>
  <c r="AG28" i="15"/>
  <c r="J14" i="18"/>
  <c r="AC16" i="6"/>
  <c r="K31" i="15"/>
  <c r="AH31" i="15" s="1"/>
  <c r="K28" i="19"/>
  <c r="AH28" i="19" s="1"/>
  <c r="I28" i="19"/>
  <c r="J28" i="19"/>
  <c r="Z14" i="18" l="1"/>
  <c r="AD14" i="18"/>
  <c r="AA24" i="6"/>
  <c r="AC14" i="18"/>
  <c r="Y14" i="18"/>
  <c r="AF14" i="18"/>
  <c r="AE14" i="18"/>
  <c r="AA14" i="18"/>
  <c r="AB31" i="15"/>
  <c r="AI14" i="18"/>
  <c r="AH14" i="18"/>
  <c r="Z24" i="6"/>
  <c r="E35" i="15"/>
  <c r="AA35" i="15" s="1"/>
  <c r="AD24" i="6"/>
  <c r="Y24" i="6"/>
  <c r="AF28" i="19"/>
  <c r="J32" i="19"/>
  <c r="AB28" i="19"/>
  <c r="F32" i="19"/>
  <c r="AD28" i="19"/>
  <c r="H32" i="19"/>
  <c r="AE28" i="19"/>
  <c r="I32" i="19"/>
  <c r="AG28" i="19"/>
  <c r="K32" i="19"/>
  <c r="AH32" i="19" s="1"/>
  <c r="AC24" i="6"/>
  <c r="AG14" i="18"/>
  <c r="G32" i="19"/>
  <c r="AC28" i="19"/>
  <c r="AB24" i="6"/>
  <c r="G35" i="15"/>
  <c r="AC31" i="15"/>
  <c r="AD31" i="15"/>
  <c r="AB14" i="18"/>
  <c r="AG31" i="15"/>
  <c r="K35" i="15"/>
  <c r="AH35" i="15" s="1"/>
  <c r="AF31" i="15"/>
  <c r="I35" i="15"/>
  <c r="AE31" i="15"/>
  <c r="E32" i="19"/>
  <c r="AA32" i="19" s="1"/>
  <c r="AA28" i="19"/>
  <c r="AE32" i="19" l="1"/>
  <c r="AB35" i="15"/>
  <c r="AC32" i="19"/>
  <c r="AE35" i="15"/>
  <c r="AF35" i="15"/>
  <c r="AB32" i="19"/>
  <c r="AC35" i="15"/>
  <c r="AD35" i="15"/>
  <c r="AG32" i="19"/>
  <c r="AD32" i="19"/>
  <c r="AF32" i="19"/>
  <c r="AG35" i="15"/>
  <c r="V31" i="15" l="1"/>
  <c r="AR31" i="15" l="1"/>
  <c r="AS31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Hottinen Aaro</author>
  </authors>
  <commentList>
    <comment ref="W13" authorId="0" shapeId="0" xr:uid="{3808E6AC-C711-4227-8984-7746641F8A5F}">
      <text>
        <r>
          <rPr>
            <b/>
            <sz val="9"/>
            <color indexed="81"/>
            <rFont val="Tahoma"/>
            <charset val="1"/>
          </rPr>
          <t>Hottinen Aaro:</t>
        </r>
        <r>
          <rPr>
            <sz val="9"/>
            <color indexed="81"/>
            <rFont val="Tahoma"/>
            <charset val="1"/>
          </rPr>
          <t xml:space="preserve">
Palveluseteleiden kirjaustavan muutoksesta johtuen +710.</t>
        </r>
      </text>
    </comment>
    <comment ref="A21" authorId="0" shapeId="0" xr:uid="{5251FCFD-67B1-4890-BAA2-A8E053D771F3}">
      <text>
        <r>
          <rPr>
            <b/>
            <sz val="9"/>
            <color indexed="81"/>
            <rFont val="Tahoma"/>
            <charset val="1"/>
          </rPr>
          <t>Hottinen Aaro:</t>
        </r>
        <r>
          <rPr>
            <sz val="9"/>
            <color indexed="81"/>
            <rFont val="Tahoma"/>
            <charset val="1"/>
          </rPr>
          <t xml:space="preserve">
Mielenterveys 2021 alkaen.</t>
        </r>
      </text>
    </comment>
    <comment ref="W21" authorId="0" shapeId="0" xr:uid="{833ACE23-385D-4BEE-9035-6198122B431C}">
      <text>
        <r>
          <rPr>
            <b/>
            <sz val="9"/>
            <color indexed="81"/>
            <rFont val="Tahoma"/>
            <family val="2"/>
          </rPr>
          <t>Hottinen Aaro:</t>
        </r>
        <r>
          <rPr>
            <sz val="9"/>
            <color indexed="81"/>
            <rFont val="Tahoma"/>
            <family val="2"/>
          </rPr>
          <t xml:space="preserve">
Päihde ja mielenterveys 2021 alkaen</t>
        </r>
      </text>
    </comment>
    <comment ref="W24" authorId="0" shapeId="0" xr:uid="{E230E0BC-EDE7-48F2-9147-29F7F42ECF6F}">
      <text>
        <r>
          <rPr>
            <b/>
            <sz val="9"/>
            <color indexed="81"/>
            <rFont val="Tahoma"/>
            <charset val="1"/>
          </rPr>
          <t>Hottinen Aaro:</t>
        </r>
        <r>
          <rPr>
            <sz val="9"/>
            <color indexed="81"/>
            <rFont val="Tahoma"/>
            <charset val="1"/>
          </rPr>
          <t xml:space="preserve">
Mielenterveys osittain aiemmin täällä.</t>
        </r>
      </text>
    </comment>
    <comment ref="W27" authorId="0" shapeId="0" xr:uid="{DF4C6BB8-943F-463F-BAE0-7FD6459394B1}">
      <text>
        <r>
          <rPr>
            <b/>
            <sz val="9"/>
            <color indexed="81"/>
            <rFont val="Tahoma"/>
            <charset val="1"/>
          </rPr>
          <t>Hottinen Aaro:</t>
        </r>
        <r>
          <rPr>
            <sz val="9"/>
            <color indexed="81"/>
            <rFont val="Tahoma"/>
            <charset val="1"/>
          </rPr>
          <t xml:space="preserve">
2021 alkaen mukana palvelusetelit +240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Hottinen Aaro</author>
  </authors>
  <commentList>
    <comment ref="W31" authorId="0" shapeId="0" xr:uid="{8DB49B62-1048-483F-8982-7B244B0DB073}">
      <text>
        <r>
          <rPr>
            <b/>
            <sz val="9"/>
            <color indexed="81"/>
            <rFont val="Tahoma"/>
            <charset val="1"/>
          </rPr>
          <t>Hottinen Aaro:</t>
        </r>
        <r>
          <rPr>
            <sz val="9"/>
            <color indexed="81"/>
            <rFont val="Tahoma"/>
            <charset val="1"/>
          </rPr>
          <t xml:space="preserve">
Tiedoissa on mukana sisäisiä eriä osalla kunnista.</t>
        </r>
      </text>
    </comment>
    <comment ref="W35" authorId="0" shapeId="0" xr:uid="{A4717F14-7ADA-45C4-967A-12F35C345581}">
      <text>
        <r>
          <rPr>
            <b/>
            <sz val="9"/>
            <color indexed="81"/>
            <rFont val="Tahoma"/>
            <family val="2"/>
          </rPr>
          <t>Hottinen Aaro:</t>
        </r>
        <r>
          <rPr>
            <sz val="9"/>
            <color indexed="81"/>
            <rFont val="Tahoma"/>
            <family val="2"/>
          </rPr>
          <t xml:space="preserve">
Ei täsmää alaerien summaan 16.9 raportointitilanteessa. Osa kunnista on raportoinut alaerien sekaan sisäisiä eriä. Ulkoiset + sisäiset summaa on mahdoton raportoida kuten historiassa poikkeavista raportointikäytännöistä johtuen.</t>
        </r>
      </text>
    </comment>
  </commentList>
</comments>
</file>

<file path=xl/sharedStrings.xml><?xml version="1.0" encoding="utf-8"?>
<sst xmlns="http://schemas.openxmlformats.org/spreadsheetml/2006/main" count="181" uniqueCount="121">
  <si>
    <t>Muut palvelut</t>
  </si>
  <si>
    <t>Yhteensä</t>
  </si>
  <si>
    <t>Siitä:</t>
  </si>
  <si>
    <t>keskim.</t>
  </si>
  <si>
    <t>Painatukset, ilmoitukset</t>
  </si>
  <si>
    <t>Vakuutukset</t>
  </si>
  <si>
    <t>Puhtaanapito- ja pesulapalvelut</t>
  </si>
  <si>
    <t>Rakennusten ja alueiden rakentamis-</t>
  </si>
  <si>
    <t>ja kunnossapitopalvelut</t>
  </si>
  <si>
    <t>Koneiden ja laitteiden rakentamis-</t>
  </si>
  <si>
    <t>Majoitus- ja ravitsemispalvelut</t>
  </si>
  <si>
    <t>Matkustus- ja kuljetuspalvelut</t>
  </si>
  <si>
    <t>Sosiaali- ja terveyspalvelut</t>
  </si>
  <si>
    <t>Muut yhteistoimintaosuudet</t>
  </si>
  <si>
    <t>Toimisto- ja koulutarvikkeet</t>
  </si>
  <si>
    <t>Kirjallisuus</t>
  </si>
  <si>
    <t>Elintarvikkeet</t>
  </si>
  <si>
    <t>Vaatteisto</t>
  </si>
  <si>
    <t>Lääkkeet ja hoitotarvikkeet</t>
  </si>
  <si>
    <t>Puhdistusaineet ja -tarvikkeet</t>
  </si>
  <si>
    <t>Poltto- ja voiteluaineet</t>
  </si>
  <si>
    <t>Kalusto</t>
  </si>
  <si>
    <t>Rakennusmateriaali</t>
  </si>
  <si>
    <t>Muu materiaali</t>
  </si>
  <si>
    <t>97-98</t>
  </si>
  <si>
    <t>00-01</t>
  </si>
  <si>
    <t xml:space="preserve"> 01-02</t>
  </si>
  <si>
    <t>Milj. euroa:</t>
  </si>
  <si>
    <t xml:space="preserve"> 02-03</t>
  </si>
  <si>
    <t>Muutos, %:</t>
  </si>
  <si>
    <t>01-02</t>
  </si>
  <si>
    <t>02-03</t>
  </si>
  <si>
    <t xml:space="preserve"> Muutos-%:</t>
  </si>
  <si>
    <t>03-04</t>
  </si>
  <si>
    <t xml:space="preserve"> 03-04</t>
  </si>
  <si>
    <t>04-05</t>
  </si>
  <si>
    <t>Sosiaali- ja terveystoimi yht.</t>
  </si>
  <si>
    <t xml:space="preserve"> 04-05</t>
  </si>
  <si>
    <t>Aineiden, tarvikk. ja tavar. ostot yht.</t>
  </si>
  <si>
    <t>05-06</t>
  </si>
  <si>
    <t xml:space="preserve"> 05-06</t>
  </si>
  <si>
    <t>vuod.</t>
  </si>
  <si>
    <t>Liikelaitokset yht.</t>
  </si>
  <si>
    <t>06-07</t>
  </si>
  <si>
    <t>Asiakaspalvelujen</t>
  </si>
  <si>
    <t>ostot yhteensä</t>
  </si>
  <si>
    <t xml:space="preserve">  - Ostot valtiolta</t>
  </si>
  <si>
    <t xml:space="preserve">  - Ostot kunnilta</t>
  </si>
  <si>
    <t xml:space="preserve">  - Ostot kuntayhtymiltä</t>
  </si>
  <si>
    <t xml:space="preserve">  - Ostot muilta</t>
  </si>
  <si>
    <t xml:space="preserve"> -Perusterveydenhuolto</t>
  </si>
  <si>
    <t xml:space="preserve"> -Erikoissairaanhoito</t>
  </si>
  <si>
    <t>Liikelaitosten palvelujen ostot yht.</t>
  </si>
  <si>
    <t xml:space="preserve"> 06-07</t>
  </si>
  <si>
    <t>07-08</t>
  </si>
  <si>
    <t xml:space="preserve"> 07-08</t>
  </si>
  <si>
    <t>08-09</t>
  </si>
  <si>
    <t>07-09</t>
  </si>
  <si>
    <t xml:space="preserve"> 08-09</t>
  </si>
  <si>
    <t>09-10</t>
  </si>
  <si>
    <t xml:space="preserve"> -Muu sosiaali- ja terveystoimi</t>
  </si>
  <si>
    <t xml:space="preserve"> 09-10</t>
  </si>
  <si>
    <t>10-11</t>
  </si>
  <si>
    <t xml:space="preserve"> 10-11</t>
  </si>
  <si>
    <t>11-12</t>
  </si>
  <si>
    <t xml:space="preserve"> 11-12</t>
  </si>
  <si>
    <t>12-13</t>
  </si>
  <si>
    <t>Opetus- ja kulttuuritoimi yht.</t>
  </si>
  <si>
    <t xml:space="preserve"> -Muut opetus- ja kulttuuritoimi</t>
  </si>
  <si>
    <t>Tehtäväluokka</t>
  </si>
  <si>
    <t xml:space="preserve"> 12-13</t>
  </si>
  <si>
    <t>13-14</t>
  </si>
  <si>
    <t xml:space="preserve"> 13-14</t>
  </si>
  <si>
    <t>14-15</t>
  </si>
  <si>
    <t xml:space="preserve"> 14-15</t>
  </si>
  <si>
    <t xml:space="preserve">     siitä: ICT-palvelut</t>
  </si>
  <si>
    <t>Toimisto-, pankki-, posti- tele- ja asiantuntijapalv.</t>
  </si>
  <si>
    <t xml:space="preserve">     siitä: Työvoiman vuokraus</t>
  </si>
  <si>
    <t xml:space="preserve">   siitä:  Lämmitys</t>
  </si>
  <si>
    <t xml:space="preserve">            Sähkö ja kaasu</t>
  </si>
  <si>
    <t xml:space="preserve">            Vesi</t>
  </si>
  <si>
    <t>Lämmitys, sähkö, kaasu ja vesi</t>
  </si>
  <si>
    <t xml:space="preserve"> 15-16</t>
  </si>
  <si>
    <t>15-16</t>
  </si>
  <si>
    <t xml:space="preserve"> -Lasten päivähoito/Varhaiskasvatus</t>
  </si>
  <si>
    <t>16-17</t>
  </si>
  <si>
    <t>Vuodet 2000-2014 eivät sisällä kuntien ja kuntayhtymien liikelaitosten asiakaspalvelujen ostoja</t>
  </si>
  <si>
    <t>Vuosina 2000-2014 muiden palvelujen ostojen erittely ei sisällä kuntien ja kuntayhtymien liikelaitoksia</t>
  </si>
  <si>
    <t>Kunnat ja ky:t (vuosina 2000-2014 pl. liikelaitokset):</t>
  </si>
  <si>
    <t xml:space="preserve"> 16-17</t>
  </si>
  <si>
    <t>Vuosina 2000-2014 aineiden, tarvikkeiden ja tavaroiden  ostojen erittely ei sisällä kuntien ja kuntayhtymien liikelaitoksia</t>
  </si>
  <si>
    <t>Kunnat ja kuntayhtymät (pl.  liikelaitokset 2000-2014):</t>
  </si>
  <si>
    <t>Kunnat ja ky:t yht. (pl. liikelaitokset 2000-2014)</t>
  </si>
  <si>
    <t xml:space="preserve"> Muutos, %:</t>
  </si>
  <si>
    <t>17-18</t>
  </si>
  <si>
    <t xml:space="preserve"> 17-18</t>
  </si>
  <si>
    <t>18-19</t>
  </si>
  <si>
    <t>- Ikääntyneiden palvelut</t>
  </si>
  <si>
    <t>- Vammaispalvelut</t>
  </si>
  <si>
    <t>- Lastensuojelu ja perhepalvelut</t>
  </si>
  <si>
    <t>Vuotta 2014 vanhemmat tiedot eivät sisällä kuntien ja kuntayhtymien liikelaitosten asiakaspalvelujen ostoja</t>
  </si>
  <si>
    <t xml:space="preserve"> 18-19</t>
  </si>
  <si>
    <t>19-20</t>
  </si>
  <si>
    <t>00-20</t>
  </si>
  <si>
    <t>10-20</t>
  </si>
  <si>
    <t xml:space="preserve"> 19-20</t>
  </si>
  <si>
    <t>20-21</t>
  </si>
  <si>
    <t>Kuntien ja kuntayhtymien asiakaspalvelujen ostot vuosina 2000-2021</t>
  </si>
  <si>
    <t>Kuntien ja kuntayhtymien asiakaspalvelujen ostot yksityisiltä (ml. kolmas sektori) vuosina 2010-2021</t>
  </si>
  <si>
    <t>Tilastouudistuksien takia vuodet 2015 - 2020 eivät ole vertailukelpoisia aikaisempien vuosien kanssa, eikä vuosi 2021 aiempien vuosien kanssa:</t>
  </si>
  <si>
    <t xml:space="preserve"> 20-21</t>
  </si>
  <si>
    <t>Osuus verotuskustannuksiin</t>
  </si>
  <si>
    <t>Koulutus- ja kulttuuripalvelut (sis. koulutuskorvaukset)</t>
  </si>
  <si>
    <t>Kuntien ja kuntayhtymien muiden palvelujen ostot 2000-2021</t>
  </si>
  <si>
    <t>Sisäiset erät mukana vuoteen 2020 asti, mutta raportointiuudistuksesta johtuen pelkät ulkoiset erät vuodesta 2021 alkaen.</t>
  </si>
  <si>
    <t>Kuntien ja kuntayhtymien aineiden, tarvikkeiden ja tavaroiden ostot 2000-2021</t>
  </si>
  <si>
    <t>Muiden palvelujen ostot yht. (raportoitu)</t>
  </si>
  <si>
    <t>Vuoden 2021 luvuissa kunnat ovat raportoineet ristiriitaisesti. 176 kunnalla tai kuntayhtymällä on sisäisiä lukuja mukana ulkoisten tietojen alaerissä.</t>
  </si>
  <si>
    <t>Muutos ei järkevä</t>
  </si>
  <si>
    <t xml:space="preserve"> -Päihdehuolto ja mielenterveys</t>
  </si>
  <si>
    <t>Lähde: Tilastokeskus, Valtiokonttori 2021 alkaen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</si>
</sst>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0.0"/>
  </numFmts>
  <fonts count="64" x14ac:knownFonts="1">
    <font>
      <sz val="10"/>
      <name val="Arial"/>
    </font>
    <font>
      <sz val="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5"/>
      <name val="Arial"/>
      <family val="2"/>
    </font>
    <font>
      <sz val="16"/>
      <color indexed="8"/>
      <name val="Arial"/>
      <family val="2"/>
    </font>
    <font>
      <sz val="2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18"/>
      <color indexed="8"/>
      <name val="Arial"/>
      <family val="2"/>
    </font>
    <font>
      <sz val="14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i/>
      <sz val="9"/>
      <name val="Arial Narrow"/>
      <family val="2"/>
    </font>
    <font>
      <b/>
      <i/>
      <sz val="9"/>
      <name val="Arial Narrow"/>
      <family val="2"/>
    </font>
    <font>
      <i/>
      <sz val="8"/>
      <name val="Arial"/>
      <family val="2"/>
    </font>
    <font>
      <sz val="8"/>
      <name val="Arial Narrow"/>
      <family val="2"/>
    </font>
    <font>
      <sz val="8"/>
      <name val="Arial"/>
      <family val="2"/>
    </font>
    <font>
      <b/>
      <i/>
      <sz val="10"/>
      <name val="Arial"/>
      <family val="2"/>
    </font>
    <font>
      <i/>
      <sz val="9"/>
      <color indexed="8"/>
      <name val="Arial Narrow"/>
      <family val="2"/>
    </font>
    <font>
      <i/>
      <sz val="10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i/>
      <sz val="10"/>
      <color indexed="8"/>
      <name val="Arial Narrow"/>
      <family val="2"/>
    </font>
    <font>
      <b/>
      <i/>
      <sz val="10"/>
      <name val="Arial Narrow"/>
      <family val="2"/>
    </font>
    <font>
      <i/>
      <sz val="10"/>
      <color rgb="FF0000FF"/>
      <name val="Arial"/>
      <family val="2"/>
    </font>
    <font>
      <i/>
      <sz val="10"/>
      <color rgb="FF0000FF"/>
      <name val="Arial Narrow"/>
      <family val="2"/>
    </font>
    <font>
      <b/>
      <i/>
      <sz val="10"/>
      <color rgb="FF0000FF"/>
      <name val="Arial Narrow"/>
      <family val="2"/>
    </font>
    <font>
      <sz val="10"/>
      <color rgb="FF0000FF"/>
      <name val="Arial Narrow"/>
      <family val="2"/>
    </font>
    <font>
      <b/>
      <i/>
      <sz val="10"/>
      <color rgb="FF0000FF"/>
      <name val="Arial"/>
      <family val="2"/>
    </font>
    <font>
      <i/>
      <sz val="9"/>
      <color rgb="FF0000FF"/>
      <name val="Arial Narrow"/>
      <family val="2"/>
    </font>
    <font>
      <i/>
      <sz val="8"/>
      <color rgb="FF0000FF"/>
      <name val="Arial"/>
      <family val="2"/>
    </font>
    <font>
      <b/>
      <sz val="20"/>
      <color indexed="8"/>
      <name val="Arial"/>
      <family val="2"/>
    </font>
    <font>
      <b/>
      <sz val="9"/>
      <color indexed="8"/>
      <name val="Arial Narrow"/>
      <family val="2"/>
    </font>
    <font>
      <sz val="11"/>
      <color rgb="FF000000"/>
      <name val="Calibri"/>
      <family val="2"/>
    </font>
    <font>
      <sz val="10"/>
      <color rgb="FFFF0000"/>
      <name val="Arial"/>
      <family val="2"/>
    </font>
    <font>
      <sz val="20"/>
      <color rgb="FFFF0000"/>
      <name val="Arial"/>
      <family val="2"/>
    </font>
    <font>
      <i/>
      <sz val="10"/>
      <color rgb="FFFF0000"/>
      <name val="Arial"/>
      <family val="2"/>
    </font>
    <font>
      <i/>
      <sz val="10"/>
      <color rgb="FFFF0000"/>
      <name val="Arial Narrow"/>
      <family val="2"/>
    </font>
    <font>
      <b/>
      <i/>
      <sz val="10"/>
      <color rgb="FFFF0000"/>
      <name val="Arial Narrow"/>
      <family val="2"/>
    </font>
    <font>
      <sz val="9"/>
      <color rgb="FFFF000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i/>
      <sz val="9"/>
      <color rgb="FFFF0000"/>
      <name val="Arial Narrow"/>
      <family val="2"/>
    </font>
    <font>
      <i/>
      <sz val="8"/>
      <color rgb="FFFF000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4" fillId="0" borderId="0" applyNumberFormat="0" applyBorder="0" applyAlignment="0"/>
  </cellStyleXfs>
  <cellXfs count="14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/>
    <xf numFmtId="3" fontId="3" fillId="0" borderId="0" xfId="0" applyNumberFormat="1" applyFont="1"/>
    <xf numFmtId="0" fontId="9" fillId="0" borderId="0" xfId="0" applyFont="1"/>
    <xf numFmtId="0" fontId="6" fillId="0" borderId="1" xfId="0" applyFont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7" fillId="0" borderId="1" xfId="0" applyFont="1" applyBorder="1"/>
    <xf numFmtId="0" fontId="13" fillId="0" borderId="1" xfId="0" applyFont="1" applyBorder="1"/>
    <xf numFmtId="3" fontId="14" fillId="0" borderId="0" xfId="0" applyNumberFormat="1" applyFont="1"/>
    <xf numFmtId="165" fontId="7" fillId="0" borderId="0" xfId="0" applyNumberFormat="1" applyFont="1"/>
    <xf numFmtId="3" fontId="7" fillId="0" borderId="0" xfId="0" applyNumberFormat="1" applyFont="1"/>
    <xf numFmtId="3" fontId="12" fillId="0" borderId="0" xfId="0" applyNumberFormat="1" applyFont="1"/>
    <xf numFmtId="165" fontId="15" fillId="0" borderId="0" xfId="0" applyNumberFormat="1" applyFont="1"/>
    <xf numFmtId="0" fontId="16" fillId="0" borderId="0" xfId="0" applyFont="1"/>
    <xf numFmtId="0" fontId="17" fillId="0" borderId="0" xfId="0" applyFont="1"/>
    <xf numFmtId="3" fontId="18" fillId="0" borderId="0" xfId="0" applyNumberFormat="1" applyFont="1"/>
    <xf numFmtId="14" fontId="17" fillId="0" borderId="0" xfId="0" applyNumberFormat="1" applyFont="1" applyAlignment="1">
      <alignment horizontal="left"/>
    </xf>
    <xf numFmtId="0" fontId="19" fillId="0" borderId="0" xfId="0" applyFont="1" applyAlignment="1">
      <alignment horizontal="center"/>
    </xf>
    <xf numFmtId="165" fontId="19" fillId="0" borderId="0" xfId="0" applyNumberFormat="1" applyFont="1"/>
    <xf numFmtId="165" fontId="20" fillId="0" borderId="0" xfId="0" applyNumberFormat="1" applyFont="1"/>
    <xf numFmtId="0" fontId="21" fillId="0" borderId="1" xfId="0" applyFont="1" applyBorder="1" applyAlignment="1">
      <alignment horizontal="center"/>
    </xf>
    <xf numFmtId="0" fontId="22" fillId="0" borderId="0" xfId="0" applyFont="1"/>
    <xf numFmtId="0" fontId="23" fillId="0" borderId="0" xfId="0" applyFont="1"/>
    <xf numFmtId="0" fontId="19" fillId="0" borderId="1" xfId="0" applyFont="1" applyBorder="1" applyAlignment="1">
      <alignment horizontal="center"/>
    </xf>
    <xf numFmtId="1" fontId="19" fillId="0" borderId="0" xfId="0" applyNumberFormat="1" applyFont="1" applyAlignment="1">
      <alignment horizontal="center"/>
    </xf>
    <xf numFmtId="0" fontId="24" fillId="0" borderId="1" xfId="0" applyFont="1" applyBorder="1" applyAlignment="1">
      <alignment horizontal="left"/>
    </xf>
    <xf numFmtId="49" fontId="25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/>
    <xf numFmtId="164" fontId="28" fillId="0" borderId="0" xfId="0" applyNumberFormat="1" applyFont="1"/>
    <xf numFmtId="0" fontId="25" fillId="0" borderId="0" xfId="0" applyFont="1"/>
    <xf numFmtId="164" fontId="25" fillId="0" borderId="0" xfId="0" applyNumberFormat="1" applyFont="1"/>
    <xf numFmtId="3" fontId="27" fillId="0" borderId="0" xfId="0" applyNumberFormat="1" applyFont="1"/>
    <xf numFmtId="165" fontId="27" fillId="0" borderId="0" xfId="0" applyNumberFormat="1" applyFont="1"/>
    <xf numFmtId="0" fontId="29" fillId="0" borderId="0" xfId="0" applyFont="1"/>
    <xf numFmtId="0" fontId="29" fillId="0" borderId="1" xfId="0" applyFont="1" applyBorder="1"/>
    <xf numFmtId="0" fontId="30" fillId="0" borderId="0" xfId="0" applyFont="1"/>
    <xf numFmtId="3" fontId="30" fillId="0" borderId="0" xfId="0" applyNumberFormat="1" applyFont="1"/>
    <xf numFmtId="3" fontId="29" fillId="0" borderId="0" xfId="0" applyNumberFormat="1" applyFont="1"/>
    <xf numFmtId="0" fontId="6" fillId="0" borderId="0" xfId="0" applyFont="1" applyAlignment="1">
      <alignment horizontal="center"/>
    </xf>
    <xf numFmtId="0" fontId="31" fillId="0" borderId="0" xfId="0" applyFont="1"/>
    <xf numFmtId="3" fontId="31" fillId="0" borderId="0" xfId="0" applyNumberFormat="1" applyFont="1"/>
    <xf numFmtId="165" fontId="32" fillId="0" borderId="0" xfId="0" applyNumberFormat="1" applyFont="1"/>
    <xf numFmtId="49" fontId="26" fillId="0" borderId="0" xfId="0" applyNumberFormat="1" applyFont="1" applyAlignment="1">
      <alignment horizontal="center"/>
    </xf>
    <xf numFmtId="0" fontId="26" fillId="0" borderId="0" xfId="0" applyFont="1"/>
    <xf numFmtId="164" fontId="33" fillId="0" borderId="0" xfId="0" applyNumberFormat="1" applyFont="1"/>
    <xf numFmtId="164" fontId="26" fillId="0" borderId="0" xfId="0" applyNumberFormat="1" applyFont="1"/>
    <xf numFmtId="0" fontId="14" fillId="0" borderId="0" xfId="0" applyFont="1"/>
    <xf numFmtId="165" fontId="34" fillId="0" borderId="0" xfId="0" applyNumberFormat="1" applyFont="1"/>
    <xf numFmtId="0" fontId="35" fillId="0" borderId="1" xfId="0" applyFont="1" applyBorder="1"/>
    <xf numFmtId="0" fontId="35" fillId="0" borderId="1" xfId="0" applyFont="1" applyBorder="1" applyAlignment="1">
      <alignment horizontal="center"/>
    </xf>
    <xf numFmtId="49" fontId="36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0" fontId="36" fillId="0" borderId="0" xfId="0" applyFont="1"/>
    <xf numFmtId="164" fontId="37" fillId="0" borderId="0" xfId="0" applyNumberFormat="1" applyFont="1"/>
    <xf numFmtId="165" fontId="37" fillId="0" borderId="0" xfId="0" applyNumberFormat="1" applyFont="1"/>
    <xf numFmtId="165" fontId="36" fillId="0" borderId="0" xfId="0" applyNumberFormat="1" applyFont="1"/>
    <xf numFmtId="164" fontId="36" fillId="0" borderId="0" xfId="0" applyNumberFormat="1" applyFont="1"/>
    <xf numFmtId="0" fontId="38" fillId="0" borderId="0" xfId="0" applyFont="1"/>
    <xf numFmtId="0" fontId="39" fillId="0" borderId="1" xfId="0" applyFont="1" applyBorder="1" applyAlignment="1">
      <alignment horizontal="left"/>
    </xf>
    <xf numFmtId="0" fontId="40" fillId="0" borderId="1" xfId="0" applyFont="1" applyBorder="1" applyAlignment="1">
      <alignment horizontal="center"/>
    </xf>
    <xf numFmtId="1" fontId="36" fillId="0" borderId="0" xfId="0" applyNumberFormat="1" applyFont="1" applyAlignment="1">
      <alignment horizontal="center"/>
    </xf>
    <xf numFmtId="0" fontId="41" fillId="0" borderId="1" xfId="0" applyFont="1" applyBorder="1" applyAlignment="1">
      <alignment horizontal="center"/>
    </xf>
    <xf numFmtId="3" fontId="42" fillId="0" borderId="0" xfId="0" applyNumberFormat="1" applyFont="1"/>
    <xf numFmtId="3" fontId="43" fillId="0" borderId="0" xfId="0" applyNumberFormat="1" applyFont="1"/>
    <xf numFmtId="0" fontId="7" fillId="0" borderId="0" xfId="0" applyFont="1" applyAlignment="1">
      <alignment horizontal="center"/>
    </xf>
    <xf numFmtId="0" fontId="45" fillId="0" borderId="0" xfId="0" applyFont="1"/>
    <xf numFmtId="0" fontId="46" fillId="0" borderId="0" xfId="0" applyFont="1"/>
    <xf numFmtId="0" fontId="47" fillId="0" borderId="1" xfId="0" applyFont="1" applyBorder="1"/>
    <xf numFmtId="49" fontId="48" fillId="0" borderId="0" xfId="0" applyNumberFormat="1" applyFont="1" applyAlignment="1">
      <alignment horizontal="center"/>
    </xf>
    <xf numFmtId="0" fontId="48" fillId="0" borderId="0" xfId="0" applyFont="1" applyAlignment="1">
      <alignment horizontal="center"/>
    </xf>
    <xf numFmtId="0" fontId="48" fillId="0" borderId="0" xfId="0" applyFont="1"/>
    <xf numFmtId="164" fontId="49" fillId="0" borderId="0" xfId="0" applyNumberFormat="1" applyFont="1"/>
    <xf numFmtId="164" fontId="48" fillId="0" borderId="0" xfId="0" applyNumberFormat="1" applyFont="1"/>
    <xf numFmtId="3" fontId="50" fillId="0" borderId="0" xfId="0" applyNumberFormat="1" applyFont="1"/>
    <xf numFmtId="3" fontId="46" fillId="0" borderId="0" xfId="0" applyNumberFormat="1" applyFont="1"/>
    <xf numFmtId="0" fontId="51" fillId="0" borderId="1" xfId="0" applyFont="1" applyBorder="1"/>
    <xf numFmtId="0" fontId="51" fillId="0" borderId="0" xfId="0" applyFont="1"/>
    <xf numFmtId="3" fontId="52" fillId="0" borderId="0" xfId="0" applyNumberFormat="1" applyFont="1"/>
    <xf numFmtId="3" fontId="51" fillId="0" borderId="0" xfId="0" applyNumberFormat="1" applyFont="1"/>
    <xf numFmtId="3" fontId="53" fillId="0" borderId="0" xfId="0" applyNumberFormat="1" applyFont="1"/>
    <xf numFmtId="3" fontId="48" fillId="0" borderId="0" xfId="0" applyNumberFormat="1" applyFont="1"/>
    <xf numFmtId="0" fontId="54" fillId="0" borderId="0" xfId="0" applyFont="1"/>
    <xf numFmtId="0" fontId="55" fillId="0" borderId="0" xfId="0" applyFont="1"/>
    <xf numFmtId="0" fontId="51" fillId="0" borderId="0" xfId="0" applyFont="1" applyAlignment="1">
      <alignment horizontal="center"/>
    </xf>
    <xf numFmtId="0" fontId="50" fillId="0" borderId="0" xfId="0" applyFont="1"/>
    <xf numFmtId="0" fontId="56" fillId="0" borderId="1" xfId="0" applyFont="1" applyBorder="1" applyAlignment="1">
      <alignment horizontal="center"/>
    </xf>
    <xf numFmtId="1" fontId="48" fillId="0" borderId="0" xfId="0" applyNumberFormat="1" applyFont="1" applyAlignment="1">
      <alignment horizontal="center"/>
    </xf>
    <xf numFmtId="165" fontId="48" fillId="0" borderId="0" xfId="0" applyNumberFormat="1" applyFont="1"/>
    <xf numFmtId="165" fontId="49" fillId="0" borderId="0" xfId="0" applyNumberFormat="1" applyFont="1"/>
    <xf numFmtId="0" fontId="32" fillId="0" borderId="0" xfId="0" applyFont="1"/>
    <xf numFmtId="0" fontId="57" fillId="0" borderId="1" xfId="0" applyFont="1" applyBorder="1" applyAlignment="1">
      <alignment horizontal="center"/>
    </xf>
    <xf numFmtId="3" fontId="32" fillId="0" borderId="0" xfId="0" applyNumberFormat="1" applyFont="1"/>
    <xf numFmtId="3" fontId="58" fillId="0" borderId="0" xfId="0" applyNumberFormat="1" applyFont="1"/>
    <xf numFmtId="0" fontId="45" fillId="0" borderId="1" xfId="0" applyFont="1" applyBorder="1"/>
    <xf numFmtId="0" fontId="45" fillId="0" borderId="0" xfId="0" applyFont="1" applyAlignment="1">
      <alignment horizontal="center"/>
    </xf>
    <xf numFmtId="3" fontId="59" fillId="0" borderId="0" xfId="0" applyNumberFormat="1" applyFont="1"/>
    <xf numFmtId="3" fontId="45" fillId="0" borderId="0" xfId="0" applyNumberFormat="1" applyFont="1"/>
    <xf numFmtId="0" fontId="22" fillId="0" borderId="1" xfId="0" applyFont="1" applyBorder="1"/>
    <xf numFmtId="0" fontId="53" fillId="0" borderId="0" xfId="0" applyFont="1"/>
    <xf numFmtId="0" fontId="18" fillId="0" borderId="0" xfId="0" applyFont="1"/>
    <xf numFmtId="0" fontId="51" fillId="0" borderId="0" xfId="0" applyFont="1" applyBorder="1"/>
    <xf numFmtId="0" fontId="51" fillId="0" borderId="2" xfId="0" applyFont="1" applyBorder="1"/>
    <xf numFmtId="0" fontId="51" fillId="0" borderId="2" xfId="0" applyFont="1" applyBorder="1" applyAlignment="1">
      <alignment horizontal="center"/>
    </xf>
    <xf numFmtId="1" fontId="48" fillId="0" borderId="2" xfId="0" applyNumberFormat="1" applyFont="1" applyBorder="1" applyAlignment="1">
      <alignment horizontal="center"/>
    </xf>
    <xf numFmtId="0" fontId="39" fillId="0" borderId="0" xfId="0" applyFont="1" applyBorder="1" applyAlignment="1">
      <alignment horizontal="left"/>
    </xf>
    <xf numFmtId="0" fontId="41" fillId="0" borderId="0" xfId="0" applyFont="1" applyBorder="1" applyAlignment="1">
      <alignment horizontal="center"/>
    </xf>
    <xf numFmtId="1" fontId="36" fillId="0" borderId="2" xfId="0" applyNumberFormat="1" applyFont="1" applyBorder="1" applyAlignment="1">
      <alignment horizontal="center"/>
    </xf>
    <xf numFmtId="0" fontId="39" fillId="0" borderId="1" xfId="0" applyFont="1" applyBorder="1"/>
    <xf numFmtId="0" fontId="29" fillId="0" borderId="0" xfId="0" quotePrefix="1" applyFont="1"/>
    <xf numFmtId="17" fontId="36" fillId="0" borderId="0" xfId="0" quotePrefix="1" applyNumberFormat="1" applyFont="1" applyAlignment="1">
      <alignment horizontal="center"/>
    </xf>
    <xf numFmtId="49" fontId="32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164" fontId="34" fillId="0" borderId="0" xfId="0" applyNumberFormat="1" applyFont="1"/>
    <xf numFmtId="164" fontId="32" fillId="0" borderId="0" xfId="0" applyNumberFormat="1" applyFont="1"/>
    <xf numFmtId="3" fontId="5" fillId="0" borderId="0" xfId="0" applyNumberFormat="1" applyFont="1"/>
    <xf numFmtId="0" fontId="6" fillId="0" borderId="2" xfId="0" applyFont="1" applyBorder="1" applyAlignment="1">
      <alignment horizontal="center"/>
    </xf>
    <xf numFmtId="3" fontId="6" fillId="0" borderId="3" xfId="0" applyNumberFormat="1" applyFont="1" applyBorder="1"/>
    <xf numFmtId="3" fontId="32" fillId="0" borderId="3" xfId="0" applyNumberFormat="1" applyFont="1" applyBorder="1"/>
    <xf numFmtId="3" fontId="31" fillId="0" borderId="3" xfId="0" applyNumberFormat="1" applyFont="1" applyBorder="1"/>
    <xf numFmtId="0" fontId="45" fillId="0" borderId="4" xfId="0" applyFont="1" applyBorder="1" applyAlignment="1">
      <alignment horizontal="center"/>
    </xf>
    <xf numFmtId="0" fontId="45" fillId="0" borderId="3" xfId="0" applyFont="1" applyBorder="1" applyAlignment="1">
      <alignment horizontal="center"/>
    </xf>
    <xf numFmtId="0" fontId="45" fillId="0" borderId="3" xfId="0" applyFont="1" applyBorder="1"/>
    <xf numFmtId="3" fontId="59" fillId="0" borderId="3" xfId="0" applyNumberFormat="1" applyFont="1" applyBorder="1"/>
    <xf numFmtId="3" fontId="45" fillId="0" borderId="3" xfId="0" applyNumberFormat="1" applyFont="1" applyBorder="1"/>
    <xf numFmtId="0" fontId="51" fillId="0" borderId="4" xfId="0" applyFont="1" applyBorder="1" applyAlignment="1">
      <alignment horizontal="center"/>
    </xf>
    <xf numFmtId="0" fontId="51" fillId="0" borderId="3" xfId="0" applyFont="1" applyBorder="1" applyAlignment="1">
      <alignment horizontal="center"/>
    </xf>
    <xf numFmtId="0" fontId="51" fillId="0" borderId="3" xfId="0" applyFont="1" applyBorder="1"/>
    <xf numFmtId="3" fontId="51" fillId="0" borderId="3" xfId="0" applyNumberFormat="1" applyFont="1" applyBorder="1"/>
    <xf numFmtId="3" fontId="48" fillId="0" borderId="3" xfId="0" applyNumberFormat="1" applyFont="1" applyBorder="1"/>
    <xf numFmtId="3" fontId="52" fillId="0" borderId="3" xfId="0" applyNumberFormat="1" applyFont="1" applyBorder="1"/>
    <xf numFmtId="0" fontId="51" fillId="0" borderId="4" xfId="0" applyFont="1" applyBorder="1"/>
    <xf numFmtId="49" fontId="48" fillId="0" borderId="4" xfId="0" applyNumberFormat="1" applyFont="1" applyBorder="1" applyAlignment="1">
      <alignment horizontal="center"/>
    </xf>
    <xf numFmtId="0" fontId="48" fillId="0" borderId="3" xfId="0" applyFont="1" applyBorder="1" applyAlignment="1">
      <alignment horizontal="center"/>
    </xf>
    <xf numFmtId="164" fontId="49" fillId="0" borderId="3" xfId="0" applyNumberFormat="1" applyFont="1" applyBorder="1"/>
    <xf numFmtId="0" fontId="48" fillId="0" borderId="3" xfId="0" applyFont="1" applyBorder="1"/>
    <xf numFmtId="164" fontId="48" fillId="0" borderId="3" xfId="0" applyNumberFormat="1" applyFont="1" applyBorder="1"/>
    <xf numFmtId="3" fontId="50" fillId="0" borderId="3" xfId="0" applyNumberFormat="1" applyFont="1" applyBorder="1"/>
  </cellXfs>
  <cellStyles count="2">
    <cellStyle name="Normaali" xfId="0" builtinId="0"/>
    <cellStyle name="Normaali 2" xfId="1" xr:uid="{00000000-0005-0000-0000-000001000000}"/>
  </cellStyles>
  <dxfs count="0"/>
  <tableStyles count="1" defaultTableStyle="TableStyleMedium2" defaultPivotStyle="PivotStyleLight16">
    <tableStyle name="Invisible" pivot="0" table="0" count="0" xr9:uid="{CF4AAC66-4942-4E95-9EC5-BE01DEB8C55D}"/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29"/>
  <sheetViews>
    <sheetView tabSelected="1" zoomScale="115" zoomScaleNormal="115" workbookViewId="0">
      <pane xSplit="1" ySplit="11" topLeftCell="B12" activePane="bottomRight" state="frozen"/>
      <selection pane="topRight" activeCell="B1" sqref="B1"/>
      <selection pane="bottomLeft" activeCell="A9" sqref="A9"/>
      <selection pane="bottomRight" activeCell="W23" sqref="W23"/>
    </sheetView>
  </sheetViews>
  <sheetFormatPr defaultColWidth="9.140625" defaultRowHeight="12.75" x14ac:dyDescent="0.2"/>
  <cols>
    <col min="1" max="1" width="20.140625" style="7" customWidth="1"/>
    <col min="2" max="2" width="6.85546875" style="7" customWidth="1"/>
    <col min="3" max="3" width="1.7109375" style="7" hidden="1" customWidth="1"/>
    <col min="4" max="4" width="5.5703125" style="7" bestFit="1" customWidth="1"/>
    <col min="5" max="5" width="6.85546875" style="7" customWidth="1"/>
    <col min="6" max="9" width="6.85546875" style="7" hidden="1" customWidth="1"/>
    <col min="10" max="10" width="6.85546875" style="7" customWidth="1"/>
    <col min="11" max="13" width="6.28515625" style="7" hidden="1" customWidth="1"/>
    <col min="14" max="14" width="6.5703125" style="7" bestFit="1" customWidth="1"/>
    <col min="15" max="15" width="7.42578125" style="7" customWidth="1"/>
    <col min="16" max="23" width="6.7109375" style="7" customWidth="1"/>
    <col min="24" max="24" width="7.42578125" style="7" customWidth="1"/>
    <col min="25" max="30" width="4" style="7" hidden="1" customWidth="1"/>
    <col min="31" max="31" width="5.28515625" style="7" hidden="1" customWidth="1"/>
    <col min="32" max="36" width="4.7109375" style="7" hidden="1" customWidth="1"/>
    <col min="37" max="39" width="4.7109375" style="7" customWidth="1"/>
    <col min="40" max="40" width="4.85546875" style="7" customWidth="1"/>
    <col min="41" max="41" width="5.140625" style="7" customWidth="1"/>
    <col min="42" max="47" width="5.140625" style="76" customWidth="1"/>
    <col min="48" max="48" width="5.85546875" style="7" customWidth="1"/>
    <col min="49" max="16384" width="9.140625" style="7"/>
  </cols>
  <sheetData>
    <row r="1" spans="1:54" x14ac:dyDescent="0.2">
      <c r="A1" s="26">
        <v>44823</v>
      </c>
    </row>
    <row r="2" spans="1:54" ht="25.5" x14ac:dyDescent="0.35">
      <c r="A2" s="14" t="s">
        <v>107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77"/>
      <c r="AQ2" s="77"/>
      <c r="AR2" s="77"/>
      <c r="AS2" s="77"/>
      <c r="AT2" s="77"/>
      <c r="AU2" s="77"/>
      <c r="AV2" s="15"/>
    </row>
    <row r="3" spans="1:54" ht="18" customHeight="1" x14ac:dyDescent="0.35">
      <c r="A3" s="109" t="s">
        <v>109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77"/>
      <c r="AQ3" s="77"/>
      <c r="AR3" s="77"/>
      <c r="AS3" s="77"/>
      <c r="AT3" s="77"/>
      <c r="AU3" s="77"/>
      <c r="AV3" s="15"/>
    </row>
    <row r="4" spans="1:54" ht="18" customHeight="1" x14ac:dyDescent="0.35">
      <c r="A4" s="109" t="s">
        <v>114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77"/>
      <c r="AQ4" s="77"/>
      <c r="AR4" s="77"/>
      <c r="AS4" s="77"/>
      <c r="AT4" s="77"/>
      <c r="AU4" s="77"/>
      <c r="AV4" s="15"/>
    </row>
    <row r="5" spans="1:54" ht="18" customHeight="1" x14ac:dyDescent="0.35">
      <c r="A5" s="109" t="s">
        <v>86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77"/>
      <c r="AQ5" s="77"/>
      <c r="AR5" s="77"/>
      <c r="AS5" s="77"/>
      <c r="AT5" s="77"/>
      <c r="AU5" s="77"/>
      <c r="AV5" s="15"/>
    </row>
    <row r="6" spans="1:54" ht="20.25" customHeight="1" x14ac:dyDescent="0.35">
      <c r="A6" s="110" t="s">
        <v>120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77"/>
      <c r="AQ6" s="77"/>
      <c r="AR6" s="77"/>
      <c r="AS6" s="77"/>
      <c r="AT6" s="77"/>
      <c r="AU6" s="77"/>
      <c r="AV6" s="15"/>
    </row>
    <row r="7" spans="1:54" ht="10.5" customHeight="1" x14ac:dyDescent="0.35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77"/>
      <c r="AQ7" s="77"/>
      <c r="AR7" s="77"/>
      <c r="AS7" s="77"/>
      <c r="AT7" s="77"/>
      <c r="AU7" s="77"/>
      <c r="AV7" s="15"/>
    </row>
    <row r="8" spans="1:54" ht="15" customHeight="1" x14ac:dyDescent="0.2">
      <c r="B8" s="16" t="s">
        <v>27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04"/>
      <c r="Y8" s="17" t="s">
        <v>32</v>
      </c>
      <c r="Z8" s="17"/>
      <c r="AA8" s="17"/>
      <c r="AB8" s="17" t="s">
        <v>32</v>
      </c>
      <c r="AC8" s="17"/>
      <c r="AD8" s="17"/>
      <c r="AE8" s="59" t="s">
        <v>32</v>
      </c>
      <c r="AG8" s="59" t="s">
        <v>32</v>
      </c>
      <c r="AH8" s="59"/>
      <c r="AI8" s="59"/>
      <c r="AJ8" s="59"/>
      <c r="AK8" s="118" t="s">
        <v>93</v>
      </c>
      <c r="AL8" s="59"/>
      <c r="AM8" s="59"/>
      <c r="AN8" s="59"/>
      <c r="AO8" s="59"/>
      <c r="AP8" s="78"/>
      <c r="AQ8" s="78"/>
      <c r="AR8" s="78"/>
      <c r="AS8" s="78"/>
      <c r="AT8" s="78"/>
      <c r="AU8" s="78"/>
      <c r="AV8" s="60"/>
    </row>
    <row r="9" spans="1:54" ht="15" customHeight="1" x14ac:dyDescent="0.2">
      <c r="B9" s="75">
        <v>2000</v>
      </c>
      <c r="C9" s="75">
        <v>2001</v>
      </c>
      <c r="D9" s="75">
        <v>2002</v>
      </c>
      <c r="E9" s="75">
        <v>2003</v>
      </c>
      <c r="F9" s="75">
        <v>2004</v>
      </c>
      <c r="G9" s="75">
        <v>2005</v>
      </c>
      <c r="H9" s="75">
        <v>2006</v>
      </c>
      <c r="I9" s="75">
        <v>2007</v>
      </c>
      <c r="J9" s="75">
        <v>2008</v>
      </c>
      <c r="K9" s="75">
        <v>2009</v>
      </c>
      <c r="L9" s="75">
        <v>2010</v>
      </c>
      <c r="M9" s="75">
        <v>2011</v>
      </c>
      <c r="N9" s="75">
        <v>2012</v>
      </c>
      <c r="O9" s="75">
        <v>2013</v>
      </c>
      <c r="P9" s="75">
        <v>2014</v>
      </c>
      <c r="Q9" s="105">
        <v>2015</v>
      </c>
      <c r="R9" s="105">
        <v>2016</v>
      </c>
      <c r="S9" s="105">
        <v>2017</v>
      </c>
      <c r="T9" s="105">
        <v>2018</v>
      </c>
      <c r="U9" s="105">
        <v>2019</v>
      </c>
      <c r="V9" s="105">
        <v>2020</v>
      </c>
      <c r="W9" s="130">
        <v>2021</v>
      </c>
      <c r="Y9" s="53" t="s">
        <v>25</v>
      </c>
      <c r="Z9" s="53" t="s">
        <v>30</v>
      </c>
      <c r="AA9" s="53" t="s">
        <v>31</v>
      </c>
      <c r="AB9" s="61" t="s">
        <v>33</v>
      </c>
      <c r="AC9" s="61" t="s">
        <v>35</v>
      </c>
      <c r="AD9" s="61" t="s">
        <v>39</v>
      </c>
      <c r="AE9" s="61" t="s">
        <v>43</v>
      </c>
      <c r="AF9" s="61" t="s">
        <v>54</v>
      </c>
      <c r="AG9" s="61" t="s">
        <v>57</v>
      </c>
      <c r="AH9" s="61" t="s">
        <v>59</v>
      </c>
      <c r="AI9" s="61" t="s">
        <v>62</v>
      </c>
      <c r="AJ9" s="61" t="s">
        <v>64</v>
      </c>
      <c r="AK9" s="61" t="s">
        <v>66</v>
      </c>
      <c r="AL9" s="61" t="s">
        <v>71</v>
      </c>
      <c r="AM9" s="79" t="s">
        <v>73</v>
      </c>
      <c r="AN9" s="79" t="s">
        <v>83</v>
      </c>
      <c r="AO9" s="79" t="s">
        <v>85</v>
      </c>
      <c r="AP9" s="79" t="s">
        <v>94</v>
      </c>
      <c r="AQ9" s="79" t="s">
        <v>96</v>
      </c>
      <c r="AR9" s="79" t="s">
        <v>102</v>
      </c>
      <c r="AS9" s="79" t="s">
        <v>106</v>
      </c>
      <c r="AT9" s="62" t="s">
        <v>103</v>
      </c>
    </row>
    <row r="10" spans="1:54" ht="15" customHeight="1" x14ac:dyDescent="0.2"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105"/>
      <c r="R10" s="105"/>
      <c r="S10" s="105"/>
      <c r="T10" s="105"/>
      <c r="U10" s="105"/>
      <c r="V10" s="105"/>
      <c r="W10" s="131"/>
      <c r="Y10" s="37"/>
      <c r="Z10" s="37"/>
      <c r="AA10" s="37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80"/>
      <c r="AN10" s="80"/>
      <c r="AO10" s="80"/>
      <c r="AT10" s="62" t="s">
        <v>3</v>
      </c>
    </row>
    <row r="11" spans="1:54" x14ac:dyDescent="0.2">
      <c r="Q11" s="76"/>
      <c r="R11" s="76"/>
      <c r="S11" s="76"/>
      <c r="T11" s="76"/>
      <c r="U11" s="76"/>
      <c r="V11" s="76"/>
      <c r="W11" s="132"/>
      <c r="Y11" s="37"/>
      <c r="Z11" s="37"/>
      <c r="AA11" s="37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80"/>
      <c r="AN11" s="80"/>
      <c r="AO11" s="80"/>
      <c r="AT11" s="62" t="s">
        <v>41</v>
      </c>
    </row>
    <row r="12" spans="1:54" x14ac:dyDescent="0.2">
      <c r="Q12" s="76"/>
      <c r="R12" s="76"/>
      <c r="S12" s="76"/>
      <c r="T12" s="76"/>
      <c r="U12" s="76"/>
      <c r="V12" s="76"/>
      <c r="W12" s="132"/>
      <c r="Y12" s="37"/>
      <c r="Z12" s="37"/>
      <c r="AA12" s="37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80"/>
      <c r="AN12" s="80"/>
      <c r="AO12" s="80"/>
      <c r="AT12" s="62"/>
    </row>
    <row r="13" spans="1:54" ht="15" customHeight="1" x14ac:dyDescent="0.2">
      <c r="A13" s="57" t="s">
        <v>44</v>
      </c>
      <c r="Q13" s="76"/>
      <c r="R13" s="76"/>
      <c r="S13" s="76"/>
      <c r="T13" s="76"/>
      <c r="U13" s="76"/>
      <c r="V13" s="76"/>
      <c r="W13" s="132"/>
      <c r="Y13" s="54"/>
      <c r="Z13" s="54"/>
      <c r="AA13" s="54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81"/>
      <c r="AN13" s="81"/>
      <c r="AO13" s="81"/>
      <c r="AT13" s="63"/>
    </row>
    <row r="14" spans="1:54" ht="16.5" customHeight="1" x14ac:dyDescent="0.2">
      <c r="A14" s="57" t="s">
        <v>45</v>
      </c>
      <c r="B14" s="18">
        <f>B17+B18+B19+B20</f>
        <v>4453.7002184761168</v>
      </c>
      <c r="C14" s="18">
        <f>C17+C18+C19+C20</f>
        <v>4840.067</v>
      </c>
      <c r="D14" s="18">
        <f>D17+D18+D19+D20</f>
        <v>5255.9940000000006</v>
      </c>
      <c r="E14" s="18">
        <f>E17+E18+E19+E20</f>
        <v>5625.9980000000005</v>
      </c>
      <c r="F14" s="18">
        <f t="shared" ref="F14:K14" si="0">F17+F18+F19+F20</f>
        <v>6081.83</v>
      </c>
      <c r="G14" s="18">
        <f t="shared" si="0"/>
        <v>6491.8559999999998</v>
      </c>
      <c r="H14" s="18">
        <f t="shared" si="0"/>
        <v>6931.1880000000001</v>
      </c>
      <c r="I14" s="18">
        <f t="shared" si="0"/>
        <v>7391.6190000000006</v>
      </c>
      <c r="J14" s="18">
        <f t="shared" si="0"/>
        <v>8283.8169999999991</v>
      </c>
      <c r="K14" s="18">
        <f t="shared" si="0"/>
        <v>8784.0149999999994</v>
      </c>
      <c r="L14" s="18">
        <f t="shared" ref="L14:M14" si="1">L17+L18+L19+L20</f>
        <v>9836.0789999999997</v>
      </c>
      <c r="M14" s="18">
        <f t="shared" si="1"/>
        <v>10494.843000000001</v>
      </c>
      <c r="N14" s="18">
        <f t="shared" ref="N14:O14" si="2">N17+N18+N19+N20</f>
        <v>11100.295</v>
      </c>
      <c r="O14" s="18">
        <f t="shared" si="2"/>
        <v>11739.172</v>
      </c>
      <c r="P14" s="18">
        <f t="shared" ref="P14:Q14" si="3">P17+P18+P19+P20</f>
        <v>12089.593000000001</v>
      </c>
      <c r="Q14" s="106">
        <f t="shared" si="3"/>
        <v>12845.950999999999</v>
      </c>
      <c r="R14" s="106">
        <f t="shared" ref="R14:S14" si="4">R17+R18+R19+R20</f>
        <v>13167.34</v>
      </c>
      <c r="S14" s="106">
        <f t="shared" si="4"/>
        <v>14101.36199999999</v>
      </c>
      <c r="T14" s="106">
        <v>15439</v>
      </c>
      <c r="U14" s="106">
        <v>16369</v>
      </c>
      <c r="V14" s="106">
        <v>16749</v>
      </c>
      <c r="W14" s="133">
        <v>18254.435000000001</v>
      </c>
      <c r="X14" s="18"/>
      <c r="Y14" s="55">
        <f t="shared" ref="Y14:AP14" si="5">100*(C14-B14)/B14</f>
        <v>8.6751860828226768</v>
      </c>
      <c r="Z14" s="55">
        <f t="shared" si="5"/>
        <v>8.5934140994329322</v>
      </c>
      <c r="AA14" s="55">
        <f t="shared" si="5"/>
        <v>7.0396579600357212</v>
      </c>
      <c r="AB14" s="64">
        <f t="shared" si="5"/>
        <v>8.1022424821338248</v>
      </c>
      <c r="AC14" s="64">
        <f t="shared" si="5"/>
        <v>6.7418194852536137</v>
      </c>
      <c r="AD14" s="64">
        <f t="shared" si="5"/>
        <v>6.7674329190296323</v>
      </c>
      <c r="AE14" s="64">
        <f t="shared" si="5"/>
        <v>6.6428871933642615</v>
      </c>
      <c r="AF14" s="64">
        <f t="shared" si="5"/>
        <v>12.070400273607154</v>
      </c>
      <c r="AG14" s="64">
        <f t="shared" si="5"/>
        <v>6.038255070096314</v>
      </c>
      <c r="AH14" s="64">
        <f t="shared" si="5"/>
        <v>11.977028727751494</v>
      </c>
      <c r="AI14" s="64">
        <f t="shared" si="5"/>
        <v>6.6974248580150801</v>
      </c>
      <c r="AJ14" s="64">
        <f t="shared" si="5"/>
        <v>5.7690429480459997</v>
      </c>
      <c r="AK14" s="64">
        <f t="shared" si="5"/>
        <v>5.7554956872767828</v>
      </c>
      <c r="AL14" s="64">
        <f t="shared" si="5"/>
        <v>2.9850572084641085</v>
      </c>
      <c r="AM14" s="82">
        <f t="shared" si="5"/>
        <v>6.2562734742186805</v>
      </c>
      <c r="AN14" s="82">
        <f t="shared" si="5"/>
        <v>2.5018700444988546</v>
      </c>
      <c r="AO14" s="82">
        <f t="shared" si="5"/>
        <v>7.0934752197481794</v>
      </c>
      <c r="AP14" s="82">
        <f t="shared" si="5"/>
        <v>9.485878030788875</v>
      </c>
      <c r="AQ14" s="82">
        <f>100*(U14-T14)/T14</f>
        <v>6.0237061985879912</v>
      </c>
      <c r="AR14" s="82">
        <f>100*(V14-U14)/U14</f>
        <v>2.3214612987965055</v>
      </c>
      <c r="AS14" s="82">
        <f>100*(W14-V14)/V14</f>
        <v>8.9882082512388877</v>
      </c>
      <c r="AT14" s="65">
        <f>100*(EXP(LN(W14/B14)/21)-1)</f>
        <v>6.9482509408726356</v>
      </c>
      <c r="AW14" s="19"/>
      <c r="AX14" s="19"/>
      <c r="AY14" s="19"/>
      <c r="AZ14" s="19"/>
      <c r="BA14" s="19"/>
      <c r="BB14" s="19"/>
    </row>
    <row r="15" spans="1:54" ht="7.5" customHeight="1" x14ac:dyDescent="0.2">
      <c r="Q15" s="76"/>
      <c r="R15" s="76"/>
      <c r="S15" s="76"/>
      <c r="T15" s="76"/>
      <c r="U15" s="76"/>
      <c r="V15" s="76"/>
      <c r="W15" s="132"/>
      <c r="Y15" s="54"/>
      <c r="Z15" s="54"/>
      <c r="AA15" s="54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81"/>
      <c r="AN15" s="81"/>
      <c r="AO15" s="81"/>
      <c r="AP15" s="81"/>
      <c r="AQ15" s="81"/>
      <c r="AR15" s="81"/>
      <c r="AS15" s="81"/>
      <c r="AT15" s="66"/>
    </row>
    <row r="16" spans="1:54" ht="20.45" customHeight="1" x14ac:dyDescent="0.2">
      <c r="A16" s="7" t="s">
        <v>2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107"/>
      <c r="R16" s="107"/>
      <c r="S16" s="107"/>
      <c r="T16" s="107"/>
      <c r="U16" s="107"/>
      <c r="V16" s="107"/>
      <c r="W16" s="134"/>
      <c r="Y16" s="54"/>
      <c r="Z16" s="54"/>
      <c r="AA16" s="54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81"/>
      <c r="AN16" s="81"/>
      <c r="AO16" s="81"/>
      <c r="AP16" s="81"/>
      <c r="AQ16" s="81"/>
      <c r="AR16" s="81"/>
      <c r="AS16" s="81"/>
      <c r="AT16" s="66"/>
    </row>
    <row r="17" spans="1:53" ht="20.25" customHeight="1" x14ac:dyDescent="0.2">
      <c r="A17" s="7" t="s">
        <v>46</v>
      </c>
      <c r="B17" s="20">
        <f>(113.508+95.671)/5.94573</f>
        <v>35.181382269292413</v>
      </c>
      <c r="C17" s="20">
        <f>17.563+20.468</f>
        <v>38.030999999999999</v>
      </c>
      <c r="D17" s="20">
        <f>24.05+19.077</f>
        <v>43.127000000000002</v>
      </c>
      <c r="E17" s="20">
        <f>23.405+25.02</f>
        <v>48.424999999999997</v>
      </c>
      <c r="F17" s="20">
        <f>22.162+27.137</f>
        <v>49.298999999999999</v>
      </c>
      <c r="G17" s="20">
        <f>23.531+29.805</f>
        <v>53.335999999999999</v>
      </c>
      <c r="H17" s="20">
        <f>24.664+31.788</f>
        <v>56.451999999999998</v>
      </c>
      <c r="I17" s="20">
        <f>24.428+32.536</f>
        <v>56.963999999999999</v>
      </c>
      <c r="J17" s="20">
        <f>33.809+26.846</f>
        <v>60.655000000000001</v>
      </c>
      <c r="K17" s="20">
        <f>36.237+27.177</f>
        <v>63.414000000000001</v>
      </c>
      <c r="L17" s="20">
        <f>38.172+57.607</f>
        <v>95.778999999999996</v>
      </c>
      <c r="M17" s="20">
        <f>57.931+38.515</f>
        <v>96.445999999999998</v>
      </c>
      <c r="N17" s="20">
        <f>67.759+38.112</f>
        <v>105.87100000000001</v>
      </c>
      <c r="O17" s="20">
        <f>66.468+40.017</f>
        <v>106.48500000000001</v>
      </c>
      <c r="P17" s="20">
        <f>73.741+38.678</f>
        <v>112.419</v>
      </c>
      <c r="Q17" s="107">
        <f>40.264+72.135</f>
        <v>112.399</v>
      </c>
      <c r="R17" s="107">
        <f>41.602+75.13</f>
        <v>116.732</v>
      </c>
      <c r="S17" s="107">
        <v>120.19300000000001</v>
      </c>
      <c r="T17" s="107">
        <v>127.931</v>
      </c>
      <c r="U17" s="107">
        <v>134</v>
      </c>
      <c r="V17" s="107">
        <v>151</v>
      </c>
      <c r="W17" s="134">
        <v>232.56700000000001</v>
      </c>
      <c r="X17" s="20"/>
      <c r="Y17" s="56">
        <f t="shared" ref="Y17:AH20" si="6">100*(C17-B17)/B17</f>
        <v>8.0997889988956899</v>
      </c>
      <c r="Z17" s="56">
        <f t="shared" si="6"/>
        <v>13.399595067182046</v>
      </c>
      <c r="AA17" s="56">
        <f t="shared" si="6"/>
        <v>12.284647668513912</v>
      </c>
      <c r="AB17" s="67">
        <f t="shared" si="6"/>
        <v>1.8048528652555547</v>
      </c>
      <c r="AC17" s="67">
        <f t="shared" si="6"/>
        <v>8.1888070751942212</v>
      </c>
      <c r="AD17" s="67">
        <f t="shared" si="6"/>
        <v>5.8422078896055192</v>
      </c>
      <c r="AE17" s="67">
        <f t="shared" si="6"/>
        <v>0.90696520938142222</v>
      </c>
      <c r="AF17" s="67">
        <f t="shared" si="6"/>
        <v>6.4795309318165906</v>
      </c>
      <c r="AG17" s="67">
        <f t="shared" si="6"/>
        <v>4.548676943368231</v>
      </c>
      <c r="AH17" s="67">
        <f t="shared" si="6"/>
        <v>51.037625760872984</v>
      </c>
      <c r="AI17" s="67">
        <f t="shared" ref="AI17:AS20" si="7">100*(M17-L17)/L17</f>
        <v>0.6963948255880742</v>
      </c>
      <c r="AJ17" s="67">
        <f t="shared" si="7"/>
        <v>9.772307819919968</v>
      </c>
      <c r="AK17" s="67">
        <f t="shared" si="7"/>
        <v>0.57995107253166989</v>
      </c>
      <c r="AL17" s="67">
        <f t="shared" si="7"/>
        <v>5.5726158613889112</v>
      </c>
      <c r="AM17" s="83">
        <f t="shared" si="7"/>
        <v>-1.779058700041454E-2</v>
      </c>
      <c r="AN17" s="83">
        <f t="shared" si="7"/>
        <v>3.8550165037055475</v>
      </c>
      <c r="AO17" s="83">
        <f t="shared" si="7"/>
        <v>2.9649110783675536</v>
      </c>
      <c r="AP17" s="83">
        <f t="shared" si="7"/>
        <v>6.4379789172414243</v>
      </c>
      <c r="AQ17" s="83">
        <f t="shared" si="7"/>
        <v>4.743963542847319</v>
      </c>
      <c r="AR17" s="83">
        <f t="shared" si="7"/>
        <v>12.686567164179104</v>
      </c>
      <c r="AS17" s="83">
        <f t="shared" si="7"/>
        <v>54.017880794701995</v>
      </c>
      <c r="AT17" s="66">
        <f>100*(EXP(LN(W17/B17)/21)-1)</f>
        <v>9.4104536260953608</v>
      </c>
      <c r="AW17" s="19"/>
      <c r="AX17" s="19"/>
      <c r="AY17" s="19"/>
      <c r="AZ17" s="19"/>
      <c r="BA17" s="19"/>
    </row>
    <row r="18" spans="1:53" ht="20.25" customHeight="1" x14ac:dyDescent="0.2">
      <c r="A18" s="7" t="s">
        <v>47</v>
      </c>
      <c r="B18" s="20">
        <f>(80.013+412.853)/5.94573</f>
        <v>82.894110563379087</v>
      </c>
      <c r="C18" s="20">
        <f>77.775+9.876</f>
        <v>87.65100000000001</v>
      </c>
      <c r="D18" s="20">
        <f>9.93+86.568</f>
        <v>96.49799999999999</v>
      </c>
      <c r="E18" s="20">
        <f>90.008+9.991</f>
        <v>99.998999999999995</v>
      </c>
      <c r="F18" s="20">
        <f>103.28+11.567</f>
        <v>114.84700000000001</v>
      </c>
      <c r="G18" s="20">
        <f>107.415+14.386</f>
        <v>121.801</v>
      </c>
      <c r="H18" s="20">
        <f>15.063+107.052</f>
        <v>122.11500000000001</v>
      </c>
      <c r="I18" s="20">
        <f>179.112+15.645</f>
        <v>194.75700000000001</v>
      </c>
      <c r="J18" s="20">
        <f>18.308+234.465</f>
        <v>252.773</v>
      </c>
      <c r="K18" s="20">
        <f>481.301+20.385</f>
        <v>501.68599999999998</v>
      </c>
      <c r="L18" s="20">
        <f>21.052+750.343</f>
        <v>771.39499999999998</v>
      </c>
      <c r="M18" s="20">
        <f>813.514+21.758</f>
        <v>835.27200000000005</v>
      </c>
      <c r="N18" s="20">
        <f>1030.104+24.315</f>
        <v>1054.4190000000001</v>
      </c>
      <c r="O18" s="20">
        <f>828.924+18.12</f>
        <v>847.04399999999998</v>
      </c>
      <c r="P18" s="20">
        <f>852.383+22.174</f>
        <v>874.55700000000002</v>
      </c>
      <c r="Q18" s="107">
        <f>55.723+826.213</f>
        <v>881.93599999999992</v>
      </c>
      <c r="R18" s="107">
        <f>59.846+835.493</f>
        <v>895.33900000000006</v>
      </c>
      <c r="S18" s="107">
        <v>709.20899999999961</v>
      </c>
      <c r="T18" s="107">
        <f>1106.793-382</f>
        <v>724.79299999999989</v>
      </c>
      <c r="U18" s="107">
        <v>708</v>
      </c>
      <c r="V18" s="107">
        <v>732</v>
      </c>
      <c r="W18" s="134">
        <v>802.55799999999999</v>
      </c>
      <c r="X18" s="20"/>
      <c r="Y18" s="56">
        <f t="shared" si="6"/>
        <v>5.7385131516477355</v>
      </c>
      <c r="Z18" s="56">
        <f t="shared" si="6"/>
        <v>10.093438751411826</v>
      </c>
      <c r="AA18" s="56">
        <f t="shared" si="6"/>
        <v>3.6280544674501081</v>
      </c>
      <c r="AB18" s="67">
        <f t="shared" si="6"/>
        <v>14.848148481484829</v>
      </c>
      <c r="AC18" s="67">
        <f t="shared" si="6"/>
        <v>6.0550123207397615</v>
      </c>
      <c r="AD18" s="67">
        <f t="shared" si="6"/>
        <v>0.25779755502828972</v>
      </c>
      <c r="AE18" s="67">
        <f t="shared" si="6"/>
        <v>59.486549563935625</v>
      </c>
      <c r="AF18" s="67">
        <f t="shared" si="6"/>
        <v>29.788916444595056</v>
      </c>
      <c r="AG18" s="67">
        <f t="shared" si="6"/>
        <v>98.472938169820353</v>
      </c>
      <c r="AH18" s="67">
        <f t="shared" si="6"/>
        <v>53.760519528151079</v>
      </c>
      <c r="AI18" s="67">
        <f t="shared" si="7"/>
        <v>8.2807122161797864</v>
      </c>
      <c r="AJ18" s="67">
        <f t="shared" si="7"/>
        <v>26.236603166393706</v>
      </c>
      <c r="AK18" s="67">
        <f t="shared" si="7"/>
        <v>-19.667229061691803</v>
      </c>
      <c r="AL18" s="67">
        <f t="shared" si="7"/>
        <v>3.2481193420884904</v>
      </c>
      <c r="AM18" s="83">
        <f t="shared" si="7"/>
        <v>0.84374145996200423</v>
      </c>
      <c r="AN18" s="83">
        <f t="shared" si="7"/>
        <v>1.5197247872861677</v>
      </c>
      <c r="AO18" s="83">
        <f t="shared" si="7"/>
        <v>-20.788773861073899</v>
      </c>
      <c r="AP18" s="83">
        <f t="shared" si="7"/>
        <v>2.1973776418517383</v>
      </c>
      <c r="AQ18" s="83">
        <f t="shared" ref="AQ18:AS19" si="8">100*(U18-T18)/T18</f>
        <v>-2.3169373876403188</v>
      </c>
      <c r="AR18" s="83">
        <f t="shared" si="8"/>
        <v>3.3898305084745761</v>
      </c>
      <c r="AS18" s="83">
        <f t="shared" si="8"/>
        <v>9.6390710382513642</v>
      </c>
      <c r="AT18" s="66">
        <f t="shared" ref="AT18:AT20" si="9">100*(EXP(LN(W18/B18)/21)-1)</f>
        <v>11.416658929769618</v>
      </c>
      <c r="AW18" s="19"/>
      <c r="AX18" s="19"/>
      <c r="AY18" s="19"/>
      <c r="AZ18" s="19"/>
      <c r="BA18" s="19"/>
    </row>
    <row r="19" spans="1:53" ht="20.25" customHeight="1" x14ac:dyDescent="0.2">
      <c r="A19" s="7" t="s">
        <v>48</v>
      </c>
      <c r="B19" s="20">
        <f>(914.238+20773.865)/5.94573</f>
        <v>3647.6770724536773</v>
      </c>
      <c r="C19" s="20">
        <f>3709.61+174.379</f>
        <v>3883.989</v>
      </c>
      <c r="D19" s="20">
        <f>191.723+4001.59</f>
        <v>4193.3130000000001</v>
      </c>
      <c r="E19" s="20">
        <f>4217.647+208.939</f>
        <v>4426.5860000000002</v>
      </c>
      <c r="F19" s="20">
        <f>4514.107+224.535</f>
        <v>4738.6419999999998</v>
      </c>
      <c r="G19" s="20">
        <f>4732.874+248.725</f>
        <v>4981.5990000000002</v>
      </c>
      <c r="H19" s="20">
        <f>4986.018+256.465</f>
        <v>5242.4830000000002</v>
      </c>
      <c r="I19" s="20">
        <f>5226.578+274.339</f>
        <v>5500.9170000000004</v>
      </c>
      <c r="J19" s="20">
        <f>333.677+5738.977</f>
        <v>6072.6539999999995</v>
      </c>
      <c r="K19" s="20">
        <f>358.719+5797.701</f>
        <v>6156.42</v>
      </c>
      <c r="L19" s="20">
        <f>499.219+6177.896</f>
        <v>6677.1149999999998</v>
      </c>
      <c r="M19" s="20">
        <f>6515.303+570.732</f>
        <v>7086.0349999999999</v>
      </c>
      <c r="N19" s="20">
        <f>6731.138+629.332</f>
        <v>7360.47</v>
      </c>
      <c r="O19" s="20">
        <f>7358.467+660.361</f>
        <v>8018.8279999999995</v>
      </c>
      <c r="P19" s="20">
        <f>7604.692+681.968</f>
        <v>8286.66</v>
      </c>
      <c r="Q19" s="107">
        <f>862.799+7966.263</f>
        <v>8829.0619999999999</v>
      </c>
      <c r="R19" s="107">
        <f>907.987+8012.654</f>
        <v>8920.6409999999996</v>
      </c>
      <c r="S19" s="107">
        <v>9877.7969999999932</v>
      </c>
      <c r="T19" s="107">
        <f>10672.844-382</f>
        <v>10290.843999999999</v>
      </c>
      <c r="U19" s="107">
        <v>11851</v>
      </c>
      <c r="V19" s="107">
        <v>12048</v>
      </c>
      <c r="W19" s="134">
        <v>12324.453</v>
      </c>
      <c r="X19" s="20"/>
      <c r="Y19" s="56">
        <f t="shared" si="6"/>
        <v>6.4784223727174179</v>
      </c>
      <c r="Z19" s="56">
        <f t="shared" si="6"/>
        <v>7.9640802278276297</v>
      </c>
      <c r="AA19" s="56">
        <f t="shared" si="6"/>
        <v>5.5629761002815705</v>
      </c>
      <c r="AB19" s="67">
        <f t="shared" si="6"/>
        <v>7.0495862951719355</v>
      </c>
      <c r="AC19" s="67">
        <f t="shared" si="6"/>
        <v>5.1271440214306194</v>
      </c>
      <c r="AD19" s="67">
        <f t="shared" si="6"/>
        <v>5.2369530345577795</v>
      </c>
      <c r="AE19" s="67">
        <f t="shared" si="6"/>
        <v>4.9296106444217402</v>
      </c>
      <c r="AF19" s="67">
        <f t="shared" si="6"/>
        <v>10.39348530435924</v>
      </c>
      <c r="AG19" s="67">
        <f t="shared" si="6"/>
        <v>1.379396883142042</v>
      </c>
      <c r="AH19" s="67">
        <f t="shared" si="6"/>
        <v>8.4577562934302684</v>
      </c>
      <c r="AI19" s="67">
        <f t="shared" si="7"/>
        <v>6.1242018446589599</v>
      </c>
      <c r="AJ19" s="67">
        <f t="shared" si="7"/>
        <v>3.8728993012312301</v>
      </c>
      <c r="AK19" s="67">
        <f t="shared" si="7"/>
        <v>8.9445103369757533</v>
      </c>
      <c r="AL19" s="67">
        <f t="shared" si="7"/>
        <v>3.3400392177011446</v>
      </c>
      <c r="AM19" s="83">
        <f t="shared" si="7"/>
        <v>6.5454839464874874</v>
      </c>
      <c r="AN19" s="83">
        <f t="shared" si="7"/>
        <v>1.0372449530878787</v>
      </c>
      <c r="AO19" s="83">
        <f t="shared" si="7"/>
        <v>10.729677385290964</v>
      </c>
      <c r="AP19" s="83">
        <f t="shared" si="7"/>
        <v>4.1815700403643268</v>
      </c>
      <c r="AQ19" s="83">
        <f t="shared" si="8"/>
        <v>15.160622394042715</v>
      </c>
      <c r="AR19" s="83">
        <f t="shared" si="8"/>
        <v>1.6623069783140663</v>
      </c>
      <c r="AS19" s="83">
        <f t="shared" si="8"/>
        <v>2.2945966135458127</v>
      </c>
      <c r="AT19" s="66">
        <f t="shared" si="9"/>
        <v>5.9689501853639193</v>
      </c>
      <c r="AW19" s="19"/>
      <c r="AX19" s="19"/>
      <c r="AY19" s="19"/>
      <c r="AZ19" s="19"/>
      <c r="BA19" s="19"/>
    </row>
    <row r="20" spans="1:53" ht="20.25" customHeight="1" x14ac:dyDescent="0.2">
      <c r="A20" s="7" t="s">
        <v>49</v>
      </c>
      <c r="B20" s="20">
        <f>(369.736+3720.615)/5.94573</f>
        <v>687.94765318976806</v>
      </c>
      <c r="C20" s="20">
        <f>754.211+76.185</f>
        <v>830.39599999999996</v>
      </c>
      <c r="D20" s="20">
        <f>86.552+836.504</f>
        <v>923.05600000000004</v>
      </c>
      <c r="E20" s="20">
        <f>954.884+96.104</f>
        <v>1050.9880000000001</v>
      </c>
      <c r="F20" s="20">
        <f>1069.558+109.484</f>
        <v>1179.0419999999999</v>
      </c>
      <c r="G20" s="20">
        <f>1190.329+144.791</f>
        <v>1335.12</v>
      </c>
      <c r="H20" s="20">
        <f>1350.701+159.437</f>
        <v>1510.1379999999999</v>
      </c>
      <c r="I20" s="20">
        <f>1465.462+173.519</f>
        <v>1638.981</v>
      </c>
      <c r="J20" s="20">
        <f>221.397+1676.338</f>
        <v>1897.7349999999999</v>
      </c>
      <c r="K20" s="20">
        <f>232.341+1830.154</f>
        <v>2062.4949999999999</v>
      </c>
      <c r="L20" s="20">
        <f>1944.182+347.608</f>
        <v>2291.79</v>
      </c>
      <c r="M20" s="20">
        <f>2085.952+391.138</f>
        <v>2477.09</v>
      </c>
      <c r="N20" s="20">
        <f>2199.68+379.855</f>
        <v>2579.5349999999999</v>
      </c>
      <c r="O20" s="20">
        <f>2401.088+365.727</f>
        <v>2766.8150000000001</v>
      </c>
      <c r="P20" s="20">
        <f>2439.52+376.437</f>
        <v>2815.9569999999999</v>
      </c>
      <c r="Q20" s="107">
        <f>448.133+2574.421</f>
        <v>3022.5539999999996</v>
      </c>
      <c r="R20" s="107">
        <f>547.334+2687.294</f>
        <v>3234.6279999999997</v>
      </c>
      <c r="S20" s="107">
        <v>3394.1629999999977</v>
      </c>
      <c r="T20" s="107">
        <v>3531.1559999999999</v>
      </c>
      <c r="U20" s="107">
        <v>3675</v>
      </c>
      <c r="V20" s="107">
        <v>3818</v>
      </c>
      <c r="W20" s="134">
        <f>W14-W17-W18-W19</f>
        <v>4894.8570000000018</v>
      </c>
      <c r="X20" s="20"/>
      <c r="Y20" s="56">
        <f t="shared" si="6"/>
        <v>20.706277018280343</v>
      </c>
      <c r="Z20" s="56">
        <f t="shared" si="6"/>
        <v>11.158531592156042</v>
      </c>
      <c r="AA20" s="56">
        <f t="shared" si="6"/>
        <v>13.859614151254096</v>
      </c>
      <c r="AB20" s="67">
        <f t="shared" si="6"/>
        <v>12.184154338584252</v>
      </c>
      <c r="AC20" s="67">
        <f t="shared" si="6"/>
        <v>13.237696367050537</v>
      </c>
      <c r="AD20" s="67">
        <f t="shared" si="6"/>
        <v>13.108784229132965</v>
      </c>
      <c r="AE20" s="67">
        <f t="shared" si="6"/>
        <v>8.5318692728744043</v>
      </c>
      <c r="AF20" s="67">
        <f t="shared" si="6"/>
        <v>15.787492350429925</v>
      </c>
      <c r="AG20" s="67">
        <f t="shared" si="6"/>
        <v>8.6819287202902409</v>
      </c>
      <c r="AH20" s="67">
        <f t="shared" si="6"/>
        <v>11.117360284509784</v>
      </c>
      <c r="AI20" s="67">
        <f t="shared" si="7"/>
        <v>8.0853830412036096</v>
      </c>
      <c r="AJ20" s="67">
        <f t="shared" si="7"/>
        <v>4.1356995506824417</v>
      </c>
      <c r="AK20" s="67">
        <f t="shared" si="7"/>
        <v>7.2602232572925054</v>
      </c>
      <c r="AL20" s="67">
        <f t="shared" si="7"/>
        <v>1.7761216416710126</v>
      </c>
      <c r="AM20" s="83">
        <f t="shared" si="7"/>
        <v>7.3366532230428154</v>
      </c>
      <c r="AN20" s="83">
        <f t="shared" si="7"/>
        <v>7.0163841572392123</v>
      </c>
      <c r="AO20" s="83">
        <f t="shared" si="7"/>
        <v>4.9320972921769695</v>
      </c>
      <c r="AP20" s="83">
        <f t="shared" si="7"/>
        <v>4.0361349764287189</v>
      </c>
      <c r="AQ20" s="83">
        <f t="shared" si="7"/>
        <v>4.0735668432660592</v>
      </c>
      <c r="AR20" s="83">
        <f t="shared" si="7"/>
        <v>3.8911564625850339</v>
      </c>
      <c r="AS20" s="83">
        <f t="shared" si="7"/>
        <v>28.204740701938235</v>
      </c>
      <c r="AT20" s="66">
        <f t="shared" si="9"/>
        <v>9.7944075926838394</v>
      </c>
      <c r="AW20" s="19"/>
      <c r="AX20" s="19"/>
      <c r="AY20" s="19"/>
      <c r="AZ20" s="19"/>
      <c r="BA20" s="19"/>
    </row>
    <row r="21" spans="1:53" ht="19.5" customHeight="1" x14ac:dyDescent="0.35">
      <c r="A21" s="15"/>
      <c r="B21" s="21"/>
      <c r="C21" s="21"/>
      <c r="D21" s="21"/>
      <c r="E21" s="21"/>
      <c r="F21" s="21"/>
      <c r="G21" s="21"/>
      <c r="H21" s="21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84"/>
      <c r="AQ21" s="84"/>
      <c r="AR21" s="84"/>
      <c r="AS21" s="84"/>
      <c r="AT21" s="84"/>
      <c r="AU21" s="84"/>
      <c r="AV21" s="43"/>
    </row>
    <row r="29" spans="1:53" x14ac:dyDescent="0.2">
      <c r="T29" s="20"/>
      <c r="U29" s="20"/>
      <c r="V29" s="20"/>
      <c r="W29" s="20"/>
    </row>
  </sheetData>
  <phoneticPr fontId="8" type="noConversion"/>
  <pageMargins left="0.43307086614173229" right="0.19685039370078741" top="0.98425196850393704" bottom="0.98425196850393704" header="0.51181102362204722" footer="0.5118110236220472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V33"/>
  <sheetViews>
    <sheetView zoomScale="115" zoomScaleNormal="115" workbookViewId="0">
      <pane xSplit="1" ySplit="11" topLeftCell="B12" activePane="bottomRight" state="frozen"/>
      <selection activeCell="A2" sqref="A2"/>
      <selection pane="topRight" activeCell="A2" sqref="A2"/>
      <selection pane="bottomLeft" activeCell="A2" sqref="A2"/>
      <selection pane="bottomRight" activeCell="A6" sqref="A6"/>
    </sheetView>
  </sheetViews>
  <sheetFormatPr defaultColWidth="9.140625" defaultRowHeight="12.75" x14ac:dyDescent="0.2"/>
  <cols>
    <col min="1" max="1" width="28.85546875" style="7" customWidth="1"/>
    <col min="2" max="7" width="6.140625" style="7" hidden="1" customWidth="1"/>
    <col min="8" max="11" width="5.140625" style="7" hidden="1" customWidth="1"/>
    <col min="12" max="16" width="5.140625" style="7" customWidth="1"/>
    <col min="17" max="22" width="5.140625" style="76" customWidth="1"/>
    <col min="23" max="23" width="8.28515625" style="76" customWidth="1"/>
    <col min="24" max="24" width="1.85546875" style="7" customWidth="1"/>
    <col min="25" max="25" width="4.140625" style="7" hidden="1" customWidth="1"/>
    <col min="26" max="30" width="5.28515625" style="7" hidden="1" customWidth="1"/>
    <col min="31" max="34" width="5.28515625" style="7" customWidth="1"/>
    <col min="35" max="38" width="5.28515625" style="76" customWidth="1"/>
    <col min="39" max="41" width="6.7109375" style="76" customWidth="1"/>
    <col min="42" max="42" width="6" style="7" customWidth="1"/>
    <col min="43" max="16384" width="9.140625" style="7"/>
  </cols>
  <sheetData>
    <row r="1" spans="1:48" x14ac:dyDescent="0.2">
      <c r="A1" s="26">
        <v>44823</v>
      </c>
    </row>
    <row r="2" spans="1:48" ht="25.5" x14ac:dyDescent="0.35">
      <c r="A2" s="23" t="s">
        <v>108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77"/>
      <c r="R2" s="77"/>
      <c r="S2" s="77"/>
      <c r="T2" s="77"/>
      <c r="U2" s="77"/>
      <c r="V2" s="77"/>
      <c r="W2" s="77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77"/>
      <c r="AJ2" s="77"/>
      <c r="AK2" s="77"/>
      <c r="AL2" s="77"/>
      <c r="AM2" s="77"/>
      <c r="AN2" s="77"/>
      <c r="AO2" s="77"/>
      <c r="AP2" s="15"/>
    </row>
    <row r="3" spans="1:48" ht="17.25" customHeight="1" x14ac:dyDescent="0.35">
      <c r="A3" s="109" t="s">
        <v>109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77"/>
      <c r="R3" s="77"/>
      <c r="S3" s="77"/>
      <c r="T3" s="77"/>
      <c r="U3" s="77"/>
      <c r="V3" s="77"/>
      <c r="W3" s="77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77"/>
      <c r="AJ3" s="77"/>
      <c r="AK3" s="77"/>
      <c r="AL3" s="77"/>
      <c r="AM3" s="77"/>
      <c r="AN3" s="77"/>
      <c r="AO3" s="77"/>
      <c r="AP3" s="15"/>
    </row>
    <row r="4" spans="1:48" ht="17.25" customHeight="1" x14ac:dyDescent="0.35">
      <c r="A4" s="109" t="s">
        <v>114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77"/>
      <c r="R4" s="77"/>
      <c r="S4" s="77"/>
      <c r="T4" s="77"/>
      <c r="U4" s="77"/>
      <c r="V4" s="77"/>
      <c r="W4" s="77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77"/>
      <c r="AJ4" s="77"/>
      <c r="AK4" s="77"/>
      <c r="AL4" s="77"/>
      <c r="AM4" s="77"/>
      <c r="AN4" s="77"/>
      <c r="AO4" s="77"/>
      <c r="AP4" s="15"/>
    </row>
    <row r="5" spans="1:48" ht="17.25" customHeight="1" x14ac:dyDescent="0.35">
      <c r="A5" s="109" t="s">
        <v>100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77"/>
      <c r="R5" s="77"/>
      <c r="S5" s="77"/>
      <c r="T5" s="77"/>
      <c r="U5" s="77"/>
      <c r="V5" s="77"/>
      <c r="W5" s="77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77"/>
      <c r="AJ5" s="77"/>
      <c r="AK5" s="77"/>
      <c r="AL5" s="77"/>
      <c r="AM5" s="77"/>
      <c r="AN5" s="77"/>
      <c r="AO5" s="77"/>
      <c r="AP5" s="15"/>
    </row>
    <row r="6" spans="1:48" ht="17.25" customHeight="1" x14ac:dyDescent="0.35">
      <c r="A6" s="110" t="s">
        <v>120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77"/>
      <c r="R6" s="77"/>
      <c r="S6" s="77"/>
      <c r="T6" s="77"/>
      <c r="U6" s="77"/>
      <c r="V6" s="77"/>
      <c r="W6" s="77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77"/>
      <c r="AJ6" s="77"/>
      <c r="AK6" s="77"/>
      <c r="AL6" s="77"/>
      <c r="AM6" s="77"/>
      <c r="AN6" s="77"/>
      <c r="AO6" s="77"/>
      <c r="AP6" s="15"/>
    </row>
    <row r="7" spans="1:48" ht="9" customHeight="1" x14ac:dyDescent="0.35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77"/>
      <c r="R7" s="77"/>
      <c r="S7" s="77"/>
      <c r="T7" s="77"/>
      <c r="U7" s="77"/>
      <c r="V7" s="77"/>
      <c r="W7" s="77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77"/>
      <c r="AJ7" s="77"/>
      <c r="AK7" s="77"/>
      <c r="AL7" s="77"/>
      <c r="AM7" s="77"/>
      <c r="AN7" s="77"/>
      <c r="AO7" s="77"/>
      <c r="AP7" s="15"/>
    </row>
    <row r="8" spans="1:48" ht="15" customHeight="1" x14ac:dyDescent="0.2">
      <c r="A8" s="44" t="s">
        <v>69</v>
      </c>
      <c r="B8" s="45" t="s">
        <v>27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86"/>
      <c r="R8" s="86"/>
      <c r="S8" s="111"/>
      <c r="T8" s="111"/>
      <c r="U8" s="111"/>
      <c r="V8" s="111"/>
      <c r="W8" s="111"/>
      <c r="Y8" s="17" t="s">
        <v>32</v>
      </c>
      <c r="Z8" s="118" t="s">
        <v>93</v>
      </c>
      <c r="AA8" s="59"/>
      <c r="AB8" s="59"/>
      <c r="AC8" s="59"/>
      <c r="AD8" s="59"/>
      <c r="AE8" s="59"/>
      <c r="AF8" s="59"/>
      <c r="AG8" s="59"/>
      <c r="AH8" s="59"/>
      <c r="AI8" s="78"/>
      <c r="AJ8" s="78"/>
      <c r="AK8" s="78"/>
      <c r="AL8" s="78"/>
      <c r="AM8" s="78"/>
      <c r="AN8" s="78"/>
      <c r="AO8" s="145" t="s">
        <v>118</v>
      </c>
      <c r="AP8" s="60"/>
    </row>
    <row r="9" spans="1:48" ht="15" customHeight="1" x14ac:dyDescent="0.25">
      <c r="A9" s="44"/>
      <c r="B9" s="44">
        <v>2000</v>
      </c>
      <c r="C9" s="44">
        <v>2001</v>
      </c>
      <c r="D9" s="44">
        <v>2002</v>
      </c>
      <c r="E9" s="44">
        <v>2003</v>
      </c>
      <c r="F9" s="44">
        <v>2004</v>
      </c>
      <c r="G9" s="44">
        <v>2005</v>
      </c>
      <c r="H9" s="44">
        <v>2006</v>
      </c>
      <c r="I9" s="44">
        <v>2007</v>
      </c>
      <c r="J9" s="44">
        <v>2008</v>
      </c>
      <c r="K9" s="44">
        <v>2009</v>
      </c>
      <c r="L9" s="44">
        <v>2010</v>
      </c>
      <c r="M9" s="44">
        <v>2011</v>
      </c>
      <c r="N9" s="44">
        <v>2012</v>
      </c>
      <c r="O9" s="44">
        <v>2013</v>
      </c>
      <c r="P9" s="44">
        <v>2014</v>
      </c>
      <c r="Q9" s="87">
        <v>2015</v>
      </c>
      <c r="R9" s="87">
        <v>2016</v>
      </c>
      <c r="S9" s="112">
        <v>2017</v>
      </c>
      <c r="T9" s="112">
        <v>2018</v>
      </c>
      <c r="U9" s="112">
        <v>2019</v>
      </c>
      <c r="V9" s="112">
        <v>2020</v>
      </c>
      <c r="W9" s="141">
        <v>2021</v>
      </c>
      <c r="Y9" s="36" t="s">
        <v>24</v>
      </c>
      <c r="Z9" s="61" t="s">
        <v>39</v>
      </c>
      <c r="AA9" s="61" t="s">
        <v>43</v>
      </c>
      <c r="AB9" s="61" t="s">
        <v>54</v>
      </c>
      <c r="AC9" s="61" t="s">
        <v>56</v>
      </c>
      <c r="AD9" s="61" t="s">
        <v>59</v>
      </c>
      <c r="AE9" s="121" t="s">
        <v>62</v>
      </c>
      <c r="AF9" s="121" t="s">
        <v>64</v>
      </c>
      <c r="AG9" s="121" t="s">
        <v>66</v>
      </c>
      <c r="AH9" s="121" t="s">
        <v>71</v>
      </c>
      <c r="AI9" s="79" t="s">
        <v>73</v>
      </c>
      <c r="AJ9" s="79" t="s">
        <v>83</v>
      </c>
      <c r="AK9" s="79" t="s">
        <v>85</v>
      </c>
      <c r="AL9" s="79" t="s">
        <v>94</v>
      </c>
      <c r="AM9" s="79" t="s">
        <v>96</v>
      </c>
      <c r="AN9" s="79" t="s">
        <v>102</v>
      </c>
      <c r="AO9" s="142" t="s">
        <v>106</v>
      </c>
      <c r="AP9" s="120" t="s">
        <v>104</v>
      </c>
    </row>
    <row r="10" spans="1:48" ht="15" customHeight="1" x14ac:dyDescent="0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87"/>
      <c r="R10" s="87"/>
      <c r="S10" s="87"/>
      <c r="T10" s="87"/>
      <c r="U10" s="87"/>
      <c r="V10" s="87"/>
      <c r="W10" s="137"/>
      <c r="Y10" s="38"/>
      <c r="Z10" s="62"/>
      <c r="AA10" s="62"/>
      <c r="AB10" s="62"/>
      <c r="AC10" s="62"/>
      <c r="AD10" s="62"/>
      <c r="AE10" s="122"/>
      <c r="AF10" s="122"/>
      <c r="AG10" s="122"/>
      <c r="AH10" s="122"/>
      <c r="AI10" s="80"/>
      <c r="AJ10" s="80"/>
      <c r="AK10" s="80"/>
      <c r="AL10" s="80"/>
      <c r="AM10" s="80"/>
      <c r="AN10" s="80"/>
      <c r="AO10" s="143"/>
      <c r="AP10" s="62" t="s">
        <v>3</v>
      </c>
    </row>
    <row r="11" spans="1:48" ht="15" customHeight="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87"/>
      <c r="R11" s="87"/>
      <c r="S11" s="87"/>
      <c r="T11" s="87"/>
      <c r="U11" s="87"/>
      <c r="V11" s="87"/>
      <c r="W11" s="137"/>
      <c r="Y11" s="38"/>
      <c r="Z11" s="62"/>
      <c r="AA11" s="62"/>
      <c r="AB11" s="62"/>
      <c r="AC11" s="62"/>
      <c r="AD11" s="62"/>
      <c r="AE11" s="122"/>
      <c r="AF11" s="122"/>
      <c r="AG11" s="122"/>
      <c r="AH11" s="122"/>
      <c r="AI11" s="80"/>
      <c r="AJ11" s="80"/>
      <c r="AK11" s="80"/>
      <c r="AL11" s="80"/>
      <c r="AM11" s="80"/>
      <c r="AN11" s="80"/>
      <c r="AO11" s="143"/>
      <c r="AP11" s="62" t="s">
        <v>41</v>
      </c>
    </row>
    <row r="12" spans="1:48" ht="9" customHeight="1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87"/>
      <c r="R12" s="87"/>
      <c r="S12" s="87"/>
      <c r="T12" s="87"/>
      <c r="U12" s="87"/>
      <c r="V12" s="87"/>
      <c r="W12" s="137"/>
      <c r="Y12" s="38"/>
      <c r="Z12" s="62"/>
      <c r="AA12" s="62"/>
      <c r="AB12" s="62"/>
      <c r="AC12" s="62"/>
      <c r="AD12" s="62"/>
      <c r="AE12" s="122"/>
      <c r="AF12" s="122"/>
      <c r="AG12" s="122"/>
      <c r="AH12" s="122"/>
      <c r="AI12" s="80"/>
      <c r="AJ12" s="80"/>
      <c r="AK12" s="80"/>
      <c r="AL12" s="80"/>
      <c r="AM12" s="80"/>
      <c r="AN12" s="80"/>
      <c r="AO12" s="143"/>
      <c r="AP12" s="62"/>
    </row>
    <row r="13" spans="1:48" ht="15" customHeight="1" x14ac:dyDescent="0.25">
      <c r="A13" s="46" t="s">
        <v>1</v>
      </c>
      <c r="B13" s="47">
        <v>687.94765318976806</v>
      </c>
      <c r="C13" s="47">
        <v>830.18499999999995</v>
      </c>
      <c r="D13" s="47">
        <f>836.504+86.552</f>
        <v>923.05600000000004</v>
      </c>
      <c r="E13" s="47">
        <f>954.884+96.104</f>
        <v>1050.9880000000001</v>
      </c>
      <c r="F13" s="47">
        <f>1069.558+109.484</f>
        <v>1179.0419999999999</v>
      </c>
      <c r="G13" s="47">
        <f>1190.329+144.791</f>
        <v>1335.12</v>
      </c>
      <c r="H13" s="47">
        <f>1350.701+159.437</f>
        <v>1510.1379999999999</v>
      </c>
      <c r="I13" s="47">
        <f>1465.462+173.519</f>
        <v>1638.981</v>
      </c>
      <c r="J13" s="47">
        <f>1676.338+221.397</f>
        <v>1897.7349999999999</v>
      </c>
      <c r="K13" s="47">
        <f>1830.154+232.341</f>
        <v>2062.4949999999999</v>
      </c>
      <c r="L13" s="47">
        <f>1944.182+347.608</f>
        <v>2291.79</v>
      </c>
      <c r="M13" s="47">
        <v>2477.09</v>
      </c>
      <c r="N13" s="47">
        <v>2579.5320000000002</v>
      </c>
      <c r="O13" s="47">
        <f>2401.088+365.727</f>
        <v>2766.8150000000001</v>
      </c>
      <c r="P13" s="47">
        <v>2815.9569999999999</v>
      </c>
      <c r="Q13" s="88">
        <v>3022.5540000000001</v>
      </c>
      <c r="R13" s="88">
        <v>3234.6280000000002</v>
      </c>
      <c r="S13" s="88">
        <v>3394.1629999999991</v>
      </c>
      <c r="T13" s="88">
        <v>3531.1559999999999</v>
      </c>
      <c r="U13" s="88">
        <f>aspalvelut!U20</f>
        <v>3675</v>
      </c>
      <c r="V13" s="88">
        <f>aspalvelut!V20</f>
        <v>3818</v>
      </c>
      <c r="W13" s="140">
        <f>W16+W26</f>
        <v>4760.0488199900083</v>
      </c>
      <c r="X13" s="18"/>
      <c r="Y13" s="39" t="e">
        <f>100*(#REF!-#REF!)/#REF!</f>
        <v>#REF!</v>
      </c>
      <c r="Z13" s="64">
        <f t="shared" ref="Z13:AJ13" si="0">100*(H13-G13)/G13</f>
        <v>13.108784229132965</v>
      </c>
      <c r="AA13" s="64">
        <f t="shared" si="0"/>
        <v>8.5318692728744043</v>
      </c>
      <c r="AB13" s="64">
        <f t="shared" si="0"/>
        <v>15.787492350429925</v>
      </c>
      <c r="AC13" s="64">
        <f t="shared" si="0"/>
        <v>8.6819287202902409</v>
      </c>
      <c r="AD13" s="64">
        <f t="shared" si="0"/>
        <v>11.117360284509784</v>
      </c>
      <c r="AE13" s="123">
        <f t="shared" si="0"/>
        <v>8.0853830412036096</v>
      </c>
      <c r="AF13" s="123">
        <f t="shared" si="0"/>
        <v>4.1355784408317824</v>
      </c>
      <c r="AG13" s="123">
        <f t="shared" si="0"/>
        <v>7.2603480011102741</v>
      </c>
      <c r="AH13" s="123">
        <f t="shared" si="0"/>
        <v>1.7761216416710126</v>
      </c>
      <c r="AI13" s="82">
        <f t="shared" si="0"/>
        <v>7.3366532230428305</v>
      </c>
      <c r="AJ13" s="82">
        <f t="shared" si="0"/>
        <v>7.0163841572392114</v>
      </c>
      <c r="AK13" s="82">
        <f t="shared" ref="AK13" si="1">100*(S13-R13)/R13</f>
        <v>4.9320972921769961</v>
      </c>
      <c r="AL13" s="82">
        <f t="shared" ref="AL13" si="2">100*(T13-S13)/S13</f>
        <v>4.0361349764286771</v>
      </c>
      <c r="AM13" s="82">
        <f>100*(U13-T13)/T13</f>
        <v>4.0735668432660592</v>
      </c>
      <c r="AN13" s="82">
        <f>100*(V13-U13)/U13</f>
        <v>3.8911564625850339</v>
      </c>
      <c r="AO13" s="144"/>
      <c r="AP13" s="65">
        <f>100*(EXP(LN(V13/L13)/10)-1)</f>
        <v>5.2364308653441105</v>
      </c>
      <c r="AQ13" s="19"/>
      <c r="AR13" s="19"/>
      <c r="AS13" s="19"/>
      <c r="AT13" s="19"/>
      <c r="AU13" s="19"/>
      <c r="AV13" s="19"/>
    </row>
    <row r="14" spans="1:48" ht="7.5" customHeight="1" x14ac:dyDescent="0.2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87"/>
      <c r="R14" s="87"/>
      <c r="S14" s="87"/>
      <c r="T14" s="87"/>
      <c r="U14" s="87"/>
      <c r="V14" s="87"/>
      <c r="W14" s="137"/>
      <c r="Y14" s="40"/>
      <c r="Z14" s="63"/>
      <c r="AA14" s="63"/>
      <c r="AB14" s="63"/>
      <c r="AC14" s="63"/>
      <c r="AD14" s="63"/>
      <c r="AE14" s="100"/>
      <c r="AF14" s="100"/>
      <c r="AG14" s="100"/>
      <c r="AH14" s="100"/>
      <c r="AI14" s="81"/>
      <c r="AJ14" s="81"/>
      <c r="AK14" s="81"/>
      <c r="AL14" s="81"/>
      <c r="AM14" s="81"/>
      <c r="AN14" s="81"/>
      <c r="AO14" s="145"/>
      <c r="AP14" s="65"/>
    </row>
    <row r="15" spans="1:48" ht="17.25" customHeight="1" x14ac:dyDescent="0.25">
      <c r="A15" s="44" t="s">
        <v>2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89"/>
      <c r="R15" s="89"/>
      <c r="S15" s="89"/>
      <c r="T15" s="89"/>
      <c r="U15" s="89"/>
      <c r="V15" s="89"/>
      <c r="W15" s="138"/>
      <c r="Y15" s="40"/>
      <c r="Z15" s="63"/>
      <c r="AA15" s="63"/>
      <c r="AB15" s="63"/>
      <c r="AC15" s="63"/>
      <c r="AD15" s="63"/>
      <c r="AE15" s="100"/>
      <c r="AF15" s="100"/>
      <c r="AG15" s="100"/>
      <c r="AH15" s="100"/>
      <c r="AI15" s="81"/>
      <c r="AJ15" s="81"/>
      <c r="AK15" s="81"/>
      <c r="AL15" s="81"/>
      <c r="AM15" s="81"/>
      <c r="AN15" s="81"/>
      <c r="AP15" s="65"/>
    </row>
    <row r="16" spans="1:48" ht="15.75" customHeight="1" x14ac:dyDescent="0.25">
      <c r="A16" s="46" t="s">
        <v>36</v>
      </c>
      <c r="B16" s="47">
        <v>580.46514052942189</v>
      </c>
      <c r="C16" s="47">
        <v>719.65499999999997</v>
      </c>
      <c r="D16" s="47">
        <v>814.74399999999991</v>
      </c>
      <c r="E16" s="47">
        <v>941.63199999999995</v>
      </c>
      <c r="F16" s="47">
        <v>1070.508</v>
      </c>
      <c r="G16" s="47">
        <v>1223.4340000000002</v>
      </c>
      <c r="H16" s="47">
        <v>1397.404</v>
      </c>
      <c r="I16" s="47">
        <v>1521.7869999999998</v>
      </c>
      <c r="J16" s="47">
        <v>1772.239</v>
      </c>
      <c r="K16" s="47">
        <v>1936.89</v>
      </c>
      <c r="L16" s="47">
        <v>2076.9319999999998</v>
      </c>
      <c r="M16" s="47">
        <v>2248.634</v>
      </c>
      <c r="N16" s="47">
        <v>2346.8230000000003</v>
      </c>
      <c r="O16" s="47">
        <v>2538.92</v>
      </c>
      <c r="P16" s="47">
        <v>2592.48</v>
      </c>
      <c r="Q16" s="88">
        <v>2801.681</v>
      </c>
      <c r="R16" s="88">
        <v>3013.4279999999999</v>
      </c>
      <c r="S16" s="88">
        <v>3183.0130000000008</v>
      </c>
      <c r="T16" s="88">
        <v>3319.7820000000002</v>
      </c>
      <c r="U16" s="88">
        <f>SUM(U18:U24)</f>
        <v>3435.3009999999999</v>
      </c>
      <c r="V16" s="88">
        <f>SUM(V18:V24)</f>
        <v>3580.8880000000004</v>
      </c>
      <c r="W16" s="140">
        <v>4280.8453710900058</v>
      </c>
      <c r="X16" s="18"/>
      <c r="Y16" s="39" t="e">
        <f>100*(#REF!-#REF!)/#REF!</f>
        <v>#REF!</v>
      </c>
      <c r="Z16" s="64">
        <f t="shared" ref="Z16:AJ16" si="3">100*(H16-G16)/G16</f>
        <v>14.219810794861003</v>
      </c>
      <c r="AA16" s="64">
        <f t="shared" si="3"/>
        <v>8.901005006426189</v>
      </c>
      <c r="AB16" s="64">
        <f t="shared" si="3"/>
        <v>16.457756571714718</v>
      </c>
      <c r="AC16" s="64">
        <f t="shared" si="3"/>
        <v>9.2905640830610352</v>
      </c>
      <c r="AD16" s="64">
        <f t="shared" si="3"/>
        <v>7.2302505563041617</v>
      </c>
      <c r="AE16" s="123">
        <f t="shared" si="3"/>
        <v>8.2670978154316188</v>
      </c>
      <c r="AF16" s="123">
        <f t="shared" si="3"/>
        <v>4.3666065709226274</v>
      </c>
      <c r="AG16" s="123">
        <f t="shared" si="3"/>
        <v>8.1854063983521428</v>
      </c>
      <c r="AH16" s="123">
        <f t="shared" si="3"/>
        <v>2.1095583949080687</v>
      </c>
      <c r="AI16" s="82">
        <f t="shared" si="3"/>
        <v>8.0695318768129365</v>
      </c>
      <c r="AJ16" s="82">
        <f t="shared" si="3"/>
        <v>7.5578554446419783</v>
      </c>
      <c r="AK16" s="82">
        <f t="shared" ref="AK16" si="4">100*(S16-R16)/R16</f>
        <v>5.6276439987947597</v>
      </c>
      <c r="AL16" s="82">
        <f t="shared" ref="AL16:AN16" si="5">100*(T16-S16)/S16</f>
        <v>4.2968407606252095</v>
      </c>
      <c r="AM16" s="82">
        <f t="shared" si="5"/>
        <v>3.4797164392119657</v>
      </c>
      <c r="AN16" s="82">
        <f t="shared" si="5"/>
        <v>4.2379692492739487</v>
      </c>
      <c r="AO16" s="144"/>
      <c r="AP16" s="65">
        <f>100*(EXP(LN(V16/L16)/10)-1)</f>
        <v>5.5982803885083143</v>
      </c>
      <c r="AQ16" s="19"/>
      <c r="AR16" s="19"/>
      <c r="AS16" s="19"/>
      <c r="AT16" s="19"/>
      <c r="AU16" s="19"/>
    </row>
    <row r="17" spans="1:47" ht="17.25" customHeight="1" x14ac:dyDescent="0.25">
      <c r="A17" s="44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89"/>
      <c r="R17" s="89"/>
      <c r="S17" s="89"/>
      <c r="T17" s="89"/>
      <c r="U17" s="89"/>
      <c r="V17" s="89"/>
      <c r="W17" s="138"/>
      <c r="X17" s="20"/>
      <c r="Y17" s="41"/>
      <c r="Z17" s="67"/>
      <c r="AA17" s="67"/>
      <c r="AB17" s="67"/>
      <c r="AC17" s="67"/>
      <c r="AD17" s="67"/>
      <c r="AE17" s="124"/>
      <c r="AF17" s="124"/>
      <c r="AG17" s="124"/>
      <c r="AH17" s="124"/>
      <c r="AI17" s="83"/>
      <c r="AJ17" s="83"/>
      <c r="AK17" s="83"/>
      <c r="AL17" s="83"/>
      <c r="AM17" s="83"/>
      <c r="AN17" s="83"/>
      <c r="AO17" s="146"/>
      <c r="AP17" s="65"/>
      <c r="AQ17" s="19"/>
      <c r="AR17" s="19"/>
      <c r="AS17" s="19"/>
      <c r="AT17" s="19"/>
      <c r="AU17" s="19"/>
    </row>
    <row r="18" spans="1:47" ht="17.25" customHeight="1" x14ac:dyDescent="0.25">
      <c r="A18" s="119" t="s">
        <v>99</v>
      </c>
      <c r="B18" s="48">
        <f>(447.124+0.007+271.244)/5.94573</f>
        <v>120.82200167178799</v>
      </c>
      <c r="C18" s="48">
        <f>102.689+0.013+47.916</f>
        <v>150.61799999999999</v>
      </c>
      <c r="D18" s="48">
        <f>122.821+0.024+49.471</f>
        <v>172.316</v>
      </c>
      <c r="E18" s="48">
        <f>146.407+0.053+54.773</f>
        <v>201.233</v>
      </c>
      <c r="F18" s="48">
        <f>177.907+0.038+54.849</f>
        <v>232.79400000000001</v>
      </c>
      <c r="G18" s="48">
        <f>209.304+2.636+58.322+1.048</f>
        <v>271.31</v>
      </c>
      <c r="H18" s="48">
        <f>268.692+4.133+33.615+0.424</f>
        <v>306.86399999999998</v>
      </c>
      <c r="I18" s="48">
        <f>296.916+32.764+9.211+1.127</f>
        <v>340.01800000000003</v>
      </c>
      <c r="J18" s="48">
        <f>335.646+37.956+13.48+1.058</f>
        <v>388.14000000000004</v>
      </c>
      <c r="K18" s="48">
        <f>366.362+45.542</f>
        <v>411.904</v>
      </c>
      <c r="L18" s="48">
        <f>338.35+50.09+31.417+4.277</f>
        <v>424.13400000000007</v>
      </c>
      <c r="M18" s="48">
        <f>400.842+57.264</f>
        <v>458.10599999999999</v>
      </c>
      <c r="N18" s="48">
        <v>488.22800000000001</v>
      </c>
      <c r="O18" s="48">
        <f>401.192+67.084+30.235+6.47</f>
        <v>504.98100000000005</v>
      </c>
      <c r="P18" s="48">
        <f>431.64+75.319</f>
        <v>506.959</v>
      </c>
      <c r="Q18" s="89">
        <v>526.95799999999997</v>
      </c>
      <c r="R18" s="89">
        <v>542.721</v>
      </c>
      <c r="S18" s="89">
        <v>585.25799999999981</v>
      </c>
      <c r="T18" s="89">
        <v>649</v>
      </c>
      <c r="U18" s="89">
        <v>717.64800000000002</v>
      </c>
      <c r="V18" s="89">
        <v>768.06299999999999</v>
      </c>
      <c r="W18" s="138">
        <v>822.72131388000162</v>
      </c>
      <c r="X18" s="20"/>
      <c r="Y18" s="41" t="e">
        <f>100*(#REF!-#REF!)/#REF!</f>
        <v>#REF!</v>
      </c>
      <c r="Z18" s="67">
        <f t="shared" ref="Z18:AJ24" si="6">100*(H18-G18)/G18</f>
        <v>13.104566731782821</v>
      </c>
      <c r="AA18" s="67">
        <f t="shared" si="6"/>
        <v>10.804134730695049</v>
      </c>
      <c r="AB18" s="67">
        <f t="shared" si="6"/>
        <v>14.1527801469334</v>
      </c>
      <c r="AC18" s="67">
        <f t="shared" si="6"/>
        <v>6.1225331066110034</v>
      </c>
      <c r="AD18" s="67">
        <f t="shared" si="6"/>
        <v>2.9691384400248784</v>
      </c>
      <c r="AE18" s="124">
        <f t="shared" si="6"/>
        <v>8.0097327731330008</v>
      </c>
      <c r="AF18" s="124">
        <f t="shared" si="6"/>
        <v>6.5753340929828505</v>
      </c>
      <c r="AG18" s="124">
        <f t="shared" si="6"/>
        <v>3.4313886135166443</v>
      </c>
      <c r="AH18" s="124">
        <f t="shared" si="6"/>
        <v>0.39169790546574063</v>
      </c>
      <c r="AI18" s="83">
        <f t="shared" si="6"/>
        <v>3.9448949520572603</v>
      </c>
      <c r="AJ18" s="83">
        <f t="shared" si="6"/>
        <v>2.9913199913465656</v>
      </c>
      <c r="AK18" s="83">
        <f t="shared" ref="AK18:AK24" si="7">100*(S18-R18)/R18</f>
        <v>7.8377287777697582</v>
      </c>
      <c r="AL18" s="83">
        <f t="shared" ref="AL18:AN24" si="8">100*(T18-S18)/S18</f>
        <v>10.891265048918632</v>
      </c>
      <c r="AM18" s="83">
        <f t="shared" si="8"/>
        <v>10.577503852080127</v>
      </c>
      <c r="AN18" s="83">
        <f t="shared" si="8"/>
        <v>7.0250317704501315</v>
      </c>
      <c r="AO18" s="146"/>
      <c r="AP18" s="65">
        <f>100*(EXP(LN(V18/L18)/10)-1)</f>
        <v>6.118078026939533</v>
      </c>
      <c r="AQ18" s="19"/>
      <c r="AR18" s="19"/>
      <c r="AS18" s="19"/>
      <c r="AT18" s="19"/>
      <c r="AU18" s="19"/>
    </row>
    <row r="19" spans="1:47" ht="17.25" customHeight="1" x14ac:dyDescent="0.25">
      <c r="A19" s="119" t="s">
        <v>97</v>
      </c>
      <c r="B19" s="48"/>
      <c r="C19" s="48"/>
      <c r="D19" s="48"/>
      <c r="E19" s="48">
        <v>425.59199999999998</v>
      </c>
      <c r="F19" s="48">
        <v>481.72800000000001</v>
      </c>
      <c r="G19" s="48">
        <v>525.53499999999997</v>
      </c>
      <c r="H19" s="48">
        <v>117.34</v>
      </c>
      <c r="I19" s="48">
        <v>120.645</v>
      </c>
      <c r="J19" s="48">
        <v>131.08699999999999</v>
      </c>
      <c r="K19" s="48">
        <v>130.50800000000001</v>
      </c>
      <c r="L19" s="48">
        <v>131.38900000000001</v>
      </c>
      <c r="M19" s="48">
        <v>120.03100000000001</v>
      </c>
      <c r="N19" s="48">
        <v>117.788</v>
      </c>
      <c r="O19" s="48">
        <v>107.184</v>
      </c>
      <c r="P19" s="48">
        <v>103.584</v>
      </c>
      <c r="Q19" s="89">
        <v>848.97</v>
      </c>
      <c r="R19" s="89">
        <v>919.55600000000004</v>
      </c>
      <c r="S19" s="89">
        <v>925.76400000000001</v>
      </c>
      <c r="T19" s="89">
        <v>956.76700000000005</v>
      </c>
      <c r="U19" s="89">
        <v>965.29100000000005</v>
      </c>
      <c r="V19" s="89">
        <v>991.37200000000007</v>
      </c>
      <c r="W19" s="138">
        <v>1178.5966982699999</v>
      </c>
      <c r="X19" s="20"/>
      <c r="Y19" s="41" t="e">
        <f>100*(#REF!-#REF!)/#REF!</f>
        <v>#REF!</v>
      </c>
      <c r="Z19" s="67">
        <f t="shared" si="6"/>
        <v>-77.672276822666419</v>
      </c>
      <c r="AA19" s="67">
        <f t="shared" si="6"/>
        <v>2.8166013294699099</v>
      </c>
      <c r="AB19" s="67">
        <f t="shared" si="6"/>
        <v>8.6551452608893804</v>
      </c>
      <c r="AC19" s="67">
        <f t="shared" si="6"/>
        <v>-0.4416913957905661</v>
      </c>
      <c r="AD19" s="67">
        <f t="shared" si="6"/>
        <v>0.6750544027952311</v>
      </c>
      <c r="AE19" s="124">
        <f t="shared" si="6"/>
        <v>-8.6445592857849611</v>
      </c>
      <c r="AF19" s="124">
        <f t="shared" si="6"/>
        <v>-1.8686839233198167</v>
      </c>
      <c r="AG19" s="124">
        <f t="shared" si="6"/>
        <v>-9.0026148673888677</v>
      </c>
      <c r="AH19" s="124">
        <f t="shared" si="6"/>
        <v>-3.3587102552619741</v>
      </c>
      <c r="AI19" s="83">
        <f t="shared" si="6"/>
        <v>719.59569045412411</v>
      </c>
      <c r="AJ19" s="83">
        <f t="shared" si="6"/>
        <v>8.3143102818709735</v>
      </c>
      <c r="AK19" s="83">
        <f t="shared" si="7"/>
        <v>0.67510842189056131</v>
      </c>
      <c r="AL19" s="83">
        <f t="shared" si="8"/>
        <v>3.3489096573208768</v>
      </c>
      <c r="AM19" s="83">
        <f t="shared" si="8"/>
        <v>0.89091701532348011</v>
      </c>
      <c r="AN19" s="83">
        <f t="shared" si="8"/>
        <v>2.7018795368443316</v>
      </c>
      <c r="AO19" s="146"/>
      <c r="AP19" s="65">
        <f t="shared" ref="AP19:AP24" si="9">100*(EXP(LN(V19/L19)/10)-1)</f>
        <v>22.39615195996123</v>
      </c>
      <c r="AQ19" s="19"/>
      <c r="AR19" s="19"/>
      <c r="AS19" s="19"/>
      <c r="AT19" s="19"/>
      <c r="AU19" s="19"/>
    </row>
    <row r="20" spans="1:47" ht="17.25" customHeight="1" x14ac:dyDescent="0.25">
      <c r="A20" s="119" t="s">
        <v>98</v>
      </c>
      <c r="B20" s="48"/>
      <c r="C20" s="48"/>
      <c r="D20" s="48"/>
      <c r="E20" s="48"/>
      <c r="F20" s="48"/>
      <c r="G20" s="48"/>
      <c r="H20" s="48">
        <v>527.20100000000002</v>
      </c>
      <c r="I20" s="48">
        <v>580.15499999999997</v>
      </c>
      <c r="J20" s="48">
        <v>666.71199999999999</v>
      </c>
      <c r="K20" s="48">
        <v>792.24800000000005</v>
      </c>
      <c r="L20" s="48">
        <v>848.54700000000003</v>
      </c>
      <c r="M20" s="48">
        <v>943.41800000000001</v>
      </c>
      <c r="N20" s="48">
        <v>1015.427</v>
      </c>
      <c r="O20" s="48">
        <v>1117.2819999999999</v>
      </c>
      <c r="P20" s="48">
        <v>1185.52</v>
      </c>
      <c r="Q20" s="89">
        <v>558.41800000000001</v>
      </c>
      <c r="R20" s="89">
        <v>593.29399999999998</v>
      </c>
      <c r="S20" s="89">
        <v>628.01300000000003</v>
      </c>
      <c r="T20" s="89">
        <v>660.43899999999996</v>
      </c>
      <c r="U20" s="89">
        <v>695.21799999999996</v>
      </c>
      <c r="V20" s="89">
        <v>705.98300000000006</v>
      </c>
      <c r="W20" s="138">
        <v>883.16327299999875</v>
      </c>
      <c r="X20" s="20"/>
      <c r="Y20" s="41" t="e">
        <f>100*(#REF!-#REF!)/#REF!</f>
        <v>#REF!</v>
      </c>
      <c r="Z20" s="67" t="e">
        <f>100*(H20-G20)/G20</f>
        <v>#DIV/0!</v>
      </c>
      <c r="AA20" s="67">
        <f t="shared" si="6"/>
        <v>10.044366380185156</v>
      </c>
      <c r="AB20" s="67">
        <f t="shared" si="6"/>
        <v>14.91963354620748</v>
      </c>
      <c r="AC20" s="67">
        <f t="shared" si="6"/>
        <v>18.829119619865857</v>
      </c>
      <c r="AD20" s="67">
        <f t="shared" si="6"/>
        <v>7.1062344114469171</v>
      </c>
      <c r="AE20" s="124">
        <f t="shared" si="6"/>
        <v>11.180406035257915</v>
      </c>
      <c r="AF20" s="124">
        <f t="shared" si="6"/>
        <v>7.6327778354875582</v>
      </c>
      <c r="AG20" s="124">
        <f t="shared" si="6"/>
        <v>10.030755534371245</v>
      </c>
      <c r="AH20" s="124">
        <f t="shared" si="6"/>
        <v>6.1075001655804053</v>
      </c>
      <c r="AI20" s="83">
        <f t="shared" si="6"/>
        <v>-52.896787907416154</v>
      </c>
      <c r="AJ20" s="83">
        <f t="shared" si="6"/>
        <v>6.2455006822845922</v>
      </c>
      <c r="AK20" s="83">
        <f t="shared" si="7"/>
        <v>5.8519047891938989</v>
      </c>
      <c r="AL20" s="83">
        <f t="shared" si="8"/>
        <v>5.1632689132231224</v>
      </c>
      <c r="AM20" s="83">
        <f t="shared" si="8"/>
        <v>5.2660427382392614</v>
      </c>
      <c r="AN20" s="83">
        <f t="shared" si="8"/>
        <v>1.54843516709868</v>
      </c>
      <c r="AO20" s="146"/>
      <c r="AP20" s="65">
        <f t="shared" si="9"/>
        <v>-1.8225304934955333</v>
      </c>
      <c r="AQ20" s="19"/>
      <c r="AR20" s="19"/>
      <c r="AS20" s="19"/>
      <c r="AT20" s="19"/>
      <c r="AU20" s="19"/>
    </row>
    <row r="21" spans="1:47" ht="17.25" customHeight="1" x14ac:dyDescent="0.25">
      <c r="A21" s="44" t="s">
        <v>119</v>
      </c>
      <c r="B21" s="48">
        <f>(188.694+0.293)/5.94573</f>
        <v>31.785331658181583</v>
      </c>
      <c r="C21" s="48">
        <f>0.038+38.068</f>
        <v>38.105999999999995</v>
      </c>
      <c r="D21" s="48">
        <f>44.645+0.124</f>
        <v>44.769000000000005</v>
      </c>
      <c r="E21" s="48">
        <f>49.957+0.039</f>
        <v>49.996000000000002</v>
      </c>
      <c r="F21" s="48">
        <f>55.582+0.015</f>
        <v>55.597000000000001</v>
      </c>
      <c r="G21" s="48">
        <f>0.382+56.134</f>
        <v>56.515999999999998</v>
      </c>
      <c r="H21" s="48">
        <f>63.749+0.412</f>
        <v>64.161000000000001</v>
      </c>
      <c r="I21" s="48">
        <f>68.162+0.88</f>
        <v>69.042000000000002</v>
      </c>
      <c r="J21" s="48">
        <f>75.143+1.451</f>
        <v>76.593999999999994</v>
      </c>
      <c r="K21" s="48">
        <v>75.183000000000007</v>
      </c>
      <c r="L21" s="48">
        <f>66.872+4.646</f>
        <v>71.518000000000001</v>
      </c>
      <c r="M21" s="48">
        <v>73.498999999999995</v>
      </c>
      <c r="N21" s="48">
        <v>78.424999999999997</v>
      </c>
      <c r="O21" s="48">
        <f>78.957+4.01</f>
        <v>82.966999999999999</v>
      </c>
      <c r="P21" s="48">
        <v>87.334000000000003</v>
      </c>
      <c r="Q21" s="89">
        <v>91.097999999999999</v>
      </c>
      <c r="R21" s="89">
        <v>91.453999999999994</v>
      </c>
      <c r="S21" s="89">
        <v>86.94300000000004</v>
      </c>
      <c r="T21" s="89">
        <v>88.028000000000006</v>
      </c>
      <c r="U21" s="89">
        <v>105.09700000000001</v>
      </c>
      <c r="V21" s="89">
        <v>91.716999999999999</v>
      </c>
      <c r="W21" s="138">
        <v>395.65265697000018</v>
      </c>
      <c r="X21" s="20"/>
      <c r="Y21" s="41" t="e">
        <f>100*(#REF!-#REF!)/#REF!</f>
        <v>#REF!</v>
      </c>
      <c r="Z21" s="67">
        <f t="shared" si="6"/>
        <v>13.527142756033696</v>
      </c>
      <c r="AA21" s="67">
        <f t="shared" si="6"/>
        <v>7.6074250713049985</v>
      </c>
      <c r="AB21" s="67">
        <f t="shared" si="6"/>
        <v>10.938269459169769</v>
      </c>
      <c r="AC21" s="67">
        <f t="shared" si="6"/>
        <v>-1.8421808496748926</v>
      </c>
      <c r="AD21" s="67">
        <f t="shared" si="6"/>
        <v>-4.8747722224439114</v>
      </c>
      <c r="AE21" s="124">
        <f t="shared" si="6"/>
        <v>2.7699320450795528</v>
      </c>
      <c r="AF21" s="124">
        <f t="shared" si="6"/>
        <v>6.7021320017959463</v>
      </c>
      <c r="AG21" s="124">
        <f t="shared" si="6"/>
        <v>5.7915205610455871</v>
      </c>
      <c r="AH21" s="124">
        <f t="shared" si="6"/>
        <v>5.2635385153133232</v>
      </c>
      <c r="AI21" s="83">
        <f t="shared" si="6"/>
        <v>4.3098907641926347</v>
      </c>
      <c r="AJ21" s="83">
        <f t="shared" si="6"/>
        <v>0.39078794265515659</v>
      </c>
      <c r="AK21" s="83">
        <f t="shared" si="7"/>
        <v>-4.9325343888730435</v>
      </c>
      <c r="AL21" s="83">
        <f t="shared" si="8"/>
        <v>1.2479440553005587</v>
      </c>
      <c r="AM21" s="83">
        <f t="shared" si="8"/>
        <v>19.390421229608762</v>
      </c>
      <c r="AN21" s="83">
        <f t="shared" si="8"/>
        <v>-12.731096035091399</v>
      </c>
      <c r="AO21" s="146"/>
      <c r="AP21" s="65">
        <f t="shared" si="9"/>
        <v>2.5187844056897779</v>
      </c>
      <c r="AQ21" s="19"/>
      <c r="AR21" s="19"/>
      <c r="AS21" s="19"/>
      <c r="AT21" s="19"/>
      <c r="AU21" s="19"/>
    </row>
    <row r="22" spans="1:47" ht="17.25" customHeight="1" x14ac:dyDescent="0.25">
      <c r="A22" s="44" t="s">
        <v>50</v>
      </c>
      <c r="B22" s="48">
        <v>41.071828017753916</v>
      </c>
      <c r="C22" s="48">
        <v>57.747000000000007</v>
      </c>
      <c r="D22" s="48">
        <v>66.358999999999995</v>
      </c>
      <c r="E22" s="48">
        <f>11.126+0.555+63.43+7.554</f>
        <v>82.665000000000006</v>
      </c>
      <c r="F22" s="48">
        <f>74.036+7.777+13.343+0.82</f>
        <v>95.975999999999999</v>
      </c>
      <c r="G22" s="48">
        <f>87.423+11.937+16.403+1.334</f>
        <v>117.09700000000001</v>
      </c>
      <c r="H22" s="48">
        <f>74.882+14.506+19.227+17.506+1.916+1.176</f>
        <v>129.21299999999999</v>
      </c>
      <c r="I22" s="48">
        <f>84.484+16.45+21.589+17.428+1.779+1.136</f>
        <v>142.86599999999999</v>
      </c>
      <c r="J22" s="48">
        <f>96.081+23.873+29.837+26.007+2.614+1.803</f>
        <v>180.215</v>
      </c>
      <c r="K22" s="48">
        <f>136.223+35.154+36.924</f>
        <v>208.30100000000002</v>
      </c>
      <c r="L22" s="48">
        <f>122.346+30.377+43.31+20.213+3.279+1.451</f>
        <v>220.976</v>
      </c>
      <c r="M22" s="48">
        <f>150.336+35.83+44.03</f>
        <v>230.196</v>
      </c>
      <c r="N22" s="48">
        <v>219.48699999999999</v>
      </c>
      <c r="O22" s="48">
        <f>137.25+16.465+32.681+43.68+3.362+0.713</f>
        <v>234.15100000000001</v>
      </c>
      <c r="P22" s="48">
        <f>150.929+38.275+34.145</f>
        <v>223.34900000000002</v>
      </c>
      <c r="Q22" s="89">
        <v>220.52199999999999</v>
      </c>
      <c r="R22" s="89">
        <v>237.90400000000002</v>
      </c>
      <c r="S22" s="89">
        <v>194.63399999999987</v>
      </c>
      <c r="T22" s="89">
        <v>249</v>
      </c>
      <c r="U22" s="89">
        <v>285.40800000000002</v>
      </c>
      <c r="V22" s="89">
        <v>282.42700000000002</v>
      </c>
      <c r="W22" s="138">
        <v>336.80391876000022</v>
      </c>
      <c r="X22" s="20"/>
      <c r="Y22" s="41" t="e">
        <f>100*(#REF!-#REF!)/#REF!</f>
        <v>#REF!</v>
      </c>
      <c r="Z22" s="67">
        <f t="shared" si="6"/>
        <v>10.346977292330276</v>
      </c>
      <c r="AA22" s="67">
        <f t="shared" si="6"/>
        <v>10.566274291286476</v>
      </c>
      <c r="AB22" s="67">
        <f t="shared" si="6"/>
        <v>26.142679153892473</v>
      </c>
      <c r="AC22" s="67">
        <f t="shared" si="6"/>
        <v>15.584718253197577</v>
      </c>
      <c r="AD22" s="67">
        <f t="shared" si="6"/>
        <v>6.0849443833682892</v>
      </c>
      <c r="AE22" s="124">
        <f t="shared" si="6"/>
        <v>4.1723988125407283</v>
      </c>
      <c r="AF22" s="124">
        <f t="shared" si="6"/>
        <v>-4.6521225390536776</v>
      </c>
      <c r="AG22" s="124">
        <f t="shared" si="6"/>
        <v>6.6810335008451593</v>
      </c>
      <c r="AH22" s="124">
        <f t="shared" si="6"/>
        <v>-4.6132623819671892</v>
      </c>
      <c r="AI22" s="83">
        <f t="shared" si="6"/>
        <v>-1.265732105359785</v>
      </c>
      <c r="AJ22" s="83">
        <f t="shared" si="6"/>
        <v>7.8822067639510047</v>
      </c>
      <c r="AK22" s="83">
        <f t="shared" si="7"/>
        <v>-18.188008608514423</v>
      </c>
      <c r="AL22" s="83">
        <f t="shared" si="8"/>
        <v>27.932427016862505</v>
      </c>
      <c r="AM22" s="83">
        <f t="shared" si="8"/>
        <v>14.621686746987958</v>
      </c>
      <c r="AN22" s="83">
        <f t="shared" si="8"/>
        <v>-1.044469671487833</v>
      </c>
      <c r="AO22" s="146"/>
      <c r="AP22" s="65">
        <f t="shared" si="9"/>
        <v>2.4840100775533003</v>
      </c>
      <c r="AQ22" s="19"/>
      <c r="AR22" s="19"/>
      <c r="AS22" s="19"/>
      <c r="AT22" s="19"/>
      <c r="AU22" s="19"/>
    </row>
    <row r="23" spans="1:47" ht="17.25" customHeight="1" x14ac:dyDescent="0.25">
      <c r="A23" s="44" t="s">
        <v>51</v>
      </c>
      <c r="B23" s="48">
        <v>59.82276356309486</v>
      </c>
      <c r="C23" s="48">
        <v>83.497</v>
      </c>
      <c r="D23" s="48">
        <v>95.572999999999993</v>
      </c>
      <c r="E23" s="48">
        <f>39.988+65.28</f>
        <v>105.268</v>
      </c>
      <c r="F23" s="48">
        <f>40.05+75.308</f>
        <v>115.358</v>
      </c>
      <c r="G23" s="48">
        <f>38.637+94.702</f>
        <v>133.339</v>
      </c>
      <c r="H23" s="48">
        <f>47.008+103.986</f>
        <v>150.994</v>
      </c>
      <c r="I23" s="48">
        <f>98.498+38.509</f>
        <v>137.00700000000001</v>
      </c>
      <c r="J23" s="48">
        <f>48.343+114.672</f>
        <v>163.01499999999999</v>
      </c>
      <c r="K23" s="48">
        <v>162.655</v>
      </c>
      <c r="L23" s="48">
        <f>53.174+167.085</f>
        <v>220.25900000000001</v>
      </c>
      <c r="M23" s="48">
        <v>244.059</v>
      </c>
      <c r="N23" s="48">
        <v>234.21199999999999</v>
      </c>
      <c r="O23" s="48">
        <f>108.844+175.654</f>
        <v>284.49799999999999</v>
      </c>
      <c r="P23" s="48">
        <v>260.20699999999999</v>
      </c>
      <c r="Q23" s="89">
        <v>295.86799999999999</v>
      </c>
      <c r="R23" s="89">
        <v>354.25299999999999</v>
      </c>
      <c r="S23" s="89">
        <v>399.79899999999981</v>
      </c>
      <c r="T23" s="89">
        <v>405.50799999999998</v>
      </c>
      <c r="U23" s="89">
        <v>404.43200000000002</v>
      </c>
      <c r="V23" s="89">
        <v>428.25600000000003</v>
      </c>
      <c r="W23" s="138">
        <v>601.58216026000264</v>
      </c>
      <c r="X23" s="20"/>
      <c r="Y23" s="41" t="e">
        <f>100*(#REF!-#REF!)/#REF!</f>
        <v>#REF!</v>
      </c>
      <c r="Z23" s="67">
        <f t="shared" si="6"/>
        <v>13.240687270790991</v>
      </c>
      <c r="AA23" s="67">
        <f t="shared" si="6"/>
        <v>-9.2632819847146202</v>
      </c>
      <c r="AB23" s="67">
        <f t="shared" si="6"/>
        <v>18.982971672980199</v>
      </c>
      <c r="AC23" s="67">
        <f t="shared" si="6"/>
        <v>-0.2208385731374323</v>
      </c>
      <c r="AD23" s="67">
        <f t="shared" si="6"/>
        <v>35.414835080384876</v>
      </c>
      <c r="AE23" s="124">
        <f t="shared" si="6"/>
        <v>10.805460843824761</v>
      </c>
      <c r="AF23" s="124">
        <f t="shared" si="6"/>
        <v>-4.0346801388188958</v>
      </c>
      <c r="AG23" s="124">
        <f t="shared" si="6"/>
        <v>21.470291872320807</v>
      </c>
      <c r="AH23" s="124">
        <f t="shared" si="6"/>
        <v>-8.5381971050763088</v>
      </c>
      <c r="AI23" s="83">
        <f t="shared" si="6"/>
        <v>13.7048580553175</v>
      </c>
      <c r="AJ23" s="83">
        <f t="shared" si="6"/>
        <v>19.733462219638486</v>
      </c>
      <c r="AK23" s="83">
        <f t="shared" si="7"/>
        <v>12.856912997208161</v>
      </c>
      <c r="AL23" s="83">
        <f t="shared" si="8"/>
        <v>1.4279675536957763</v>
      </c>
      <c r="AM23" s="83">
        <f t="shared" si="8"/>
        <v>-0.26534618305926516</v>
      </c>
      <c r="AN23" s="83">
        <f t="shared" si="8"/>
        <v>5.8907307038018786</v>
      </c>
      <c r="AO23" s="146"/>
      <c r="AP23" s="65">
        <f t="shared" si="9"/>
        <v>6.8752095637848454</v>
      </c>
      <c r="AQ23" s="19"/>
      <c r="AR23" s="19"/>
      <c r="AS23" s="19"/>
      <c r="AT23" s="19"/>
      <c r="AU23" s="19"/>
    </row>
    <row r="24" spans="1:47" ht="17.25" customHeight="1" x14ac:dyDescent="0.25">
      <c r="A24" s="44" t="s">
        <v>60</v>
      </c>
      <c r="B24" s="48">
        <v>44.855383611431996</v>
      </c>
      <c r="C24" s="48">
        <v>54.237000000000009</v>
      </c>
      <c r="D24" s="48">
        <v>65.497999999999863</v>
      </c>
      <c r="E24" s="48">
        <v>74.25399999999982</v>
      </c>
      <c r="F24" s="48">
        <v>85.951000000000079</v>
      </c>
      <c r="G24" s="48">
        <v>107.23600000000033</v>
      </c>
      <c r="H24" s="48">
        <v>126.70400000000018</v>
      </c>
      <c r="I24" s="48">
        <v>150.25599999999986</v>
      </c>
      <c r="J24" s="48">
        <v>175.06100000000015</v>
      </c>
      <c r="K24" s="48">
        <v>210.34700000000021</v>
      </c>
      <c r="L24" s="48">
        <v>216.26199999999972</v>
      </c>
      <c r="M24" s="48">
        <v>239.02399999999989</v>
      </c>
      <c r="N24" s="48">
        <v>250.52900000000045</v>
      </c>
      <c r="O24" s="48">
        <v>266.85699999999997</v>
      </c>
      <c r="P24" s="48">
        <v>287.64000000000033</v>
      </c>
      <c r="Q24" s="89">
        <v>284.76300000000037</v>
      </c>
      <c r="R24" s="89">
        <v>296.73399999999947</v>
      </c>
      <c r="S24" s="89">
        <v>294.10599999999994</v>
      </c>
      <c r="T24" s="89">
        <v>282.70499999999998</v>
      </c>
      <c r="U24" s="89">
        <v>262.20699999999999</v>
      </c>
      <c r="V24" s="89">
        <v>313.07</v>
      </c>
      <c r="W24" s="138">
        <v>50.883171399999945</v>
      </c>
      <c r="X24" s="20"/>
      <c r="Y24" s="41" t="e">
        <f>100*(#REF!-#REF!)/#REF!</f>
        <v>#REF!</v>
      </c>
      <c r="Z24" s="67">
        <f t="shared" si="6"/>
        <v>18.154351150732765</v>
      </c>
      <c r="AA24" s="67">
        <f t="shared" si="6"/>
        <v>18.58820558151254</v>
      </c>
      <c r="AB24" s="67">
        <f t="shared" si="6"/>
        <v>16.508492173357681</v>
      </c>
      <c r="AC24" s="67">
        <f t="shared" si="6"/>
        <v>20.1564026253706</v>
      </c>
      <c r="AD24" s="67">
        <f t="shared" si="6"/>
        <v>2.8120201381524352</v>
      </c>
      <c r="AE24" s="124">
        <f t="shared" si="6"/>
        <v>10.525196289685752</v>
      </c>
      <c r="AF24" s="124">
        <f t="shared" si="6"/>
        <v>4.813324185019316</v>
      </c>
      <c r="AG24" s="124">
        <f t="shared" si="6"/>
        <v>6.5174091622125543</v>
      </c>
      <c r="AH24" s="124">
        <f t="shared" si="6"/>
        <v>7.7880662677015629</v>
      </c>
      <c r="AI24" s="83">
        <f t="shared" si="6"/>
        <v>-1.0002085940759107</v>
      </c>
      <c r="AJ24" s="83">
        <f t="shared" si="6"/>
        <v>4.2038467076126738</v>
      </c>
      <c r="AK24" s="83">
        <f t="shared" si="7"/>
        <v>-0.88564168581946656</v>
      </c>
      <c r="AL24" s="83">
        <f t="shared" si="8"/>
        <v>-3.8764935091429473</v>
      </c>
      <c r="AM24" s="83">
        <f t="shared" si="8"/>
        <v>-7.2506676570983863</v>
      </c>
      <c r="AN24" s="83">
        <f t="shared" si="8"/>
        <v>19.398032851907082</v>
      </c>
      <c r="AO24" s="146"/>
      <c r="AP24" s="65">
        <f t="shared" si="9"/>
        <v>3.7686397483344791</v>
      </c>
      <c r="AQ24" s="19"/>
      <c r="AR24" s="19"/>
      <c r="AS24" s="19"/>
      <c r="AT24" s="19"/>
      <c r="AU24" s="19"/>
    </row>
    <row r="25" spans="1:47" ht="13.5" customHeight="1" x14ac:dyDescent="0.35">
      <c r="A25" s="15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89"/>
      <c r="R25" s="89"/>
      <c r="S25" s="89"/>
      <c r="T25" s="89"/>
      <c r="U25" s="89"/>
      <c r="V25" s="89"/>
      <c r="W25" s="138"/>
      <c r="X25" s="21"/>
      <c r="Y25" s="42"/>
      <c r="Z25" s="42"/>
      <c r="AA25" s="42"/>
      <c r="AB25" s="42"/>
      <c r="AC25" s="42"/>
      <c r="AD25" s="42"/>
      <c r="AE25" s="125"/>
      <c r="AF25" s="125"/>
      <c r="AG25" s="125"/>
      <c r="AH25" s="125"/>
      <c r="AI25" s="84"/>
      <c r="AJ25" s="84"/>
      <c r="AK25" s="84"/>
      <c r="AL25" s="84"/>
      <c r="AM25" s="84"/>
      <c r="AN25" s="84"/>
      <c r="AO25" s="147"/>
      <c r="AP25" s="65"/>
    </row>
    <row r="26" spans="1:47" s="57" customFormat="1" ht="15.75" customHeight="1" x14ac:dyDescent="0.4">
      <c r="A26" s="46" t="s">
        <v>67</v>
      </c>
      <c r="B26" s="47"/>
      <c r="C26" s="47"/>
      <c r="D26" s="47"/>
      <c r="E26" s="47"/>
      <c r="F26" s="47">
        <v>103.05500000000001</v>
      </c>
      <c r="G26" s="47">
        <v>105.089</v>
      </c>
      <c r="H26" s="47">
        <v>104.36199999999999</v>
      </c>
      <c r="I26" s="47">
        <v>108.49300000000001</v>
      </c>
      <c r="J26" s="47">
        <v>114.854</v>
      </c>
      <c r="K26" s="47">
        <v>116.53100000000001</v>
      </c>
      <c r="L26" s="47">
        <v>204.50400000000002</v>
      </c>
      <c r="M26" s="47">
        <v>217.45300000000003</v>
      </c>
      <c r="N26" s="47">
        <v>220.78100000000001</v>
      </c>
      <c r="O26" s="47">
        <v>216.45599999999999</v>
      </c>
      <c r="P26" s="47">
        <v>213.49600000000001</v>
      </c>
      <c r="Q26" s="88">
        <v>212.78700000000001</v>
      </c>
      <c r="R26" s="88">
        <v>214.916</v>
      </c>
      <c r="S26" s="88">
        <v>204.87800000000007</v>
      </c>
      <c r="T26" s="88">
        <v>204.97499999999999</v>
      </c>
      <c r="U26" s="88">
        <v>207</v>
      </c>
      <c r="V26" s="88">
        <v>207</v>
      </c>
      <c r="W26" s="140">
        <v>479.20344890000229</v>
      </c>
      <c r="X26" s="73"/>
      <c r="Y26" s="74"/>
      <c r="Z26" s="64">
        <f t="shared" ref="Z26" si="10">100*(H26-G26)/G26</f>
        <v>-0.69179457412289003</v>
      </c>
      <c r="AA26" s="64">
        <f t="shared" ref="AA26" si="11">100*(I26-H26)/H26</f>
        <v>3.9583373258465864</v>
      </c>
      <c r="AB26" s="64">
        <f t="shared" ref="AB26" si="12">100*(J26-I26)/I26</f>
        <v>5.8630510724194087</v>
      </c>
      <c r="AC26" s="64">
        <f t="shared" ref="AC26" si="13">100*(K26-J26)/J26</f>
        <v>1.4601145802497142</v>
      </c>
      <c r="AD26" s="64">
        <f t="shared" ref="AD26" si="14">100*(L26-K26)/K26</f>
        <v>75.493216397353493</v>
      </c>
      <c r="AE26" s="123">
        <f t="shared" ref="AE26" si="15">100*(M26-L26)/L26</f>
        <v>6.33190548840121</v>
      </c>
      <c r="AF26" s="123">
        <f t="shared" ref="AF26" si="16">100*(N26-M26)/M26</f>
        <v>1.5304456595218159</v>
      </c>
      <c r="AG26" s="123">
        <f t="shared" ref="AG26:AJ26" si="17">100*(O26-N26)/N26</f>
        <v>-1.9589548013642555</v>
      </c>
      <c r="AH26" s="123">
        <f t="shared" si="17"/>
        <v>-1.3674834608419169</v>
      </c>
      <c r="AI26" s="82">
        <f t="shared" si="17"/>
        <v>-0.33209053097013674</v>
      </c>
      <c r="AJ26" s="82">
        <f t="shared" si="17"/>
        <v>1.0005310474793998</v>
      </c>
      <c r="AK26" s="82">
        <f t="shared" ref="AK26:AK28" si="18">100*(S26-R26)/R26</f>
        <v>-4.6706620260938809</v>
      </c>
      <c r="AL26" s="82">
        <f t="shared" ref="AL26:AN28" si="19">100*(T26-S26)/S26</f>
        <v>4.734524936787899E-2</v>
      </c>
      <c r="AM26" s="82">
        <f t="shared" si="19"/>
        <v>0.98792535675082604</v>
      </c>
      <c r="AN26" s="82">
        <f t="shared" si="19"/>
        <v>0</v>
      </c>
      <c r="AO26" s="144"/>
      <c r="AP26" s="65">
        <f>100*(EXP(LN(V26/L26)/10)-1)</f>
        <v>0.12138619419170826</v>
      </c>
      <c r="AQ26" s="62"/>
    </row>
    <row r="27" spans="1:47" ht="17.25" customHeight="1" x14ac:dyDescent="0.25">
      <c r="A27" s="44" t="s">
        <v>84</v>
      </c>
      <c r="B27" s="48">
        <v>64.830054509706969</v>
      </c>
      <c r="C27" s="48">
        <v>65.891999999999996</v>
      </c>
      <c r="D27" s="48">
        <v>63.335000000000001</v>
      </c>
      <c r="E27" s="48">
        <f>60.189+5.146</f>
        <v>65.334999999999994</v>
      </c>
      <c r="F27" s="48">
        <f>63.034+5.056</f>
        <v>68.09</v>
      </c>
      <c r="G27" s="48">
        <f>63.807+5.379</f>
        <v>69.186000000000007</v>
      </c>
      <c r="H27" s="48">
        <f>67.103+4.087+1.632</f>
        <v>72.822000000000003</v>
      </c>
      <c r="I27" s="48">
        <f>70.041+4.811+0.884</f>
        <v>75.736000000000004</v>
      </c>
      <c r="J27" s="48">
        <f>73.385+5.061+1.213+0.024+0.06</f>
        <v>79.742999999999995</v>
      </c>
      <c r="K27" s="48">
        <f>77.432+4.924+0.471</f>
        <v>82.827000000000012</v>
      </c>
      <c r="L27" s="48">
        <f>80.177+4.187+1.019+0.321+0.01+0.005</f>
        <v>85.719000000000008</v>
      </c>
      <c r="M27" s="48">
        <f>82.545+4.275+3.522</f>
        <v>90.342000000000013</v>
      </c>
      <c r="N27" s="48">
        <v>81.822999999999993</v>
      </c>
      <c r="O27" s="48">
        <f>67.849+4.198+2.45+0.05</f>
        <v>74.546999999999997</v>
      </c>
      <c r="P27" s="48">
        <f>67.489+3.664+0.45</f>
        <v>71.603000000000009</v>
      </c>
      <c r="Q27" s="89">
        <v>71.626000000000005</v>
      </c>
      <c r="R27" s="89">
        <v>70.111000000000004</v>
      </c>
      <c r="S27" s="89">
        <v>61.50500000000001</v>
      </c>
      <c r="T27" s="89">
        <v>61</v>
      </c>
      <c r="U27" s="89">
        <v>58.622</v>
      </c>
      <c r="V27" s="89">
        <v>58.444000000000003</v>
      </c>
      <c r="W27" s="138">
        <v>319.70890328999991</v>
      </c>
      <c r="X27" s="20"/>
      <c r="Y27" s="41" t="e">
        <f>100*(#REF!-#REF!)/#REF!</f>
        <v>#REF!</v>
      </c>
      <c r="Z27" s="67">
        <f t="shared" ref="Z27" si="20">100*(H27-G27)/G27</f>
        <v>5.2553984910241889</v>
      </c>
      <c r="AA27" s="67">
        <f t="shared" ref="AA27" si="21">100*(I27-H27)/H27</f>
        <v>4.0015379967592226</v>
      </c>
      <c r="AB27" s="67">
        <f t="shared" ref="AB27" si="22">100*(J27-I27)/I27</f>
        <v>5.2907468046899631</v>
      </c>
      <c r="AC27" s="67">
        <f t="shared" ref="AC27" si="23">100*(K27-J27)/J27</f>
        <v>3.8674240999210183</v>
      </c>
      <c r="AD27" s="67">
        <f t="shared" ref="AD27" si="24">100*(L27-K27)/K27</f>
        <v>3.4916150530624019</v>
      </c>
      <c r="AE27" s="124">
        <f t="shared" ref="AE27" si="25">100*(M27-L27)/L27</f>
        <v>5.3932033738144449</v>
      </c>
      <c r="AF27" s="124">
        <f t="shared" ref="AF27:AJ27" si="26">100*(N27-M27)/M27</f>
        <v>-9.4297226096389473</v>
      </c>
      <c r="AG27" s="124">
        <f t="shared" si="26"/>
        <v>-8.8923652273810507</v>
      </c>
      <c r="AH27" s="124">
        <f t="shared" si="26"/>
        <v>-3.9491864193059256</v>
      </c>
      <c r="AI27" s="83">
        <f t="shared" si="26"/>
        <v>3.2121559152544069E-2</v>
      </c>
      <c r="AJ27" s="83">
        <f t="shared" si="26"/>
        <v>-2.1151537151313775</v>
      </c>
      <c r="AK27" s="83">
        <f t="shared" si="18"/>
        <v>-12.274821354708953</v>
      </c>
      <c r="AL27" s="83">
        <f t="shared" si="19"/>
        <v>-0.82107145760508837</v>
      </c>
      <c r="AM27" s="83">
        <f t="shared" si="19"/>
        <v>-3.8983606557377053</v>
      </c>
      <c r="AN27" s="83">
        <f t="shared" si="19"/>
        <v>-0.30364027157039553</v>
      </c>
      <c r="AO27" s="146"/>
      <c r="AP27" s="65">
        <f t="shared" ref="AP27:AP28" si="27">100*(EXP(LN(V27/L27)/10)-1)</f>
        <v>-3.7576356488625784</v>
      </c>
      <c r="AQ27" s="62"/>
    </row>
    <row r="28" spans="1:47" ht="17.25" customHeight="1" x14ac:dyDescent="0.25">
      <c r="A28" s="44" t="s">
        <v>68</v>
      </c>
      <c r="B28" s="48"/>
      <c r="C28" s="48"/>
      <c r="D28" s="48"/>
      <c r="E28" s="48"/>
      <c r="F28" s="48">
        <f t="shared" ref="F28:O28" si="28">F26-F27</f>
        <v>34.965000000000003</v>
      </c>
      <c r="G28" s="48">
        <f t="shared" si="28"/>
        <v>35.902999999999992</v>
      </c>
      <c r="H28" s="48">
        <f t="shared" si="28"/>
        <v>31.539999999999992</v>
      </c>
      <c r="I28" s="48">
        <f t="shared" si="28"/>
        <v>32.757000000000005</v>
      </c>
      <c r="J28" s="48">
        <f t="shared" si="28"/>
        <v>35.111000000000004</v>
      </c>
      <c r="K28" s="48">
        <f t="shared" si="28"/>
        <v>33.703999999999994</v>
      </c>
      <c r="L28" s="48">
        <f t="shared" si="28"/>
        <v>118.78500000000001</v>
      </c>
      <c r="M28" s="48">
        <f t="shared" si="28"/>
        <v>127.11100000000002</v>
      </c>
      <c r="N28" s="48">
        <f t="shared" si="28"/>
        <v>138.95800000000003</v>
      </c>
      <c r="O28" s="48">
        <f t="shared" si="28"/>
        <v>141.90899999999999</v>
      </c>
      <c r="P28" s="48">
        <f t="shared" ref="P28:Q28" si="29">P26-P27</f>
        <v>141.893</v>
      </c>
      <c r="Q28" s="89">
        <f t="shared" si="29"/>
        <v>141.161</v>
      </c>
      <c r="R28" s="89">
        <f>R26-R27</f>
        <v>144.80500000000001</v>
      </c>
      <c r="S28" s="89">
        <f>S26-S27</f>
        <v>143.37300000000005</v>
      </c>
      <c r="T28" s="89">
        <f>T26-T27</f>
        <v>143.97499999999999</v>
      </c>
      <c r="U28" s="89">
        <f>U26-U27</f>
        <v>148.37799999999999</v>
      </c>
      <c r="V28" s="89">
        <f>V26-V27</f>
        <v>148.55599999999998</v>
      </c>
      <c r="W28" s="138">
        <v>156.04343559999975</v>
      </c>
      <c r="X28" s="20"/>
      <c r="Y28" s="41"/>
      <c r="Z28" s="67">
        <f t="shared" ref="Z28" si="30">100*(H28-G28)/G28</f>
        <v>-12.152187839456314</v>
      </c>
      <c r="AA28" s="67">
        <f t="shared" ref="AA28" si="31">100*(I28-H28)/H28</f>
        <v>3.858592263792052</v>
      </c>
      <c r="AB28" s="67">
        <f t="shared" ref="AB28" si="32">100*(J28-I28)/I28</f>
        <v>7.1862502671184751</v>
      </c>
      <c r="AC28" s="67">
        <f t="shared" ref="AC28" si="33">100*(K28-J28)/J28</f>
        <v>-4.0072911623138348</v>
      </c>
      <c r="AD28" s="67">
        <f t="shared" ref="AD28" si="34">100*(L28-K28)/K28</f>
        <v>252.43591265131747</v>
      </c>
      <c r="AE28" s="124">
        <f t="shared" ref="AE28" si="35">100*(M28-L28)/L28</f>
        <v>7.0093025213621312</v>
      </c>
      <c r="AF28" s="124">
        <f t="shared" ref="AF28" si="36">100*(N28-M28)/M28</f>
        <v>9.3202004547206823</v>
      </c>
      <c r="AG28" s="124">
        <f t="shared" ref="AG28:AJ28" si="37">100*(O28-N28)/N28</f>
        <v>2.1236632651592311</v>
      </c>
      <c r="AH28" s="124">
        <f t="shared" si="37"/>
        <v>-1.1274831053697181E-2</v>
      </c>
      <c r="AI28" s="83">
        <f t="shared" si="37"/>
        <v>-0.51588168549540803</v>
      </c>
      <c r="AJ28" s="83">
        <f t="shared" si="37"/>
        <v>2.5814495505132475</v>
      </c>
      <c r="AK28" s="83">
        <f t="shared" si="18"/>
        <v>-0.98891612858669209</v>
      </c>
      <c r="AL28" s="83">
        <f t="shared" si="19"/>
        <v>0.41988379959960859</v>
      </c>
      <c r="AM28" s="83">
        <f t="shared" si="19"/>
        <v>3.0581698211494994</v>
      </c>
      <c r="AN28" s="83">
        <f t="shared" si="19"/>
        <v>0.11996387604631231</v>
      </c>
      <c r="AO28" s="146"/>
      <c r="AP28" s="65">
        <f t="shared" si="27"/>
        <v>2.2616649962081459</v>
      </c>
      <c r="AQ28" s="62"/>
    </row>
    <row r="29" spans="1:47" ht="13.5" customHeight="1" x14ac:dyDescent="0.35">
      <c r="A29" s="15"/>
      <c r="B29" s="21"/>
      <c r="C29" s="21"/>
      <c r="D29" s="21"/>
      <c r="E29" s="21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90"/>
      <c r="R29" s="90"/>
      <c r="S29" s="90"/>
      <c r="T29" s="90"/>
      <c r="U29" s="90"/>
      <c r="V29" s="90"/>
      <c r="W29" s="90"/>
      <c r="X29" s="21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84"/>
      <c r="AJ29" s="84"/>
      <c r="AK29" s="84"/>
      <c r="AL29" s="84"/>
      <c r="AM29" s="84"/>
      <c r="AN29" s="84"/>
      <c r="AO29" s="84"/>
      <c r="AP29" s="43"/>
    </row>
    <row r="30" spans="1:47" ht="14.45" customHeight="1" x14ac:dyDescent="0.35">
      <c r="A30" s="24"/>
      <c r="B30" s="21"/>
      <c r="C30" s="21"/>
      <c r="D30" s="21"/>
      <c r="E30" s="21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90"/>
      <c r="R30" s="90"/>
      <c r="S30" s="90"/>
      <c r="T30" s="90"/>
      <c r="U30" s="90"/>
      <c r="V30" s="90"/>
      <c r="W30" s="90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85"/>
      <c r="AJ30" s="85"/>
      <c r="AK30" s="85"/>
      <c r="AL30" s="85"/>
      <c r="AM30" s="85"/>
      <c r="AN30" s="85"/>
      <c r="AO30" s="85"/>
      <c r="AP30" s="22"/>
    </row>
    <row r="31" spans="1:47" ht="14.45" customHeight="1" x14ac:dyDescent="0.35">
      <c r="A31" s="24"/>
      <c r="B31" s="15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85"/>
      <c r="R31" s="85"/>
      <c r="S31" s="85"/>
      <c r="T31" s="85"/>
      <c r="U31" s="85"/>
      <c r="V31" s="85"/>
      <c r="W31" s="85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85"/>
      <c r="AJ31" s="85"/>
      <c r="AK31" s="85"/>
      <c r="AL31" s="85"/>
      <c r="AM31" s="85"/>
      <c r="AN31" s="85"/>
      <c r="AO31" s="85"/>
      <c r="AP31" s="15"/>
    </row>
    <row r="32" spans="1:47" ht="14.45" customHeight="1" x14ac:dyDescent="0.2">
      <c r="A32" s="24"/>
    </row>
    <row r="33" ht="12.6" customHeight="1" x14ac:dyDescent="0.2"/>
  </sheetData>
  <phoneticPr fontId="8" type="noConversion"/>
  <pageMargins left="0.39370078740157483" right="0.19685039370078741" top="0.78740157480314965" bottom="0.62992125984251968" header="0.51181102362204722" footer="0.47244094488188981"/>
  <pageSetup paperSize="9" scale="94" orientation="landscape" verticalDpi="464" r:id="rId1"/>
  <headerFooter alignWithMargins="0">
    <oddFooter xml:space="preserve">&amp;R&amp;9 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37"/>
  <sheetViews>
    <sheetView zoomScale="115" zoomScaleNormal="115" workbookViewId="0">
      <pane xSplit="1" ySplit="11" topLeftCell="B15" activePane="bottomRight" state="frozen"/>
      <selection activeCell="A2" sqref="A2"/>
      <selection pane="topRight" activeCell="A2" sqref="A2"/>
      <selection pane="bottomLeft" activeCell="A2" sqref="A2"/>
      <selection pane="bottomRight" activeCell="A6" sqref="A6"/>
    </sheetView>
  </sheetViews>
  <sheetFormatPr defaultColWidth="9.140625" defaultRowHeight="13.5" x14ac:dyDescent="0.25"/>
  <cols>
    <col min="1" max="1" width="36.42578125" style="5" customWidth="1"/>
    <col min="2" max="2" width="5" style="5" customWidth="1"/>
    <col min="3" max="6" width="5" style="5" hidden="1" customWidth="1"/>
    <col min="7" max="7" width="5" style="5" customWidth="1"/>
    <col min="8" max="11" width="4.7109375" style="5" hidden="1" customWidth="1"/>
    <col min="12" max="13" width="4.7109375" style="5" customWidth="1"/>
    <col min="14" max="16" width="5.5703125" style="5" customWidth="1"/>
    <col min="17" max="23" width="6.140625" style="87" customWidth="1"/>
    <col min="24" max="24" width="2.140625" style="5" customWidth="1"/>
    <col min="25" max="25" width="11.42578125" style="4" hidden="1" customWidth="1"/>
    <col min="26" max="27" width="7.28515625" style="4" hidden="1" customWidth="1"/>
    <col min="28" max="29" width="8.140625" style="4" hidden="1" customWidth="1"/>
    <col min="30" max="30" width="6" style="4" customWidth="1"/>
    <col min="31" max="33" width="6" style="4" bestFit="1" customWidth="1"/>
    <col min="34" max="37" width="5" style="4" customWidth="1"/>
    <col min="38" max="38" width="5.28515625" style="4" customWidth="1"/>
    <col min="39" max="39" width="5.28515625" style="95" hidden="1" customWidth="1"/>
    <col min="40" max="40" width="5.140625" style="5" customWidth="1"/>
    <col min="41" max="43" width="5.28515625" style="5" bestFit="1" customWidth="1"/>
    <col min="44" max="45" width="5.28515625" style="5" customWidth="1"/>
    <col min="46" max="16384" width="9.140625" style="5"/>
  </cols>
  <sheetData>
    <row r="1" spans="1:45" ht="14.25" customHeight="1" x14ac:dyDescent="0.25">
      <c r="A1" s="26">
        <v>44823</v>
      </c>
    </row>
    <row r="2" spans="1:45" ht="18.75" customHeight="1" x14ac:dyDescent="0.3">
      <c r="A2" s="11" t="s">
        <v>113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6"/>
      <c r="R2" s="76"/>
      <c r="S2" s="76"/>
      <c r="T2" s="76"/>
      <c r="U2" s="76"/>
      <c r="V2" s="76"/>
      <c r="W2" s="76"/>
      <c r="X2" s="3"/>
    </row>
    <row r="3" spans="1:45" ht="16.899999999999999" customHeight="1" x14ac:dyDescent="0.25">
      <c r="A3" s="109" t="s">
        <v>109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6"/>
      <c r="R3" s="76"/>
      <c r="S3" s="76"/>
      <c r="T3" s="76"/>
      <c r="U3" s="76"/>
      <c r="V3" s="76"/>
      <c r="W3" s="76"/>
      <c r="X3" s="3"/>
    </row>
    <row r="4" spans="1:45" ht="16.899999999999999" customHeight="1" x14ac:dyDescent="0.25">
      <c r="A4" s="109" t="s">
        <v>117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76"/>
      <c r="R4" s="76"/>
      <c r="S4" s="76"/>
      <c r="T4" s="76"/>
      <c r="U4" s="76"/>
      <c r="V4" s="76"/>
      <c r="W4" s="76"/>
      <c r="X4" s="3"/>
    </row>
    <row r="5" spans="1:45" ht="16.899999999999999" customHeight="1" x14ac:dyDescent="0.25">
      <c r="A5" s="76" t="s">
        <v>87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76"/>
      <c r="R5" s="76"/>
      <c r="S5" s="76"/>
      <c r="T5" s="76"/>
      <c r="U5" s="76"/>
      <c r="V5" s="76"/>
      <c r="W5" s="76"/>
      <c r="X5" s="3"/>
    </row>
    <row r="6" spans="1:45" ht="15.75" customHeight="1" x14ac:dyDescent="0.25">
      <c r="A6" s="110" t="s">
        <v>120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76"/>
      <c r="R6" s="76"/>
      <c r="S6" s="76"/>
      <c r="T6" s="76"/>
      <c r="U6" s="76"/>
      <c r="V6" s="76"/>
      <c r="W6" s="76"/>
      <c r="X6" s="3"/>
    </row>
    <row r="7" spans="1:45" ht="6.75" customHeight="1" x14ac:dyDescent="0.2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76"/>
      <c r="R7" s="76"/>
      <c r="S7" s="76"/>
      <c r="T7" s="76"/>
      <c r="U7" s="76"/>
      <c r="V7" s="76"/>
      <c r="W7" s="76"/>
      <c r="X7" s="3"/>
    </row>
    <row r="8" spans="1:45" ht="15.75" customHeight="1" x14ac:dyDescent="0.25">
      <c r="B8" s="45" t="s">
        <v>27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86"/>
      <c r="R8" s="111"/>
      <c r="S8" s="111"/>
      <c r="T8" s="111"/>
      <c r="U8" s="111"/>
      <c r="V8" s="111"/>
      <c r="W8" s="111"/>
      <c r="X8" s="8"/>
      <c r="Y8" s="35" t="s">
        <v>29</v>
      </c>
      <c r="Z8" s="33"/>
      <c r="AA8" s="33"/>
      <c r="AD8" s="69" t="s">
        <v>29</v>
      </c>
      <c r="AE8" s="70"/>
      <c r="AF8" s="70"/>
      <c r="AG8" s="70"/>
      <c r="AH8" s="69"/>
      <c r="AI8" s="70"/>
      <c r="AJ8" s="70"/>
      <c r="AK8" s="70"/>
      <c r="AL8" s="70"/>
      <c r="AM8" s="96"/>
      <c r="AN8" s="108"/>
    </row>
    <row r="9" spans="1:45" ht="15.75" customHeight="1" x14ac:dyDescent="0.25">
      <c r="B9" s="49">
        <v>2000</v>
      </c>
      <c r="C9" s="49">
        <v>2001</v>
      </c>
      <c r="D9" s="49">
        <v>2002</v>
      </c>
      <c r="E9" s="49">
        <v>2003</v>
      </c>
      <c r="F9" s="49">
        <v>2004</v>
      </c>
      <c r="G9" s="49">
        <v>2005</v>
      </c>
      <c r="H9" s="49">
        <v>2006</v>
      </c>
      <c r="I9" s="49">
        <v>2007</v>
      </c>
      <c r="J9" s="49">
        <v>2008</v>
      </c>
      <c r="K9" s="49">
        <v>2009</v>
      </c>
      <c r="L9" s="49">
        <v>2010</v>
      </c>
      <c r="M9" s="49">
        <v>2011</v>
      </c>
      <c r="N9" s="49">
        <v>2012</v>
      </c>
      <c r="O9" s="49">
        <v>2013</v>
      </c>
      <c r="P9" s="49">
        <v>2014</v>
      </c>
      <c r="Q9" s="49">
        <v>2015</v>
      </c>
      <c r="R9" s="126">
        <v>2016</v>
      </c>
      <c r="S9" s="126">
        <v>2017</v>
      </c>
      <c r="T9" s="126">
        <v>2018</v>
      </c>
      <c r="U9" s="126">
        <v>2019</v>
      </c>
      <c r="V9" s="126">
        <v>2020</v>
      </c>
      <c r="W9" s="135">
        <v>2021</v>
      </c>
      <c r="X9" s="8"/>
      <c r="Y9" s="27" t="s">
        <v>25</v>
      </c>
      <c r="Z9" s="34" t="s">
        <v>26</v>
      </c>
      <c r="AA9" s="34" t="s">
        <v>28</v>
      </c>
      <c r="AB9" s="71" t="s">
        <v>34</v>
      </c>
      <c r="AC9" s="71" t="s">
        <v>37</v>
      </c>
      <c r="AD9" s="71" t="s">
        <v>40</v>
      </c>
      <c r="AE9" s="71" t="s">
        <v>53</v>
      </c>
      <c r="AF9" s="71" t="s">
        <v>55</v>
      </c>
      <c r="AG9" s="71" t="s">
        <v>58</v>
      </c>
      <c r="AH9" s="71" t="s">
        <v>61</v>
      </c>
      <c r="AI9" s="71" t="s">
        <v>63</v>
      </c>
      <c r="AJ9" s="71" t="s">
        <v>65</v>
      </c>
      <c r="AK9" s="71" t="s">
        <v>70</v>
      </c>
      <c r="AL9" s="71" t="s">
        <v>72</v>
      </c>
      <c r="AM9" s="97" t="s">
        <v>74</v>
      </c>
      <c r="AN9" s="97" t="s">
        <v>82</v>
      </c>
      <c r="AO9" s="114" t="s">
        <v>89</v>
      </c>
      <c r="AP9" s="114" t="s">
        <v>95</v>
      </c>
      <c r="AQ9" s="114" t="s">
        <v>101</v>
      </c>
      <c r="AR9" s="114" t="s">
        <v>105</v>
      </c>
      <c r="AS9" s="114" t="s">
        <v>110</v>
      </c>
    </row>
    <row r="10" spans="1:45" x14ac:dyDescent="0.25"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136"/>
      <c r="X10" s="8"/>
      <c r="Y10" s="27"/>
      <c r="Z10" s="34"/>
      <c r="AA10" s="34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97"/>
      <c r="AN10" s="97"/>
    </row>
    <row r="11" spans="1:45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136"/>
      <c r="X11" s="8"/>
      <c r="Y11" s="27"/>
      <c r="Z11" s="34"/>
      <c r="AA11" s="34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97"/>
      <c r="AN11" s="97"/>
    </row>
    <row r="12" spans="1:45" ht="14.25" customHeight="1" x14ac:dyDescent="0.25">
      <c r="A12" s="50" t="s">
        <v>88</v>
      </c>
      <c r="Q12" s="5"/>
      <c r="R12" s="5"/>
      <c r="S12" s="5"/>
      <c r="T12" s="5"/>
      <c r="U12" s="5"/>
      <c r="V12" s="5"/>
      <c r="W12" s="137"/>
      <c r="X12" s="3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87"/>
      <c r="AN12" s="87"/>
    </row>
    <row r="13" spans="1:45" ht="17.25" customHeight="1" x14ac:dyDescent="0.25">
      <c r="A13" s="5" t="s">
        <v>76</v>
      </c>
      <c r="B13" s="6"/>
      <c r="C13" s="6"/>
      <c r="D13" s="6"/>
      <c r="E13" s="6"/>
      <c r="F13" s="6"/>
      <c r="G13" s="6">
        <v>846.31899999999996</v>
      </c>
      <c r="H13" s="6">
        <v>930.51700000000005</v>
      </c>
      <c r="I13" s="6">
        <v>1019.4390000000001</v>
      </c>
      <c r="J13" s="6">
        <v>1129.4780000000001</v>
      </c>
      <c r="K13" s="6">
        <v>1198.1659999999997</v>
      </c>
      <c r="L13" s="6">
        <v>1241.54</v>
      </c>
      <c r="M13" s="6">
        <v>1355.05</v>
      </c>
      <c r="N13" s="6">
        <v>1421.0250000000001</v>
      </c>
      <c r="O13" s="6">
        <v>1637.23</v>
      </c>
      <c r="P13" s="6">
        <v>1640.3429999999998</v>
      </c>
      <c r="Q13" s="127">
        <v>1903.1580000000001</v>
      </c>
      <c r="R13" s="6">
        <v>2047.664</v>
      </c>
      <c r="S13" s="6">
        <v>2288</v>
      </c>
      <c r="T13" s="6">
        <v>2466</v>
      </c>
      <c r="U13" s="6">
        <v>2575</v>
      </c>
      <c r="V13" s="6">
        <v>2711.6660000000002</v>
      </c>
      <c r="W13" s="138">
        <v>2329.7190000000001</v>
      </c>
      <c r="X13" s="9"/>
      <c r="Y13" s="28">
        <v>13.684938282143287</v>
      </c>
      <c r="Z13" s="28" t="e">
        <f t="shared" ref="Z13:AL13" si="0">100*(D13-C13)/C13</f>
        <v>#DIV/0!</v>
      </c>
      <c r="AA13" s="28" t="e">
        <f t="shared" si="0"/>
        <v>#DIV/0!</v>
      </c>
      <c r="AB13" s="66" t="e">
        <f t="shared" si="0"/>
        <v>#DIV/0!</v>
      </c>
      <c r="AC13" s="66" t="e">
        <f t="shared" si="0"/>
        <v>#DIV/0!</v>
      </c>
      <c r="AD13" s="66">
        <f t="shared" si="0"/>
        <v>9.9487309158839761</v>
      </c>
      <c r="AE13" s="66">
        <f t="shared" si="0"/>
        <v>9.5561929550991564</v>
      </c>
      <c r="AF13" s="66">
        <f t="shared" si="0"/>
        <v>10.794073995599538</v>
      </c>
      <c r="AG13" s="66">
        <f t="shared" si="0"/>
        <v>6.0813933516190346</v>
      </c>
      <c r="AH13" s="66">
        <f t="shared" si="0"/>
        <v>3.6200326165155965</v>
      </c>
      <c r="AI13" s="66">
        <f t="shared" si="0"/>
        <v>9.1426776422829708</v>
      </c>
      <c r="AJ13" s="66">
        <f t="shared" si="0"/>
        <v>4.8688240286336404</v>
      </c>
      <c r="AK13" s="66">
        <f t="shared" si="0"/>
        <v>15.21472176773807</v>
      </c>
      <c r="AL13" s="66">
        <f t="shared" si="0"/>
        <v>0.19013822126395369</v>
      </c>
      <c r="AM13" s="98"/>
      <c r="AN13" s="98">
        <f t="shared" ref="AN13:AP17" si="1">100*(R13-Q13)/Q13</f>
        <v>7.5929586508319247</v>
      </c>
      <c r="AO13" s="98">
        <f t="shared" si="1"/>
        <v>11.737081864993476</v>
      </c>
      <c r="AP13" s="98">
        <f t="shared" si="1"/>
        <v>7.77972027972028</v>
      </c>
      <c r="AQ13" s="98">
        <f>100*(U13-T13)/T13</f>
        <v>4.4201135442011354</v>
      </c>
      <c r="AR13" s="98">
        <f>100*(V13-U13)/U13</f>
        <v>5.3074174757281618</v>
      </c>
      <c r="AS13" s="98">
        <f>100*(W13-V13)/V13</f>
        <v>-14.085326142673917</v>
      </c>
    </row>
    <row r="14" spans="1:45" ht="17.25" customHeight="1" x14ac:dyDescent="0.25">
      <c r="A14" s="100" t="s">
        <v>75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128">
        <f>550.289+378.271</f>
        <v>928.56</v>
      </c>
      <c r="R14" s="102">
        <v>1054.848</v>
      </c>
      <c r="S14" s="102">
        <v>1112.0740000000001</v>
      </c>
      <c r="T14" s="102">
        <v>1229.605</v>
      </c>
      <c r="U14" s="102">
        <v>1371.643</v>
      </c>
      <c r="V14" s="102">
        <v>1527.096</v>
      </c>
      <c r="W14" s="139">
        <v>1332.636</v>
      </c>
      <c r="X14" s="9"/>
      <c r="Y14" s="28"/>
      <c r="Z14" s="28"/>
      <c r="AA14" s="28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98"/>
      <c r="AN14" s="98">
        <f t="shared" si="1"/>
        <v>13.600413543551307</v>
      </c>
      <c r="AO14" s="98">
        <f t="shared" si="1"/>
        <v>5.4250470209926087</v>
      </c>
      <c r="AP14" s="98">
        <f t="shared" si="1"/>
        <v>10.56863122418112</v>
      </c>
      <c r="AQ14" s="98">
        <f t="shared" ref="AQ14:AS35" si="2">100*(U14-T14)/T14</f>
        <v>11.551514510757521</v>
      </c>
      <c r="AR14" s="98">
        <f t="shared" si="2"/>
        <v>11.333342568000564</v>
      </c>
      <c r="AS14" s="98">
        <f t="shared" si="2"/>
        <v>-12.733973502648166</v>
      </c>
    </row>
    <row r="15" spans="1:45" ht="17.25" customHeight="1" x14ac:dyDescent="0.25">
      <c r="A15" s="5" t="s">
        <v>4</v>
      </c>
      <c r="B15" s="6">
        <v>75.20119480702958</v>
      </c>
      <c r="C15" s="6">
        <v>79.522999999999996</v>
      </c>
      <c r="D15" s="6">
        <v>81.430000000000007</v>
      </c>
      <c r="E15" s="6">
        <f>(57133+1397+20667+1347)/1000</f>
        <v>80.543999999999997</v>
      </c>
      <c r="F15" s="6">
        <f>55.495+1.478+21.724+1.349</f>
        <v>80.046000000000006</v>
      </c>
      <c r="G15" s="6">
        <f>52.969+1.106+21.298+1.227</f>
        <v>76.600000000000009</v>
      </c>
      <c r="H15" s="6">
        <f>52.301+1.105+21.324+1.349</f>
        <v>76.079000000000008</v>
      </c>
      <c r="I15" s="6">
        <f>55.626+1.322+23.38+1.302</f>
        <v>81.63000000000001</v>
      </c>
      <c r="J15" s="6">
        <f>59.675+1.018+22.985+1.439</f>
        <v>85.11699999999999</v>
      </c>
      <c r="K15" s="6">
        <f>52.347+1.084+20.503+1.317</f>
        <v>75.250999999999991</v>
      </c>
      <c r="L15" s="6">
        <f>49.394+1.214+20.235+2.549</f>
        <v>73.391999999999996</v>
      </c>
      <c r="M15" s="6">
        <f>52.219+1.078+19.266+2.538</f>
        <v>75.100999999999999</v>
      </c>
      <c r="N15" s="6">
        <f>51.435+1.22+20.107+2.417</f>
        <v>75.179000000000002</v>
      </c>
      <c r="O15" s="6">
        <f>46.379+1.203+17.717+2.445</f>
        <v>67.744</v>
      </c>
      <c r="P15" s="6">
        <v>62</v>
      </c>
      <c r="Q15" s="127">
        <f>44.441+15.72</f>
        <v>60.161000000000001</v>
      </c>
      <c r="R15" s="6">
        <v>58.012</v>
      </c>
      <c r="S15" s="6">
        <v>62.015999999999998</v>
      </c>
      <c r="T15" s="6">
        <v>62</v>
      </c>
      <c r="U15" s="6">
        <v>63</v>
      </c>
      <c r="V15" s="6">
        <v>52.055</v>
      </c>
      <c r="W15" s="138">
        <v>63.302</v>
      </c>
      <c r="X15" s="9"/>
      <c r="Y15" s="28">
        <v>5.7469900632036586</v>
      </c>
      <c r="Z15" s="28">
        <f t="shared" ref="Z15:AL17" si="3">100*(D15-C15)/C15</f>
        <v>2.3980483633665868</v>
      </c>
      <c r="AA15" s="28">
        <f t="shared" si="3"/>
        <v>-1.0880510868230502</v>
      </c>
      <c r="AB15" s="66">
        <f t="shared" si="3"/>
        <v>-0.61829558998806922</v>
      </c>
      <c r="AC15" s="66">
        <f t="shared" si="3"/>
        <v>-4.3050246108487586</v>
      </c>
      <c r="AD15" s="66">
        <f t="shared" si="3"/>
        <v>-0.68015665796344749</v>
      </c>
      <c r="AE15" s="66">
        <f t="shared" si="3"/>
        <v>7.2963629911013559</v>
      </c>
      <c r="AF15" s="66">
        <f t="shared" si="3"/>
        <v>4.2717138306994737</v>
      </c>
      <c r="AG15" s="66">
        <f t="shared" si="3"/>
        <v>-11.591104009774782</v>
      </c>
      <c r="AH15" s="66">
        <f t="shared" si="3"/>
        <v>-2.4703990644642526</v>
      </c>
      <c r="AI15" s="66">
        <f t="shared" si="3"/>
        <v>2.3285916721168562</v>
      </c>
      <c r="AJ15" s="66">
        <f t="shared" si="3"/>
        <v>0.10386013501817946</v>
      </c>
      <c r="AK15" s="66">
        <f t="shared" si="3"/>
        <v>-9.8897298447704838</v>
      </c>
      <c r="AL15" s="66">
        <f t="shared" si="3"/>
        <v>-8.4789796882380717</v>
      </c>
      <c r="AM15" s="98"/>
      <c r="AN15" s="98">
        <f t="shared" si="1"/>
        <v>-3.5720815810907411</v>
      </c>
      <c r="AO15" s="98">
        <f t="shared" si="1"/>
        <v>6.9020202716679266</v>
      </c>
      <c r="AP15" s="98">
        <f t="shared" si="1"/>
        <v>-2.5799793601648347E-2</v>
      </c>
      <c r="AQ15" s="98">
        <f t="shared" si="2"/>
        <v>1.6129032258064515</v>
      </c>
      <c r="AR15" s="98">
        <f t="shared" si="2"/>
        <v>-17.373015873015873</v>
      </c>
      <c r="AS15" s="98">
        <f t="shared" si="2"/>
        <v>21.605993660551341</v>
      </c>
    </row>
    <row r="16" spans="1:45" ht="17.25" customHeight="1" x14ac:dyDescent="0.25">
      <c r="A16" s="5" t="s">
        <v>5</v>
      </c>
      <c r="B16" s="6">
        <v>50.184586249291506</v>
      </c>
      <c r="C16" s="6">
        <v>42.664000000000001</v>
      </c>
      <c r="D16" s="6">
        <v>51.753</v>
      </c>
      <c r="E16" s="6">
        <f>(16037+1002+33427+37)/1000</f>
        <v>50.503</v>
      </c>
      <c r="F16" s="6">
        <f>16.808+1.002+38.473+0.038</f>
        <v>56.320999999999998</v>
      </c>
      <c r="G16" s="6">
        <f>17.167+0.852+30.742+0.053</f>
        <v>48.814</v>
      </c>
      <c r="H16" s="6">
        <f>43.876+0.049+18.216+0.874</f>
        <v>63.015000000000001</v>
      </c>
      <c r="I16" s="6">
        <f>17.119+0.941+43.112+0.059</f>
        <v>61.230999999999995</v>
      </c>
      <c r="J16" s="6">
        <f>20.34+0.938+46.946+0.078</f>
        <v>68.301999999999992</v>
      </c>
      <c r="K16" s="6">
        <f>20.636+1.006+33.722+0.092</f>
        <v>55.456000000000003</v>
      </c>
      <c r="L16" s="6">
        <f>20.568+0.919+33.948+0.824</f>
        <v>56.259</v>
      </c>
      <c r="M16" s="6">
        <f>21.202+0.929+46.078+0.826</f>
        <v>69.034999999999997</v>
      </c>
      <c r="N16" s="6">
        <f>22.774+0.958+55.713+0.97</f>
        <v>80.414999999999992</v>
      </c>
      <c r="O16" s="6">
        <f>23.627+1.109+74.589+0.737</f>
        <v>100.06199999999998</v>
      </c>
      <c r="P16" s="6">
        <v>152.67699999999999</v>
      </c>
      <c r="Q16" s="127">
        <f>36.412+71.988</f>
        <v>108.4</v>
      </c>
      <c r="R16" s="6">
        <v>109.087</v>
      </c>
      <c r="S16" s="6">
        <v>100.562</v>
      </c>
      <c r="T16" s="6">
        <v>112</v>
      </c>
      <c r="U16" s="6">
        <v>52.575000000000003</v>
      </c>
      <c r="V16" s="6">
        <v>71.903999999999996</v>
      </c>
      <c r="W16" s="138">
        <v>121.36</v>
      </c>
      <c r="X16" s="9"/>
      <c r="Y16" s="28">
        <v>-14.985848865890926</v>
      </c>
      <c r="Z16" s="28">
        <f t="shared" si="3"/>
        <v>21.303675229701852</v>
      </c>
      <c r="AA16" s="28">
        <f t="shared" si="3"/>
        <v>-2.4153189187100264</v>
      </c>
      <c r="AB16" s="66">
        <f t="shared" si="3"/>
        <v>11.52010771637328</v>
      </c>
      <c r="AC16" s="66">
        <f t="shared" si="3"/>
        <v>-13.328953676248643</v>
      </c>
      <c r="AD16" s="66">
        <f t="shared" si="3"/>
        <v>29.09206375220224</v>
      </c>
      <c r="AE16" s="66">
        <f t="shared" si="3"/>
        <v>-2.8310719669919955</v>
      </c>
      <c r="AF16" s="66">
        <f t="shared" si="3"/>
        <v>11.548072055004816</v>
      </c>
      <c r="AG16" s="66">
        <f t="shared" si="3"/>
        <v>-18.807648385113161</v>
      </c>
      <c r="AH16" s="66">
        <f t="shared" si="3"/>
        <v>1.4479948066935899</v>
      </c>
      <c r="AI16" s="66">
        <f t="shared" si="3"/>
        <v>22.709255408023598</v>
      </c>
      <c r="AJ16" s="66">
        <f t="shared" si="3"/>
        <v>16.484391975085096</v>
      </c>
      <c r="AK16" s="66">
        <f t="shared" si="3"/>
        <v>24.432008953553431</v>
      </c>
      <c r="AL16" s="66">
        <f t="shared" si="3"/>
        <v>52.582398912674158</v>
      </c>
      <c r="AM16" s="98"/>
      <c r="AN16" s="98">
        <f t="shared" si="1"/>
        <v>0.63376383763837418</v>
      </c>
      <c r="AO16" s="98">
        <f t="shared" si="1"/>
        <v>-7.8148633659372848</v>
      </c>
      <c r="AP16" s="98">
        <f t="shared" si="1"/>
        <v>11.374077683419186</v>
      </c>
      <c r="AQ16" s="98">
        <f t="shared" si="2"/>
        <v>-53.058035714285715</v>
      </c>
      <c r="AR16" s="98">
        <f t="shared" si="2"/>
        <v>36.764621968616247</v>
      </c>
      <c r="AS16" s="98">
        <f t="shared" si="2"/>
        <v>68.780596350689819</v>
      </c>
    </row>
    <row r="17" spans="1:45" ht="17.25" customHeight="1" x14ac:dyDescent="0.25">
      <c r="A17" s="5" t="s">
        <v>6</v>
      </c>
      <c r="B17" s="6">
        <v>245.34783786011138</v>
      </c>
      <c r="C17" s="6">
        <v>268.06900000000002</v>
      </c>
      <c r="D17" s="6">
        <v>296.52999999999997</v>
      </c>
      <c r="E17" s="6">
        <f>(232850+19314+64162+2406)/1000</f>
        <v>318.73200000000003</v>
      </c>
      <c r="F17" s="6">
        <f>242.419+21.085+63.589+3.514</f>
        <v>330.60700000000003</v>
      </c>
      <c r="G17" s="6">
        <f>258.135+24.729+70.581+3.747</f>
        <v>357.19200000000001</v>
      </c>
      <c r="H17" s="6">
        <f>73.276+5.304+269.259+25.065</f>
        <v>372.904</v>
      </c>
      <c r="I17" s="6">
        <f>311.837+25.541+78.959+5.449</f>
        <v>421.786</v>
      </c>
      <c r="J17" s="6">
        <f>338.845+26.038+131.381+5.652</f>
        <v>501.916</v>
      </c>
      <c r="K17" s="6">
        <f>367.42+25.864+144.561+4.516</f>
        <v>542.36099999999999</v>
      </c>
      <c r="L17" s="6">
        <f>384.328+27.738+161.221+3.194</f>
        <v>576.48099999999999</v>
      </c>
      <c r="M17" s="6">
        <f>383.385+27.581+170+2.832</f>
        <v>583.798</v>
      </c>
      <c r="N17" s="6">
        <f>408.989+31.107+175.9+3.577</f>
        <v>619.57299999999998</v>
      </c>
      <c r="O17" s="6">
        <f>439.515+29.232+183.758+1.313</f>
        <v>653.81799999999998</v>
      </c>
      <c r="P17" s="6">
        <v>669.56700000000001</v>
      </c>
      <c r="Q17" s="127">
        <f>551.546+219.946</f>
        <v>771.49200000000008</v>
      </c>
      <c r="R17" s="6">
        <v>800.18399999999997</v>
      </c>
      <c r="S17" s="6">
        <v>838.25699999999995</v>
      </c>
      <c r="T17" s="6">
        <v>873</v>
      </c>
      <c r="U17" s="6">
        <v>879.45699999999999</v>
      </c>
      <c r="V17" s="6">
        <v>877.274</v>
      </c>
      <c r="W17" s="138">
        <v>620.46299999999997</v>
      </c>
      <c r="X17" s="9"/>
      <c r="Y17" s="28">
        <v>9.2607957494385715</v>
      </c>
      <c r="Z17" s="28">
        <f t="shared" si="3"/>
        <v>10.617042627084802</v>
      </c>
      <c r="AA17" s="28">
        <f t="shared" si="3"/>
        <v>7.4872694162479529</v>
      </c>
      <c r="AB17" s="66">
        <f t="shared" si="3"/>
        <v>3.7257005885822569</v>
      </c>
      <c r="AC17" s="66">
        <f t="shared" si="3"/>
        <v>8.0412695435970747</v>
      </c>
      <c r="AD17" s="66">
        <f t="shared" si="3"/>
        <v>4.398754731348963</v>
      </c>
      <c r="AE17" s="66">
        <f t="shared" si="3"/>
        <v>13.108467594876968</v>
      </c>
      <c r="AF17" s="66">
        <f t="shared" si="3"/>
        <v>18.997785606919148</v>
      </c>
      <c r="AG17" s="66">
        <f t="shared" si="3"/>
        <v>8.0581212792578825</v>
      </c>
      <c r="AH17" s="66">
        <f t="shared" si="3"/>
        <v>6.2910128124994245</v>
      </c>
      <c r="AI17" s="66">
        <f t="shared" si="3"/>
        <v>1.2692525859481938</v>
      </c>
      <c r="AJ17" s="66">
        <f t="shared" si="3"/>
        <v>6.1279757724418342</v>
      </c>
      <c r="AK17" s="66">
        <f t="shared" si="3"/>
        <v>5.5271937285840416</v>
      </c>
      <c r="AL17" s="66">
        <f t="shared" si="3"/>
        <v>2.4087743072231147</v>
      </c>
      <c r="AM17" s="98"/>
      <c r="AN17" s="98">
        <f t="shared" si="1"/>
        <v>3.7190275466239302</v>
      </c>
      <c r="AO17" s="98">
        <f t="shared" si="1"/>
        <v>4.7580306529498193</v>
      </c>
      <c r="AP17" s="98">
        <f t="shared" si="1"/>
        <v>4.1446716221874738</v>
      </c>
      <c r="AQ17" s="98">
        <f t="shared" si="2"/>
        <v>0.73963344788086982</v>
      </c>
      <c r="AR17" s="98">
        <f t="shared" si="2"/>
        <v>-0.24822134567124859</v>
      </c>
      <c r="AS17" s="98">
        <f t="shared" si="2"/>
        <v>-29.273750276424472</v>
      </c>
    </row>
    <row r="18" spans="1:45" ht="17.25" customHeight="1" x14ac:dyDescent="0.25">
      <c r="A18" s="5" t="s">
        <v>7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127"/>
      <c r="R18" s="6"/>
      <c r="S18" s="6"/>
      <c r="T18" s="6"/>
      <c r="U18" s="6"/>
      <c r="V18" s="6"/>
      <c r="W18" s="138"/>
      <c r="X18" s="9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87"/>
      <c r="AN18" s="87"/>
      <c r="AO18" s="98"/>
      <c r="AP18" s="98"/>
      <c r="AQ18" s="98"/>
      <c r="AR18" s="98"/>
      <c r="AS18" s="98"/>
    </row>
    <row r="19" spans="1:45" ht="17.25" customHeight="1" x14ac:dyDescent="0.25">
      <c r="A19" s="5" t="s">
        <v>8</v>
      </c>
      <c r="B19" s="6">
        <v>429.53615451761175</v>
      </c>
      <c r="C19" s="6">
        <v>479.80899999999997</v>
      </c>
      <c r="D19" s="6">
        <v>477.85900000000004</v>
      </c>
      <c r="E19" s="6">
        <f>(396931+41424+45971+2607)/1000</f>
        <v>486.93299999999999</v>
      </c>
      <c r="F19" s="6">
        <f>488.033+45.776+53.977+1.729</f>
        <v>589.51499999999999</v>
      </c>
      <c r="G19" s="6">
        <f>417.68+50.519+53.299+1.657</f>
        <v>523.15500000000009</v>
      </c>
      <c r="H19" s="6">
        <f>462.965+43.131+55.088+2.591</f>
        <v>563.77499999999998</v>
      </c>
      <c r="I19" s="6">
        <f>560.466+46.033+59.534+2.927</f>
        <v>668.96</v>
      </c>
      <c r="J19" s="6">
        <f>628.29+53.555+66.333+3.612</f>
        <v>751.78999999999985</v>
      </c>
      <c r="K19" s="6">
        <f>654.291+45.219+69.654+3.182</f>
        <v>772.34600000000012</v>
      </c>
      <c r="L19" s="6">
        <f>737.157+50.441+76.21+8.22</f>
        <v>872.02800000000013</v>
      </c>
      <c r="M19" s="6">
        <f>872.443+58.506+81.94+8.148</f>
        <v>1021.0369999999999</v>
      </c>
      <c r="N19" s="6">
        <f>850.85+60.529+81.075+10.469</f>
        <v>1002.9230000000001</v>
      </c>
      <c r="O19" s="6">
        <f>882.375+63.89+87.592+4.935</f>
        <v>1038.7919999999999</v>
      </c>
      <c r="P19" s="6">
        <v>996.84100000000001</v>
      </c>
      <c r="Q19" s="127">
        <f>1102.212+94.222</f>
        <v>1196.434</v>
      </c>
      <c r="R19" s="6">
        <v>1244.3689999999999</v>
      </c>
      <c r="S19" s="6">
        <v>1118.1559999999999</v>
      </c>
      <c r="T19" s="6">
        <v>1121</v>
      </c>
      <c r="U19" s="6">
        <v>1147.3389999999999</v>
      </c>
      <c r="V19" s="6">
        <v>1137.1969999999999</v>
      </c>
      <c r="W19" s="138">
        <v>1423.7529999999999</v>
      </c>
      <c r="X19" s="9"/>
      <c r="Y19" s="28">
        <v>11.703984624727775</v>
      </c>
      <c r="Z19" s="28">
        <f t="shared" ref="Z19:AN19" si="4">100*(D19-C19)/C19</f>
        <v>-0.40641171799610509</v>
      </c>
      <c r="AA19" s="28">
        <f t="shared" si="4"/>
        <v>1.8988864916219961</v>
      </c>
      <c r="AB19" s="66">
        <f t="shared" si="4"/>
        <v>21.066964038173627</v>
      </c>
      <c r="AC19" s="66">
        <f t="shared" si="4"/>
        <v>-11.256711025164737</v>
      </c>
      <c r="AD19" s="66">
        <f t="shared" si="4"/>
        <v>7.7644292800412655</v>
      </c>
      <c r="AE19" s="66">
        <f t="shared" si="4"/>
        <v>18.657265753181687</v>
      </c>
      <c r="AF19" s="66">
        <f t="shared" si="4"/>
        <v>12.381906242525684</v>
      </c>
      <c r="AG19" s="66">
        <f t="shared" si="4"/>
        <v>2.7342741989119661</v>
      </c>
      <c r="AH19" s="66">
        <f t="shared" si="4"/>
        <v>12.906391694913937</v>
      </c>
      <c r="AI19" s="66">
        <f t="shared" si="4"/>
        <v>17.087639387726057</v>
      </c>
      <c r="AJ19" s="66">
        <f t="shared" si="4"/>
        <v>-1.7740787062564634</v>
      </c>
      <c r="AK19" s="66">
        <f t="shared" si="4"/>
        <v>3.5764460482010878</v>
      </c>
      <c r="AL19" s="66">
        <f t="shared" si="4"/>
        <v>-4.0384408043188547</v>
      </c>
      <c r="AM19" s="98"/>
      <c r="AN19" s="98">
        <f t="shared" si="4"/>
        <v>4.0064892839889161</v>
      </c>
      <c r="AO19" s="98">
        <f>100*(S19-R19)/R19</f>
        <v>-10.142730974493897</v>
      </c>
      <c r="AP19" s="98">
        <f>100*(T19-S19)/S19</f>
        <v>0.25434733614987992</v>
      </c>
      <c r="AQ19" s="98">
        <f t="shared" si="2"/>
        <v>2.3495985727029387</v>
      </c>
      <c r="AR19" s="98">
        <f t="shared" si="2"/>
        <v>-0.88395844645741606</v>
      </c>
      <c r="AS19" s="98">
        <f t="shared" si="2"/>
        <v>25.198448465833103</v>
      </c>
    </row>
    <row r="20" spans="1:45" ht="17.25" customHeight="1" x14ac:dyDescent="0.25">
      <c r="A20" s="5" t="s">
        <v>9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127"/>
      <c r="R20" s="6"/>
      <c r="S20" s="6"/>
      <c r="T20" s="6"/>
      <c r="U20" s="6"/>
      <c r="V20" s="6"/>
      <c r="W20" s="138"/>
      <c r="X20" s="9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87"/>
      <c r="AN20" s="87"/>
      <c r="AO20" s="98"/>
      <c r="AP20" s="98"/>
      <c r="AQ20" s="98"/>
      <c r="AR20" s="98"/>
      <c r="AS20" s="98"/>
    </row>
    <row r="21" spans="1:45" ht="17.25" customHeight="1" x14ac:dyDescent="0.25">
      <c r="A21" s="5" t="s">
        <v>8</v>
      </c>
      <c r="B21" s="6">
        <v>118.14579538593242</v>
      </c>
      <c r="C21" s="6">
        <v>123.931</v>
      </c>
      <c r="D21" s="6">
        <v>149.601</v>
      </c>
      <c r="E21" s="6">
        <f>(95704+7835+36871+943)/1000</f>
        <v>141.35300000000001</v>
      </c>
      <c r="F21" s="6">
        <f>84.879+7.345+35.99+0.996</f>
        <v>129.21</v>
      </c>
      <c r="G21" s="6">
        <f>85.393+7.538+37.188+1.039</f>
        <v>131.15799999999999</v>
      </c>
      <c r="H21" s="6">
        <f>38.185+0.962+79.021+7.601</f>
        <v>125.76900000000001</v>
      </c>
      <c r="I21" s="6">
        <f>72.128+7.522+40.708+1.111</f>
        <v>121.46900000000001</v>
      </c>
      <c r="J21" s="6">
        <f>76.141+8.713+39.695+1.294</f>
        <v>125.843</v>
      </c>
      <c r="K21" s="6">
        <f>88.131+7.088+41.119+1.715</f>
        <v>138.053</v>
      </c>
      <c r="L21" s="6">
        <f>76.09+6.95+40.998+4.427</f>
        <v>128.465</v>
      </c>
      <c r="M21" s="6">
        <f>78.985+6.838+47.342+5.174</f>
        <v>138.339</v>
      </c>
      <c r="N21" s="6">
        <f>79.381+6.67+57.282+5.359</f>
        <v>148.69200000000001</v>
      </c>
      <c r="O21" s="6">
        <f>83.649+6.588+48.496+5.212</f>
        <v>143.94499999999999</v>
      </c>
      <c r="P21" s="6">
        <v>149.71899999999999</v>
      </c>
      <c r="Q21" s="127">
        <f>127.333+74.354</f>
        <v>201.68700000000001</v>
      </c>
      <c r="R21" s="6">
        <v>241.18</v>
      </c>
      <c r="S21" s="6">
        <v>244.749</v>
      </c>
      <c r="T21" s="6">
        <v>239</v>
      </c>
      <c r="U21" s="6">
        <v>260.12400000000002</v>
      </c>
      <c r="V21" s="6">
        <v>260.01</v>
      </c>
      <c r="W21" s="138">
        <v>217.25800000000001</v>
      </c>
      <c r="X21" s="9"/>
      <c r="Y21" s="28">
        <v>4.8966656791888035</v>
      </c>
      <c r="Z21" s="28">
        <f t="shared" ref="Z21:AN29" si="5">100*(D21-C21)/C21</f>
        <v>20.713138762698598</v>
      </c>
      <c r="AA21" s="28">
        <f t="shared" si="5"/>
        <v>-5.513332130132814</v>
      </c>
      <c r="AB21" s="66">
        <f t="shared" si="5"/>
        <v>-8.5905498998960059</v>
      </c>
      <c r="AC21" s="66">
        <f t="shared" si="5"/>
        <v>1.5076232489745214</v>
      </c>
      <c r="AD21" s="66">
        <f t="shared" si="5"/>
        <v>-4.1087848244102396</v>
      </c>
      <c r="AE21" s="66">
        <f t="shared" si="5"/>
        <v>-3.4189665179813762</v>
      </c>
      <c r="AF21" s="66">
        <f t="shared" si="5"/>
        <v>3.6009187529328428</v>
      </c>
      <c r="AG21" s="66">
        <f t="shared" si="5"/>
        <v>9.7025658956000669</v>
      </c>
      <c r="AH21" s="66">
        <f t="shared" si="5"/>
        <v>-6.9451587433811612</v>
      </c>
      <c r="AI21" s="66">
        <f t="shared" si="5"/>
        <v>7.6861401938271081</v>
      </c>
      <c r="AJ21" s="66">
        <f t="shared" si="5"/>
        <v>7.4837898206579556</v>
      </c>
      <c r="AK21" s="66">
        <f t="shared" si="5"/>
        <v>-3.1925053129960008</v>
      </c>
      <c r="AL21" s="66">
        <f t="shared" si="5"/>
        <v>4.0112542985167954</v>
      </c>
      <c r="AM21" s="98"/>
      <c r="AN21" s="98">
        <f t="shared" si="5"/>
        <v>19.581331469058487</v>
      </c>
      <c r="AO21" s="98">
        <f t="shared" ref="AO21:AP29" si="6">100*(S21-R21)/R21</f>
        <v>1.4798076125715185</v>
      </c>
      <c r="AP21" s="98">
        <f t="shared" si="6"/>
        <v>-2.3489370743087798</v>
      </c>
      <c r="AQ21" s="98">
        <f t="shared" si="2"/>
        <v>8.8384937238493819</v>
      </c>
      <c r="AR21" s="98">
        <f t="shared" si="2"/>
        <v>-4.3825252571862934E-2</v>
      </c>
      <c r="AS21" s="98">
        <f t="shared" si="2"/>
        <v>-16.442444521364557</v>
      </c>
    </row>
    <row r="22" spans="1:45" ht="17.25" customHeight="1" x14ac:dyDescent="0.25">
      <c r="A22" s="5" t="s">
        <v>10</v>
      </c>
      <c r="B22" s="6">
        <v>253.69164089186691</v>
      </c>
      <c r="C22" s="6">
        <v>286.06899999999996</v>
      </c>
      <c r="D22" s="6">
        <v>334.67599999999999</v>
      </c>
      <c r="E22" s="6">
        <f>(338478+359+37336+217)/1000</f>
        <v>376.39</v>
      </c>
      <c r="F22" s="6">
        <f>386.03+0.904+41.092+0.228</f>
        <v>428.25399999999996</v>
      </c>
      <c r="G22" s="6">
        <f>435.471+0.703+52.785+0.27</f>
        <v>489.22899999999993</v>
      </c>
      <c r="H22" s="6">
        <f>54.538+0.313+449.204+0.574</f>
        <v>504.62900000000002</v>
      </c>
      <c r="I22" s="6">
        <f>491.999+0.297+77.003+0.339</f>
        <v>569.63800000000015</v>
      </c>
      <c r="J22" s="6">
        <f>543.4+0.424+80.016+0.343</f>
        <v>624.18299999999988</v>
      </c>
      <c r="K22" s="6">
        <f>601.841+0.689+76.284+0.358</f>
        <v>679.17199999999991</v>
      </c>
      <c r="L22" s="6">
        <f>633.502+0.309+94.033+0.298</f>
        <v>728.14199999999994</v>
      </c>
      <c r="M22" s="6">
        <f>643.241+0.405+102.062+0.343</f>
        <v>746.05099999999993</v>
      </c>
      <c r="N22" s="6">
        <f>684.112+0.396+113.671+0.334</f>
        <v>798.51299999999992</v>
      </c>
      <c r="O22" s="6">
        <f>705.144+0.506+101.839+0.341</f>
        <v>807.83</v>
      </c>
      <c r="P22" s="6">
        <v>829.73299999999995</v>
      </c>
      <c r="Q22" s="127">
        <f>742.37+135.573</f>
        <v>877.94299999999998</v>
      </c>
      <c r="R22" s="6">
        <v>933.19899999999996</v>
      </c>
      <c r="S22" s="6">
        <v>975.67600000000004</v>
      </c>
      <c r="T22" s="6">
        <v>993</v>
      </c>
      <c r="U22" s="6">
        <v>1006.5450000000001</v>
      </c>
      <c r="V22" s="6">
        <v>901.71900000000005</v>
      </c>
      <c r="W22" s="138">
        <v>448.32600000000002</v>
      </c>
      <c r="X22" s="9"/>
      <c r="Y22" s="28">
        <v>12.762485588531284</v>
      </c>
      <c r="Z22" s="28">
        <f t="shared" si="5"/>
        <v>16.991355232478888</v>
      </c>
      <c r="AA22" s="28">
        <f t="shared" si="5"/>
        <v>12.463995028027107</v>
      </c>
      <c r="AB22" s="66">
        <f t="shared" si="5"/>
        <v>13.779324636680034</v>
      </c>
      <c r="AC22" s="66">
        <f t="shared" si="5"/>
        <v>14.238045645808322</v>
      </c>
      <c r="AD22" s="66">
        <f t="shared" si="5"/>
        <v>3.1478101257284612</v>
      </c>
      <c r="AE22" s="66">
        <f t="shared" si="5"/>
        <v>12.88253350481247</v>
      </c>
      <c r="AF22" s="66">
        <f t="shared" si="5"/>
        <v>9.5753794515112602</v>
      </c>
      <c r="AG22" s="66">
        <f t="shared" si="5"/>
        <v>8.8097561131911704</v>
      </c>
      <c r="AH22" s="66">
        <f t="shared" si="5"/>
        <v>7.2102501280971589</v>
      </c>
      <c r="AI22" s="66">
        <f t="shared" si="5"/>
        <v>2.4595477255809985</v>
      </c>
      <c r="AJ22" s="66">
        <f t="shared" si="5"/>
        <v>7.0319589411447732</v>
      </c>
      <c r="AK22" s="66">
        <f t="shared" si="5"/>
        <v>1.1667937779347515</v>
      </c>
      <c r="AL22" s="66">
        <f t="shared" si="5"/>
        <v>2.7113377814639099</v>
      </c>
      <c r="AM22" s="98"/>
      <c r="AN22" s="98">
        <f t="shared" si="5"/>
        <v>6.293802672838666</v>
      </c>
      <c r="AO22" s="98">
        <f t="shared" si="6"/>
        <v>4.5517622714983714</v>
      </c>
      <c r="AP22" s="98">
        <f t="shared" si="6"/>
        <v>1.7755894374771906</v>
      </c>
      <c r="AQ22" s="98">
        <f t="shared" si="2"/>
        <v>1.3640483383685873</v>
      </c>
      <c r="AR22" s="98">
        <f t="shared" si="2"/>
        <v>-10.41443750651983</v>
      </c>
      <c r="AS22" s="98">
        <f t="shared" si="2"/>
        <v>-50.280963359982437</v>
      </c>
    </row>
    <row r="23" spans="1:45" ht="17.25" customHeight="1" x14ac:dyDescent="0.25">
      <c r="A23" s="5" t="s">
        <v>11</v>
      </c>
      <c r="B23" s="6">
        <v>557.71032320673828</v>
      </c>
      <c r="C23" s="6">
        <v>606.11</v>
      </c>
      <c r="D23" s="6">
        <v>631.78899999999999</v>
      </c>
      <c r="E23" s="6">
        <f>(386168+88449+76938+120364)/1000</f>
        <v>671.91899999999998</v>
      </c>
      <c r="F23" s="6">
        <f>399.051+92.366+88.235+122.745</f>
        <v>702.39699999999993</v>
      </c>
      <c r="G23" s="6">
        <f>417.377+59.601+89.973+165.889</f>
        <v>732.84</v>
      </c>
      <c r="H23" s="6">
        <f>93.073+188.142+435.887+83.98</f>
        <v>801.08199999999999</v>
      </c>
      <c r="I23" s="6">
        <f>456.664+98.024+101.403+206.668</f>
        <v>862.75900000000001</v>
      </c>
      <c r="J23" s="6">
        <f>499.798+105.334+105.881+234.125</f>
        <v>945.13800000000003</v>
      </c>
      <c r="K23" s="6">
        <f>515.271+104.907+106.359+239.882</f>
        <v>966.4190000000001</v>
      </c>
      <c r="L23" s="6">
        <f>506.612+104.7+117.097+385.114</f>
        <v>1113.5229999999999</v>
      </c>
      <c r="M23" s="6">
        <f>515.146+106.969+123.329+408.826</f>
        <v>1154.27</v>
      </c>
      <c r="N23" s="6">
        <f>540.972+117.489+139.12+486.781</f>
        <v>1284.3620000000001</v>
      </c>
      <c r="O23" s="6">
        <f>552.039+123.642+170.226+458.187</f>
        <v>1304.0940000000001</v>
      </c>
      <c r="P23" s="6">
        <v>1365.1769999999999</v>
      </c>
      <c r="Q23" s="127">
        <f>836.647+654.818</f>
        <v>1491.4650000000001</v>
      </c>
      <c r="R23" s="6">
        <v>1526.856</v>
      </c>
      <c r="S23" s="6">
        <v>1526.8510000000001</v>
      </c>
      <c r="T23" s="6">
        <v>1517</v>
      </c>
      <c r="U23" s="6">
        <v>1557.3630000000001</v>
      </c>
      <c r="V23" s="6">
        <v>1399.6559999999999</v>
      </c>
      <c r="W23" s="138">
        <v>1477.038</v>
      </c>
      <c r="X23" s="9"/>
      <c r="Y23" s="28">
        <v>8.6782823948769554</v>
      </c>
      <c r="Z23" s="28">
        <f t="shared" si="5"/>
        <v>4.2366897097886476</v>
      </c>
      <c r="AA23" s="28">
        <f t="shared" si="5"/>
        <v>6.3518041624656325</v>
      </c>
      <c r="AB23" s="66">
        <f t="shared" si="5"/>
        <v>4.53596341225653</v>
      </c>
      <c r="AC23" s="66">
        <f t="shared" si="5"/>
        <v>4.3341586026136358</v>
      </c>
      <c r="AD23" s="66">
        <f t="shared" si="5"/>
        <v>9.3119917035096282</v>
      </c>
      <c r="AE23" s="66">
        <f t="shared" si="5"/>
        <v>7.6992118160188374</v>
      </c>
      <c r="AF23" s="66">
        <f t="shared" si="5"/>
        <v>9.5483211418252392</v>
      </c>
      <c r="AG23" s="66">
        <f t="shared" si="5"/>
        <v>2.2516288626634484</v>
      </c>
      <c r="AH23" s="66">
        <f t="shared" si="5"/>
        <v>15.221555039791209</v>
      </c>
      <c r="AI23" s="66">
        <f t="shared" si="5"/>
        <v>3.6592867861732605</v>
      </c>
      <c r="AJ23" s="66">
        <f t="shared" si="5"/>
        <v>11.270499969677815</v>
      </c>
      <c r="AK23" s="66">
        <f t="shared" si="5"/>
        <v>1.536326985694062</v>
      </c>
      <c r="AL23" s="66">
        <f t="shared" si="5"/>
        <v>4.6839414950149187</v>
      </c>
      <c r="AM23" s="98"/>
      <c r="AN23" s="98">
        <f t="shared" si="5"/>
        <v>2.3729018113063227</v>
      </c>
      <c r="AO23" s="98">
        <f t="shared" si="6"/>
        <v>-3.2747030498499961E-4</v>
      </c>
      <c r="AP23" s="98">
        <f t="shared" si="6"/>
        <v>-0.64518410768307533</v>
      </c>
      <c r="AQ23" s="98">
        <f t="shared" si="2"/>
        <v>2.6607119314436423</v>
      </c>
      <c r="AR23" s="98">
        <f t="shared" si="2"/>
        <v>-10.126540825741982</v>
      </c>
      <c r="AS23" s="98">
        <f t="shared" si="2"/>
        <v>5.5286441811416562</v>
      </c>
    </row>
    <row r="24" spans="1:45" ht="17.25" customHeight="1" x14ac:dyDescent="0.25">
      <c r="A24" s="5" t="s">
        <v>12</v>
      </c>
      <c r="B24" s="6">
        <v>262.67035334601474</v>
      </c>
      <c r="C24" s="6">
        <v>264.82400000000001</v>
      </c>
      <c r="D24" s="6">
        <v>262.36900000000003</v>
      </c>
      <c r="E24" s="6">
        <f>(224463+144+100123+107)/1000</f>
        <v>324.83699999999999</v>
      </c>
      <c r="F24" s="6">
        <f>248.471+0.142+233.168+0.097</f>
        <v>481.87799999999999</v>
      </c>
      <c r="G24" s="6">
        <f>251.627+1.131+282.763+0.156</f>
        <v>535.67699999999991</v>
      </c>
      <c r="H24" s="6">
        <f>301.858+0.108+301.405+1.167</f>
        <v>604.53800000000001</v>
      </c>
      <c r="I24" s="6">
        <f>310.999+1.361+315.33+0.167</f>
        <v>627.85700000000008</v>
      </c>
      <c r="J24" s="6">
        <f>348.744+1.187+353.38+0.214</f>
        <v>703.52500000000009</v>
      </c>
      <c r="K24" s="6">
        <f>406.572+0.344+504.29+0.24</f>
        <v>911.44600000000003</v>
      </c>
      <c r="L24" s="6">
        <f>440.825+0.213+736.093+0.682</f>
        <v>1177.8129999999999</v>
      </c>
      <c r="M24" s="6">
        <f>481.459+0.208+627.533+0.84</f>
        <v>1110.04</v>
      </c>
      <c r="N24" s="6">
        <f>505.125+0.223+673.261+0.771</f>
        <v>1179.3799999999999</v>
      </c>
      <c r="O24" s="6">
        <f>591.302+0.245+749.61+1.509</f>
        <v>1342.6660000000002</v>
      </c>
      <c r="P24" s="6">
        <v>1409.2380000000001</v>
      </c>
      <c r="Q24" s="127">
        <f>520.271+438.223</f>
        <v>958.49399999999991</v>
      </c>
      <c r="R24" s="6">
        <v>982.47199999999998</v>
      </c>
      <c r="S24" s="6">
        <v>1124.1120000000001</v>
      </c>
      <c r="T24" s="6">
        <v>1078</v>
      </c>
      <c r="U24" s="6">
        <v>1139.3630000000001</v>
      </c>
      <c r="V24" s="6">
        <v>1273.45</v>
      </c>
      <c r="W24" s="138">
        <v>1406.558</v>
      </c>
      <c r="X24" s="9"/>
      <c r="Y24" s="28">
        <v>0.81990473098739303</v>
      </c>
      <c r="Z24" s="28">
        <f t="shared" si="5"/>
        <v>-0.9270307827085098</v>
      </c>
      <c r="AA24" s="28">
        <f t="shared" si="5"/>
        <v>23.809215265522965</v>
      </c>
      <c r="AB24" s="66">
        <f t="shared" si="5"/>
        <v>48.344554345718009</v>
      </c>
      <c r="AC24" s="66">
        <f t="shared" si="5"/>
        <v>11.16444411241018</v>
      </c>
      <c r="AD24" s="66">
        <f t="shared" si="5"/>
        <v>12.854948037716779</v>
      </c>
      <c r="AE24" s="66">
        <f t="shared" si="5"/>
        <v>3.8573257595056178</v>
      </c>
      <c r="AF24" s="66">
        <f t="shared" si="5"/>
        <v>12.051788862750595</v>
      </c>
      <c r="AG24" s="66">
        <f t="shared" si="5"/>
        <v>29.554173625670717</v>
      </c>
      <c r="AH24" s="66">
        <f t="shared" si="5"/>
        <v>29.224660594264481</v>
      </c>
      <c r="AI24" s="66">
        <f t="shared" si="5"/>
        <v>-5.7541392394208515</v>
      </c>
      <c r="AJ24" s="66">
        <f t="shared" si="5"/>
        <v>6.2466217433605928</v>
      </c>
      <c r="AK24" s="66">
        <f t="shared" si="5"/>
        <v>13.845071139073097</v>
      </c>
      <c r="AL24" s="66">
        <f t="shared" si="5"/>
        <v>4.9581951133044164</v>
      </c>
      <c r="AM24" s="98"/>
      <c r="AN24" s="98">
        <f t="shared" si="5"/>
        <v>2.5016327697408713</v>
      </c>
      <c r="AO24" s="98">
        <f t="shared" si="6"/>
        <v>14.416695844767089</v>
      </c>
      <c r="AP24" s="98">
        <f t="shared" si="6"/>
        <v>-4.1020823547831604</v>
      </c>
      <c r="AQ24" s="98">
        <f t="shared" si="2"/>
        <v>5.6923005565862761</v>
      </c>
      <c r="AR24" s="98">
        <f t="shared" si="2"/>
        <v>11.768593503562954</v>
      </c>
      <c r="AS24" s="98">
        <f t="shared" si="2"/>
        <v>10.452550159016841</v>
      </c>
    </row>
    <row r="25" spans="1:45" ht="17.25" customHeight="1" x14ac:dyDescent="0.25">
      <c r="A25" s="5" t="s">
        <v>112</v>
      </c>
      <c r="B25" s="6">
        <v>163.67090332053422</v>
      </c>
      <c r="C25" s="6">
        <v>169.78800000000001</v>
      </c>
      <c r="D25" s="6">
        <v>169.57499999999999</v>
      </c>
      <c r="E25" s="6">
        <f>(99474+617+77298+212)/1000</f>
        <v>177.601</v>
      </c>
      <c r="F25" s="6">
        <f>97.854+0.695+81.722+0.137</f>
        <v>180.40799999999999</v>
      </c>
      <c r="G25" s="6">
        <f>104.494+0.589+83.118+0.263</f>
        <v>188.464</v>
      </c>
      <c r="H25" s="6">
        <f>85.85+0.351+93.607+0.647</f>
        <v>180.45499999999998</v>
      </c>
      <c r="I25" s="6">
        <f>102.774+0.907+89.859+0.251</f>
        <v>193.791</v>
      </c>
      <c r="J25" s="6">
        <f>111.166+0.608+97.636+0.314</f>
        <v>209.72399999999999</v>
      </c>
      <c r="K25" s="6">
        <f>105.627+0.467+97.224+0.405</f>
        <v>203.72299999999998</v>
      </c>
      <c r="L25" s="6">
        <f>100.812+0.382+93.019+1.285</f>
        <v>195.49800000000002</v>
      </c>
      <c r="M25" s="6">
        <f>109.179+0.41+99.655+0.731</f>
        <v>209.97499999999999</v>
      </c>
      <c r="N25" s="6">
        <f>112.88+0.523+101.477+1.074</f>
        <v>215.95400000000001</v>
      </c>
      <c r="O25" s="6">
        <f>114.135+0.524+84.641+0.751</f>
        <v>200.05100000000002</v>
      </c>
      <c r="P25" s="6">
        <v>191.352</v>
      </c>
      <c r="Q25" s="127">
        <f>115.77+86.193</f>
        <v>201.96299999999999</v>
      </c>
      <c r="R25" s="6">
        <v>208.102</v>
      </c>
      <c r="S25" s="6">
        <v>200.815</v>
      </c>
      <c r="T25" s="6">
        <v>193</v>
      </c>
      <c r="U25" s="6">
        <v>185.11</v>
      </c>
      <c r="V25" s="6">
        <v>139.29599999999999</v>
      </c>
      <c r="W25" s="138">
        <v>158.816</v>
      </c>
      <c r="X25" s="9"/>
      <c r="Y25" s="28">
        <v>3.7374368659076955</v>
      </c>
      <c r="Z25" s="28">
        <f t="shared" si="5"/>
        <v>-0.12545056187717757</v>
      </c>
      <c r="AA25" s="28">
        <f t="shared" si="5"/>
        <v>4.7330089930709187</v>
      </c>
      <c r="AB25" s="66">
        <f t="shared" si="5"/>
        <v>1.5805091187549551</v>
      </c>
      <c r="AC25" s="66">
        <f t="shared" si="5"/>
        <v>4.4654339053700571</v>
      </c>
      <c r="AD25" s="66">
        <f t="shared" si="5"/>
        <v>-4.2496179641735372</v>
      </c>
      <c r="AE25" s="66">
        <f t="shared" si="5"/>
        <v>7.3902080851181813</v>
      </c>
      <c r="AF25" s="66">
        <f t="shared" si="5"/>
        <v>8.2217440438410421</v>
      </c>
      <c r="AG25" s="66">
        <f t="shared" si="5"/>
        <v>-2.8613797181057032</v>
      </c>
      <c r="AH25" s="66">
        <f t="shared" si="5"/>
        <v>-4.0373448260628235</v>
      </c>
      <c r="AI25" s="66">
        <f t="shared" si="5"/>
        <v>7.4051908459421449</v>
      </c>
      <c r="AJ25" s="66">
        <f t="shared" si="5"/>
        <v>2.8474818430765634</v>
      </c>
      <c r="AK25" s="66">
        <f t="shared" si="5"/>
        <v>-7.3640682737990462</v>
      </c>
      <c r="AL25" s="66">
        <f t="shared" si="5"/>
        <v>-4.348391160254141</v>
      </c>
      <c r="AM25" s="98"/>
      <c r="AN25" s="98">
        <f t="shared" si="5"/>
        <v>3.0396656813376759</v>
      </c>
      <c r="AO25" s="98">
        <f t="shared" si="6"/>
        <v>-3.5016482301948111</v>
      </c>
      <c r="AP25" s="98">
        <f t="shared" si="6"/>
        <v>-3.8916415606403891</v>
      </c>
      <c r="AQ25" s="98">
        <f t="shared" si="2"/>
        <v>-4.0880829015543974</v>
      </c>
      <c r="AR25" s="98">
        <f t="shared" si="2"/>
        <v>-24.749608340986452</v>
      </c>
      <c r="AS25" s="98">
        <f t="shared" si="2"/>
        <v>14.013324144268328</v>
      </c>
    </row>
    <row r="26" spans="1:45" ht="17.25" customHeight="1" x14ac:dyDescent="0.25">
      <c r="A26" s="5" t="s">
        <v>111</v>
      </c>
      <c r="B26" s="6">
        <v>94.577789438807343</v>
      </c>
      <c r="C26" s="6">
        <v>100.745</v>
      </c>
      <c r="D26" s="6">
        <v>105.989</v>
      </c>
      <c r="E26" s="6">
        <f>(104246)/1000</f>
        <v>104.246</v>
      </c>
      <c r="F26" s="6">
        <f>115.776</f>
        <v>115.776</v>
      </c>
      <c r="G26" s="6">
        <f>112.847</f>
        <v>112.84699999999999</v>
      </c>
      <c r="H26" s="6">
        <f>115.277</f>
        <v>115.277</v>
      </c>
      <c r="I26" s="6">
        <v>112.623</v>
      </c>
      <c r="J26" s="6">
        <f>118.509+0.033</f>
        <v>118.542</v>
      </c>
      <c r="K26" s="6">
        <f>125.745+0.002</f>
        <v>125.747</v>
      </c>
      <c r="L26" s="6">
        <f>130.831</f>
        <v>130.83099999999999</v>
      </c>
      <c r="M26" s="6">
        <f>130.264</f>
        <v>130.26400000000001</v>
      </c>
      <c r="N26" s="6">
        <f>133.406+0.001</f>
        <v>133.40700000000001</v>
      </c>
      <c r="O26" s="6">
        <f>142.37</f>
        <v>142.37</v>
      </c>
      <c r="P26" s="6">
        <v>143.77000000000001</v>
      </c>
      <c r="Q26" s="127">
        <f>138.647</f>
        <v>138.64699999999999</v>
      </c>
      <c r="R26" s="6">
        <v>134.73099999999999</v>
      </c>
      <c r="S26" s="6">
        <v>129.22999999999999</v>
      </c>
      <c r="T26" s="6">
        <v>115</v>
      </c>
      <c r="U26" s="6">
        <v>126.898</v>
      </c>
      <c r="V26" s="6">
        <v>132.25299999999999</v>
      </c>
      <c r="W26" s="138">
        <v>131.84399999999999</v>
      </c>
      <c r="X26" s="9"/>
      <c r="Y26" s="28">
        <v>6.520781039382296</v>
      </c>
      <c r="Z26" s="28">
        <f t="shared" si="5"/>
        <v>5.2052211027842565</v>
      </c>
      <c r="AA26" s="28">
        <f t="shared" si="5"/>
        <v>-1.6445102793686224</v>
      </c>
      <c r="AB26" s="66">
        <f t="shared" si="5"/>
        <v>11.060376417320569</v>
      </c>
      <c r="AC26" s="66">
        <f t="shared" si="5"/>
        <v>-2.5298852957435067</v>
      </c>
      <c r="AD26" s="66">
        <f t="shared" si="5"/>
        <v>2.1533580866128537</v>
      </c>
      <c r="AE26" s="66">
        <f t="shared" si="5"/>
        <v>-2.3022805937003881</v>
      </c>
      <c r="AF26" s="66">
        <f t="shared" si="5"/>
        <v>5.2555872246343966</v>
      </c>
      <c r="AG26" s="66">
        <f t="shared" si="5"/>
        <v>6.0780145433685933</v>
      </c>
      <c r="AH26" s="66">
        <f t="shared" si="5"/>
        <v>4.0430388001304118</v>
      </c>
      <c r="AI26" s="66">
        <f t="shared" si="5"/>
        <v>-0.43338352531126328</v>
      </c>
      <c r="AJ26" s="66">
        <f t="shared" si="5"/>
        <v>2.4127924829576863</v>
      </c>
      <c r="AK26" s="66">
        <f t="shared" si="5"/>
        <v>6.7185380077507126</v>
      </c>
      <c r="AL26" s="66">
        <f t="shared" si="5"/>
        <v>0.98335323452975043</v>
      </c>
      <c r="AM26" s="98"/>
      <c r="AN26" s="98">
        <f t="shared" si="5"/>
        <v>-2.8244390430373518</v>
      </c>
      <c r="AO26" s="98">
        <f t="shared" si="6"/>
        <v>-4.0829504716806113</v>
      </c>
      <c r="AP26" s="98">
        <f t="shared" si="6"/>
        <v>-11.01137506770873</v>
      </c>
      <c r="AQ26" s="98">
        <f t="shared" si="2"/>
        <v>10.346086956521736</v>
      </c>
      <c r="AR26" s="98">
        <f t="shared" si="2"/>
        <v>4.2199246639032841</v>
      </c>
      <c r="AS26" s="98">
        <f t="shared" si="2"/>
        <v>-0.30925574467119221</v>
      </c>
    </row>
    <row r="27" spans="1:45" ht="17.25" customHeight="1" x14ac:dyDescent="0.25">
      <c r="A27" s="5" t="s">
        <v>13</v>
      </c>
      <c r="B27" s="6">
        <v>188.34592219962897</v>
      </c>
      <c r="C27" s="6">
        <v>208.374</v>
      </c>
      <c r="D27" s="6">
        <v>195.554</v>
      </c>
      <c r="E27" s="6">
        <f>(195132+41919+4479)/1000</f>
        <v>241.53</v>
      </c>
      <c r="F27" s="6">
        <f>367.678+41.771+4.737</f>
        <v>414.18600000000004</v>
      </c>
      <c r="G27" s="6">
        <f>508.666+69.063+5.722</f>
        <v>583.45100000000002</v>
      </c>
      <c r="H27" s="6">
        <f>564.75+70.67+7.314</f>
        <v>642.73399999999992</v>
      </c>
      <c r="I27" s="6">
        <f>599.576+75.502+7.526</f>
        <v>682.60399999999993</v>
      </c>
      <c r="J27" s="6">
        <f>634.647+80.714+10.297</f>
        <v>725.65800000000013</v>
      </c>
      <c r="K27" s="6">
        <f>678.957+88.44+6.602+0.011</f>
        <v>774.00999999999988</v>
      </c>
      <c r="L27" s="6">
        <f>691.594+242.425+6.784+0.011</f>
        <v>940.81399999999996</v>
      </c>
      <c r="M27" s="6">
        <f>707.502+257.733+7.054+0.005</f>
        <v>972.29399999999987</v>
      </c>
      <c r="N27" s="6">
        <f>824.701+279.017+7.447+0.013</f>
        <v>1111.1779999999999</v>
      </c>
      <c r="O27" s="6">
        <f>519.468+292.797+8.616+0.003</f>
        <v>820.88400000000001</v>
      </c>
      <c r="P27" s="6">
        <v>812.505</v>
      </c>
      <c r="Q27" s="127">
        <f>715.578+8.734</f>
        <v>724.31200000000001</v>
      </c>
      <c r="R27" s="6">
        <v>764.01800000000003</v>
      </c>
      <c r="S27" s="6">
        <v>753.21299999999997</v>
      </c>
      <c r="T27" s="6">
        <v>808</v>
      </c>
      <c r="U27" s="6">
        <v>831.86199999999997</v>
      </c>
      <c r="V27" s="6">
        <v>849.86800000000005</v>
      </c>
      <c r="W27" s="138">
        <v>817.62099999999998</v>
      </c>
      <c r="X27" s="9"/>
      <c r="Y27" s="28">
        <v>10.633666801208015</v>
      </c>
      <c r="Z27" s="28">
        <f t="shared" si="5"/>
        <v>-6.1523990517051041</v>
      </c>
      <c r="AA27" s="28">
        <f t="shared" si="5"/>
        <v>23.510641561921517</v>
      </c>
      <c r="AB27" s="66">
        <f t="shared" si="5"/>
        <v>71.484287666128438</v>
      </c>
      <c r="AC27" s="66">
        <f t="shared" si="5"/>
        <v>40.866905206839434</v>
      </c>
      <c r="AD27" s="66">
        <f t="shared" si="5"/>
        <v>10.160750431484376</v>
      </c>
      <c r="AE27" s="66">
        <f t="shared" si="5"/>
        <v>6.2031882551724369</v>
      </c>
      <c r="AF27" s="66">
        <f t="shared" si="5"/>
        <v>6.3073172732653484</v>
      </c>
      <c r="AG27" s="66">
        <f t="shared" si="5"/>
        <v>6.6631939563816207</v>
      </c>
      <c r="AH27" s="66">
        <f t="shared" si="5"/>
        <v>21.550625960904913</v>
      </c>
      <c r="AI27" s="66">
        <f t="shared" si="5"/>
        <v>3.3460386431324265</v>
      </c>
      <c r="AJ27" s="66">
        <f t="shared" si="5"/>
        <v>14.284156849677158</v>
      </c>
      <c r="AK27" s="66">
        <f t="shared" si="5"/>
        <v>-26.124887281785629</v>
      </c>
      <c r="AL27" s="66">
        <f t="shared" si="5"/>
        <v>-1.0207288727761803</v>
      </c>
      <c r="AM27" s="98"/>
      <c r="AN27" s="98">
        <f t="shared" si="5"/>
        <v>5.4818917814422541</v>
      </c>
      <c r="AO27" s="98">
        <f t="shared" si="6"/>
        <v>-1.4142336960647606</v>
      </c>
      <c r="AP27" s="98">
        <f t="shared" si="6"/>
        <v>7.2737724919777058</v>
      </c>
      <c r="AQ27" s="98">
        <f t="shared" si="2"/>
        <v>2.9532178217821738</v>
      </c>
      <c r="AR27" s="98">
        <f t="shared" si="2"/>
        <v>2.1645417148517527</v>
      </c>
      <c r="AS27" s="98">
        <f t="shared" si="2"/>
        <v>-3.7943539467305594</v>
      </c>
    </row>
    <row r="28" spans="1:45" ht="17.25" customHeight="1" x14ac:dyDescent="0.25">
      <c r="A28" s="5" t="s">
        <v>0</v>
      </c>
      <c r="B28" s="6">
        <v>320.18860594073391</v>
      </c>
      <c r="C28" s="6">
        <v>330.54299999999995</v>
      </c>
      <c r="D28" s="6">
        <v>373.12600000000003</v>
      </c>
      <c r="E28" s="6">
        <f>(298776+35508+45439+2763)/1000</f>
        <v>382.48599999999999</v>
      </c>
      <c r="F28" s="6">
        <f>318.435+33.725+66.143+3.857</f>
        <v>422.16</v>
      </c>
      <c r="G28" s="6">
        <f>394.72+33.11+73.878+4.513</f>
        <v>506.221</v>
      </c>
      <c r="H28" s="6">
        <f>388.501+30.043+96.65+4.436</f>
        <v>519.63</v>
      </c>
      <c r="I28" s="6">
        <f>419.403+32.502+100.386+8.801</f>
        <v>561.0920000000001</v>
      </c>
      <c r="J28" s="6">
        <f>511.994+34.858+115.429+10.835</f>
        <v>673.11599999999999</v>
      </c>
      <c r="K28" s="6">
        <f>543.904+34.982+143.763+12.659</f>
        <v>735.30799999999999</v>
      </c>
      <c r="L28" s="6">
        <f>556.98+35.956+175.189+139.88+10</f>
        <v>918.005</v>
      </c>
      <c r="M28" s="6">
        <f>719.944+32.065+191.153+156.853+3</f>
        <v>1103.0150000000001</v>
      </c>
      <c r="N28" s="6">
        <f>836.134+55.182+203.048+119.418</f>
        <v>1213.7820000000002</v>
      </c>
      <c r="O28" s="6">
        <f>671.571+53.166+215.022+165.908</f>
        <v>1105.6669999999999</v>
      </c>
      <c r="P28" s="6">
        <v>1139.3430000000001</v>
      </c>
      <c r="Q28" s="127">
        <f>756.731+483.889+62.287+154.694</f>
        <v>1457.6009999999999</v>
      </c>
      <c r="R28" s="6">
        <v>1139.335</v>
      </c>
      <c r="S28" s="6">
        <v>1182</v>
      </c>
      <c r="T28" s="6">
        <v>1216</v>
      </c>
      <c r="U28" s="6">
        <v>1255</v>
      </c>
      <c r="V28" s="6">
        <v>1327.498</v>
      </c>
      <c r="W28" s="138">
        <v>1687.4370000000001</v>
      </c>
      <c r="X28" s="9"/>
      <c r="Y28" s="28">
        <v>3.2338421377750755</v>
      </c>
      <c r="Z28" s="28">
        <f t="shared" si="5"/>
        <v>12.882741428497983</v>
      </c>
      <c r="AA28" s="28">
        <f t="shared" si="5"/>
        <v>2.5085359905232969</v>
      </c>
      <c r="AB28" s="66">
        <f t="shared" si="5"/>
        <v>10.372667234879193</v>
      </c>
      <c r="AC28" s="66">
        <f t="shared" si="5"/>
        <v>19.912118628008333</v>
      </c>
      <c r="AD28" s="66">
        <f t="shared" si="5"/>
        <v>2.6488430942216921</v>
      </c>
      <c r="AE28" s="66">
        <f t="shared" si="5"/>
        <v>7.9791390027519773</v>
      </c>
      <c r="AF28" s="66">
        <f t="shared" si="5"/>
        <v>19.965353275398662</v>
      </c>
      <c r="AG28" s="66">
        <f t="shared" si="5"/>
        <v>9.2394178715110034</v>
      </c>
      <c r="AH28" s="66">
        <f t="shared" si="5"/>
        <v>24.846322901423623</v>
      </c>
      <c r="AI28" s="66">
        <f t="shared" si="5"/>
        <v>20.153485002805006</v>
      </c>
      <c r="AJ28" s="66">
        <f t="shared" si="5"/>
        <v>10.042202508578763</v>
      </c>
      <c r="AK28" s="66">
        <f t="shared" si="5"/>
        <v>-8.9072831859427986</v>
      </c>
      <c r="AL28" s="66">
        <f t="shared" si="5"/>
        <v>3.0457633265712154</v>
      </c>
      <c r="AM28" s="98"/>
      <c r="AN28" s="98">
        <f t="shared" si="5"/>
        <v>-21.834919158260721</v>
      </c>
      <c r="AO28" s="98">
        <f t="shared" si="6"/>
        <v>3.744728284481734</v>
      </c>
      <c r="AP28" s="98">
        <f t="shared" si="6"/>
        <v>2.8764805414551606</v>
      </c>
      <c r="AQ28" s="98">
        <f t="shared" si="2"/>
        <v>3.2072368421052633</v>
      </c>
      <c r="AR28" s="98">
        <f t="shared" si="2"/>
        <v>5.7767330677290873</v>
      </c>
      <c r="AS28" s="98">
        <f t="shared" si="2"/>
        <v>27.114089814071288</v>
      </c>
    </row>
    <row r="29" spans="1:45" ht="17.25" customHeight="1" x14ac:dyDescent="0.25">
      <c r="A29" s="100" t="s">
        <v>77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128">
        <f>154.694+62.287</f>
        <v>216.98099999999999</v>
      </c>
      <c r="R29" s="102">
        <v>227.857</v>
      </c>
      <c r="S29" s="102">
        <v>231.96600000000001</v>
      </c>
      <c r="T29" s="102">
        <v>268</v>
      </c>
      <c r="U29" s="102">
        <v>314</v>
      </c>
      <c r="V29" s="102">
        <v>348.13200000000001</v>
      </c>
      <c r="W29" s="139">
        <v>439.40500000000003</v>
      </c>
      <c r="X29" s="9"/>
      <c r="Y29" s="28"/>
      <c r="Z29" s="28"/>
      <c r="AA29" s="28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98"/>
      <c r="AN29" s="98">
        <f t="shared" si="5"/>
        <v>5.0124204423428793</v>
      </c>
      <c r="AO29" s="98">
        <f t="shared" si="6"/>
        <v>1.8033240146232106</v>
      </c>
      <c r="AP29" s="98">
        <f t="shared" si="6"/>
        <v>15.534173111576692</v>
      </c>
      <c r="AQ29" s="98">
        <f t="shared" si="2"/>
        <v>17.164179104477611</v>
      </c>
      <c r="AR29" s="98">
        <f t="shared" si="2"/>
        <v>10.870063694267518</v>
      </c>
      <c r="AS29" s="98">
        <f t="shared" si="2"/>
        <v>26.217928831592623</v>
      </c>
    </row>
    <row r="30" spans="1:45" ht="10.5" customHeight="1" x14ac:dyDescent="0.2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127"/>
      <c r="R30" s="6"/>
      <c r="S30" s="6"/>
      <c r="T30" s="6"/>
      <c r="U30" s="6"/>
      <c r="V30" s="6"/>
      <c r="W30" s="138"/>
      <c r="X30" s="9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87"/>
      <c r="AN30" s="87"/>
      <c r="AO30" s="98"/>
      <c r="AP30" s="98"/>
      <c r="AQ30" s="98"/>
      <c r="AR30" s="98"/>
      <c r="AS30" s="98"/>
    </row>
    <row r="31" spans="1:45" x14ac:dyDescent="0.25">
      <c r="A31" s="50" t="s">
        <v>92</v>
      </c>
      <c r="B31" s="51">
        <v>3294.6886252823456</v>
      </c>
      <c r="C31" s="51">
        <v>3557.66</v>
      </c>
      <c r="D31" s="51">
        <v>3794.7570000000005</v>
      </c>
      <c r="E31" s="51">
        <f t="shared" ref="E31:P31" si="7">SUM(E13:E28)</f>
        <v>3357.0740000000001</v>
      </c>
      <c r="F31" s="51">
        <f t="shared" si="7"/>
        <v>3930.7579999999998</v>
      </c>
      <c r="G31" s="51">
        <f t="shared" si="7"/>
        <v>5131.9669999999987</v>
      </c>
      <c r="H31" s="51">
        <f t="shared" si="7"/>
        <v>5500.4039999999995</v>
      </c>
      <c r="I31" s="51">
        <f t="shared" si="7"/>
        <v>5984.8790000000008</v>
      </c>
      <c r="J31" s="51">
        <f t="shared" si="7"/>
        <v>6662.3320000000003</v>
      </c>
      <c r="K31" s="51">
        <f t="shared" si="7"/>
        <v>7177.4579999999996</v>
      </c>
      <c r="L31" s="51">
        <f t="shared" si="7"/>
        <v>8152.7910000000002</v>
      </c>
      <c r="M31" s="51">
        <f t="shared" si="7"/>
        <v>8668.2690000000002</v>
      </c>
      <c r="N31" s="51">
        <f t="shared" si="7"/>
        <v>9284.3829999999998</v>
      </c>
      <c r="O31" s="51">
        <f t="shared" si="7"/>
        <v>9365.1530000000002</v>
      </c>
      <c r="P31" s="51">
        <f t="shared" si="7"/>
        <v>9562.2649999999994</v>
      </c>
      <c r="Q31" s="129">
        <f>SUM(Q13:Q28)-Q14</f>
        <v>10091.757000000001</v>
      </c>
      <c r="R31" s="51">
        <f>SUM(R13:R28)-R14</f>
        <v>10189.209000000001</v>
      </c>
      <c r="S31" s="51">
        <v>10542</v>
      </c>
      <c r="T31" s="51">
        <f>SUM(T13:T28)-T14</f>
        <v>10793</v>
      </c>
      <c r="U31" s="51">
        <f>SUM(U13:U28)-U14</f>
        <v>11079.635999999999</v>
      </c>
      <c r="V31" s="51">
        <f>SUM(V13:V28)-V14</f>
        <v>11133.846000000003</v>
      </c>
      <c r="W31" s="140">
        <f>SUM(W13:W28)-W14</f>
        <v>10903.494999999999</v>
      </c>
      <c r="X31" s="10"/>
      <c r="Y31" s="29">
        <v>7.981676104372939</v>
      </c>
      <c r="Z31" s="29">
        <f t="shared" ref="Z31:AL31" si="8">100*(D31-C31)/C31</f>
        <v>6.6644086281432369</v>
      </c>
      <c r="AA31" s="29">
        <f t="shared" si="8"/>
        <v>-11.533887413607786</v>
      </c>
      <c r="AB31" s="65">
        <f t="shared" si="8"/>
        <v>17.088810076870505</v>
      </c>
      <c r="AC31" s="65">
        <f t="shared" si="8"/>
        <v>30.559220384465259</v>
      </c>
      <c r="AD31" s="65">
        <f t="shared" si="8"/>
        <v>7.1792550497694343</v>
      </c>
      <c r="AE31" s="65">
        <f t="shared" si="8"/>
        <v>8.8079893767803483</v>
      </c>
      <c r="AF31" s="65">
        <f t="shared" si="8"/>
        <v>11.319410133437945</v>
      </c>
      <c r="AG31" s="65">
        <f t="shared" si="8"/>
        <v>7.7319172926236535</v>
      </c>
      <c r="AH31" s="65">
        <f t="shared" si="8"/>
        <v>13.588836047525469</v>
      </c>
      <c r="AI31" s="65">
        <f t="shared" si="8"/>
        <v>6.3227181955234721</v>
      </c>
      <c r="AJ31" s="65">
        <f t="shared" si="8"/>
        <v>7.1076935891121922</v>
      </c>
      <c r="AK31" s="65">
        <f t="shared" si="8"/>
        <v>0.86995549408076378</v>
      </c>
      <c r="AL31" s="65">
        <f t="shared" si="8"/>
        <v>2.1047387052832898</v>
      </c>
      <c r="AM31" s="99"/>
      <c r="AN31" s="99">
        <f>100*(R31-Q31)/Q31</f>
        <v>0.96565939905211062</v>
      </c>
      <c r="AO31" s="99">
        <f>100*(S31-R31)/R31</f>
        <v>3.4623983078568634</v>
      </c>
      <c r="AP31" s="99">
        <f>100*(T31-S31)/S31</f>
        <v>2.3809523809523809</v>
      </c>
      <c r="AQ31" s="99">
        <f t="shared" si="2"/>
        <v>2.6557583619012193</v>
      </c>
      <c r="AR31" s="99">
        <f t="shared" si="2"/>
        <v>0.4892760014860108</v>
      </c>
      <c r="AS31" s="99">
        <f t="shared" si="2"/>
        <v>-2.0689256883919906</v>
      </c>
    </row>
    <row r="32" spans="1:45" ht="8.25" customHeight="1" x14ac:dyDescent="0.25"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129"/>
      <c r="R32" s="51"/>
      <c r="S32" s="51"/>
      <c r="T32" s="51"/>
      <c r="U32" s="51"/>
      <c r="V32" s="51"/>
      <c r="W32" s="140"/>
      <c r="X32" s="10"/>
      <c r="Y32" s="29"/>
      <c r="Z32" s="29"/>
      <c r="AA32" s="29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99"/>
      <c r="AN32" s="99"/>
      <c r="AO32" s="98"/>
      <c r="AP32" s="98"/>
      <c r="AQ32" s="98"/>
      <c r="AR32" s="98"/>
      <c r="AS32" s="98"/>
    </row>
    <row r="33" spans="1:45" x14ac:dyDescent="0.25">
      <c r="A33" s="50" t="s">
        <v>52</v>
      </c>
      <c r="B33" s="51">
        <v>242.24123867044079</v>
      </c>
      <c r="C33" s="51">
        <v>279.524</v>
      </c>
      <c r="D33" s="51">
        <v>330.017</v>
      </c>
      <c r="E33" s="51">
        <f>346.254+16.13</f>
        <v>362.38400000000001</v>
      </c>
      <c r="F33" s="51">
        <f>420.118+51.223</f>
        <v>471.34100000000001</v>
      </c>
      <c r="G33" s="51">
        <f>525.424+75.527</f>
        <v>600.95100000000002</v>
      </c>
      <c r="H33" s="51">
        <f>564.336+86.667</f>
        <v>651.00300000000004</v>
      </c>
      <c r="I33" s="51">
        <f>101.246+599.467</f>
        <v>700.71299999999997</v>
      </c>
      <c r="J33" s="51">
        <f>136.617+714.074</f>
        <v>850.69099999999992</v>
      </c>
      <c r="K33" s="51">
        <f>829.404+381.571</f>
        <v>1210.9749999999999</v>
      </c>
      <c r="L33" s="51">
        <f>388.681+778.387</f>
        <v>1167.068</v>
      </c>
      <c r="M33" s="51">
        <f>431.011+835.769</f>
        <v>1266.78</v>
      </c>
      <c r="N33" s="51">
        <v>1236.691</v>
      </c>
      <c r="O33" s="51">
        <f>809.689+513.342</f>
        <v>1323.0309999999999</v>
      </c>
      <c r="P33" s="51">
        <v>1248.319</v>
      </c>
      <c r="Q33" s="129"/>
      <c r="R33" s="51"/>
      <c r="S33" s="51"/>
      <c r="T33" s="51"/>
      <c r="U33" s="51"/>
      <c r="V33" s="51"/>
      <c r="W33" s="140"/>
      <c r="X33" s="10"/>
      <c r="Y33" s="29">
        <v>15.390757384741111</v>
      </c>
      <c r="Z33" s="29">
        <f t="shared" ref="Z33:AL33" si="9">100*(D33-C33)/C33</f>
        <v>18.063922954737336</v>
      </c>
      <c r="AA33" s="29">
        <f t="shared" si="9"/>
        <v>9.8076765742370906</v>
      </c>
      <c r="AB33" s="65">
        <f t="shared" si="9"/>
        <v>30.066724800211926</v>
      </c>
      <c r="AC33" s="65">
        <f t="shared" si="9"/>
        <v>27.498138290537003</v>
      </c>
      <c r="AD33" s="65">
        <f t="shared" si="9"/>
        <v>8.3287988538167053</v>
      </c>
      <c r="AE33" s="65">
        <f t="shared" si="9"/>
        <v>7.6359095119377214</v>
      </c>
      <c r="AF33" s="65">
        <f t="shared" si="9"/>
        <v>21.403627448042204</v>
      </c>
      <c r="AG33" s="65">
        <f t="shared" si="9"/>
        <v>42.351923318807891</v>
      </c>
      <c r="AH33" s="65">
        <f t="shared" si="9"/>
        <v>-3.6257561056173686</v>
      </c>
      <c r="AI33" s="65">
        <f t="shared" si="9"/>
        <v>8.5438037886395648</v>
      </c>
      <c r="AJ33" s="65">
        <f t="shared" si="9"/>
        <v>-2.3752348474083851</v>
      </c>
      <c r="AK33" s="65">
        <f t="shared" si="9"/>
        <v>6.9815337865319567</v>
      </c>
      <c r="AL33" s="65">
        <f t="shared" si="9"/>
        <v>-5.647033213885388</v>
      </c>
      <c r="AM33" s="99"/>
      <c r="AN33" s="99"/>
      <c r="AO33" s="98"/>
      <c r="AP33" s="98"/>
      <c r="AQ33" s="98"/>
      <c r="AR33" s="98"/>
      <c r="AS33" s="98"/>
    </row>
    <row r="34" spans="1:45" ht="7.5" customHeight="1" x14ac:dyDescent="0.25">
      <c r="A34" s="50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129"/>
      <c r="R34" s="51"/>
      <c r="S34" s="51"/>
      <c r="T34" s="51"/>
      <c r="U34" s="51"/>
      <c r="V34" s="51"/>
      <c r="W34" s="140"/>
      <c r="X34" s="10"/>
      <c r="Y34" s="29"/>
      <c r="Z34" s="29"/>
      <c r="AA34" s="29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99"/>
      <c r="AN34" s="99"/>
      <c r="AO34" s="98"/>
      <c r="AP34" s="98"/>
      <c r="AQ34" s="98"/>
      <c r="AR34" s="98"/>
      <c r="AS34" s="98"/>
    </row>
    <row r="35" spans="1:45" x14ac:dyDescent="0.25">
      <c r="A35" s="50" t="s">
        <v>116</v>
      </c>
      <c r="B35" s="51">
        <v>3536.9298639527865</v>
      </c>
      <c r="C35" s="51">
        <v>3837.1839999999997</v>
      </c>
      <c r="D35" s="51">
        <v>4124.7740000000003</v>
      </c>
      <c r="E35" s="51">
        <f t="shared" ref="E35:J35" si="10">E31+E33</f>
        <v>3719.4580000000001</v>
      </c>
      <c r="F35" s="51">
        <f t="shared" si="10"/>
        <v>4402.0990000000002</v>
      </c>
      <c r="G35" s="51">
        <f t="shared" si="10"/>
        <v>5732.9179999999988</v>
      </c>
      <c r="H35" s="51">
        <f t="shared" si="10"/>
        <v>6151.4069999999992</v>
      </c>
      <c r="I35" s="51">
        <f t="shared" si="10"/>
        <v>6685.5920000000006</v>
      </c>
      <c r="J35" s="51">
        <f t="shared" si="10"/>
        <v>7513.0230000000001</v>
      </c>
      <c r="K35" s="51">
        <f t="shared" ref="K35:P35" si="11">K31+K33</f>
        <v>8388.4329999999991</v>
      </c>
      <c r="L35" s="51">
        <f t="shared" si="11"/>
        <v>9319.8590000000004</v>
      </c>
      <c r="M35" s="51">
        <f t="shared" si="11"/>
        <v>9935.0490000000009</v>
      </c>
      <c r="N35" s="51">
        <f t="shared" si="11"/>
        <v>10521.074000000001</v>
      </c>
      <c r="O35" s="51">
        <f t="shared" si="11"/>
        <v>10688.184000000001</v>
      </c>
      <c r="P35" s="51">
        <f t="shared" si="11"/>
        <v>10810.583999999999</v>
      </c>
      <c r="Q35" s="129">
        <f t="shared" ref="Q35:R35" si="12">Q31+Q33</f>
        <v>10091.757000000001</v>
      </c>
      <c r="R35" s="51">
        <f t="shared" si="12"/>
        <v>10189.209000000001</v>
      </c>
      <c r="S35" s="51">
        <v>10542</v>
      </c>
      <c r="T35" s="51">
        <v>10794</v>
      </c>
      <c r="U35" s="51">
        <v>11080</v>
      </c>
      <c r="V35" s="51">
        <v>11134.032000000001</v>
      </c>
      <c r="W35" s="140">
        <v>9581.3029999999999</v>
      </c>
      <c r="X35" s="10"/>
      <c r="Y35" s="29">
        <v>8.4891176131962247</v>
      </c>
      <c r="Z35" s="29">
        <f t="shared" ref="Z35:AN35" si="13">100*(D35-C35)/C35</f>
        <v>7.4948191173527414</v>
      </c>
      <c r="AA35" s="29">
        <f t="shared" si="13"/>
        <v>-9.826380790802121</v>
      </c>
      <c r="AB35" s="58">
        <f t="shared" si="13"/>
        <v>18.353238563253033</v>
      </c>
      <c r="AC35" s="65">
        <f t="shared" si="13"/>
        <v>30.231464580873769</v>
      </c>
      <c r="AD35" s="65">
        <f t="shared" si="13"/>
        <v>7.2997555520591888</v>
      </c>
      <c r="AE35" s="65">
        <f t="shared" si="13"/>
        <v>8.6839482414348677</v>
      </c>
      <c r="AF35" s="65">
        <f t="shared" si="13"/>
        <v>12.376331071354631</v>
      </c>
      <c r="AG35" s="65">
        <f t="shared" si="13"/>
        <v>11.651900972484697</v>
      </c>
      <c r="AH35" s="65">
        <f t="shared" si="13"/>
        <v>11.103694814037393</v>
      </c>
      <c r="AI35" s="65">
        <f t="shared" si="13"/>
        <v>6.6008509356203833</v>
      </c>
      <c r="AJ35" s="65">
        <f t="shared" si="13"/>
        <v>5.8985617484121073</v>
      </c>
      <c r="AK35" s="65">
        <f t="shared" si="13"/>
        <v>1.5883359436498647</v>
      </c>
      <c r="AL35" s="65">
        <f t="shared" si="13"/>
        <v>1.1451898657433088</v>
      </c>
      <c r="AM35" s="99">
        <f t="shared" si="13"/>
        <v>-6.6492892520884865</v>
      </c>
      <c r="AN35" s="99">
        <f t="shared" si="13"/>
        <v>0.96565939905211062</v>
      </c>
      <c r="AO35" s="99">
        <f>100*(S35-R35)/R35</f>
        <v>3.4623983078568634</v>
      </c>
      <c r="AP35" s="99">
        <f>100*(T35-S35)/S35</f>
        <v>2.3904382470119523</v>
      </c>
      <c r="AQ35" s="99">
        <f t="shared" si="2"/>
        <v>2.6496201593477857</v>
      </c>
      <c r="AR35" s="99">
        <f t="shared" si="2"/>
        <v>0.48765342960289765</v>
      </c>
      <c r="AS35" s="99">
        <f t="shared" si="2"/>
        <v>-13.945792503560265</v>
      </c>
    </row>
    <row r="36" spans="1:45" x14ac:dyDescent="0.25"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87"/>
      <c r="AN36" s="31"/>
    </row>
    <row r="37" spans="1:45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95"/>
      <c r="R37" s="95"/>
      <c r="S37" s="95"/>
      <c r="T37" s="95"/>
      <c r="U37" s="95"/>
      <c r="V37" s="95"/>
      <c r="W37" s="95"/>
    </row>
  </sheetData>
  <phoneticPr fontId="8" type="noConversion"/>
  <pageMargins left="0.51181102362204722" right="0.19685039370078741" top="0.6692913385826772" bottom="0.74803149606299213" header="0.51181102362204722" footer="0.43307086614173229"/>
  <pageSetup paperSize="9" scale="95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S43"/>
  <sheetViews>
    <sheetView zoomScale="115" zoomScaleNormal="115" workbookViewId="0">
      <pane xSplit="1" ySplit="11" topLeftCell="B12" activePane="bottomRight" state="frozen"/>
      <selection activeCell="A2" sqref="A2"/>
      <selection pane="topRight" activeCell="A2" sqref="A2"/>
      <selection pane="bottomLeft" activeCell="A2" sqref="A2"/>
      <selection pane="bottomRight" activeCell="L35" sqref="L35"/>
    </sheetView>
  </sheetViews>
  <sheetFormatPr defaultColWidth="9.140625" defaultRowHeight="12.75" x14ac:dyDescent="0.2"/>
  <cols>
    <col min="1" max="1" width="36.85546875" style="5" customWidth="1"/>
    <col min="2" max="2" width="5.42578125" style="5" customWidth="1"/>
    <col min="3" max="6" width="5.42578125" style="5" hidden="1" customWidth="1"/>
    <col min="7" max="7" width="5.42578125" style="5" customWidth="1"/>
    <col min="8" max="11" width="5.140625" style="5" hidden="1" customWidth="1"/>
    <col min="12" max="16" width="5.140625" style="5" customWidth="1"/>
    <col min="17" max="23" width="5.140625" style="87" customWidth="1"/>
    <col min="24" max="24" width="2" style="5" customWidth="1"/>
    <col min="25" max="25" width="11.42578125" style="5" hidden="1" customWidth="1"/>
    <col min="26" max="27" width="5.28515625" style="5" hidden="1" customWidth="1"/>
    <col min="28" max="29" width="6" style="5" hidden="1" customWidth="1"/>
    <col min="30" max="33" width="6" style="5" bestFit="1" customWidth="1"/>
    <col min="34" max="37" width="5" style="5" customWidth="1"/>
    <col min="38" max="38" width="5.28515625" style="5" customWidth="1"/>
    <col min="39" max="39" width="5.28515625" style="87" hidden="1" customWidth="1"/>
    <col min="40" max="40" width="5.28515625" style="87" customWidth="1"/>
    <col min="41" max="43" width="5.42578125" style="5" customWidth="1"/>
    <col min="44" max="44" width="5.28515625" style="5" customWidth="1"/>
    <col min="45" max="16384" width="9.140625" style="5"/>
  </cols>
  <sheetData>
    <row r="1" spans="1:45" ht="13.5" customHeight="1" x14ac:dyDescent="0.2">
      <c r="A1" s="26">
        <v>44823</v>
      </c>
      <c r="B1" s="3"/>
      <c r="C1" s="3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93"/>
      <c r="R1" s="93"/>
      <c r="S1" s="93"/>
      <c r="T1" s="93"/>
      <c r="U1" s="93"/>
      <c r="V1" s="93"/>
      <c r="W1" s="93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93"/>
      <c r="AN1" s="93"/>
    </row>
    <row r="2" spans="1:45" ht="19.5" x14ac:dyDescent="0.3">
      <c r="A2" s="13" t="s">
        <v>115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6"/>
      <c r="R2" s="76"/>
      <c r="S2" s="76"/>
      <c r="T2" s="76"/>
      <c r="U2" s="76"/>
      <c r="V2" s="76"/>
      <c r="W2" s="76"/>
      <c r="X2" s="3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93"/>
      <c r="AN2" s="93"/>
    </row>
    <row r="3" spans="1:45" ht="14.25" x14ac:dyDescent="0.2">
      <c r="A3" s="109" t="s">
        <v>109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6"/>
      <c r="R3" s="76"/>
      <c r="S3" s="76"/>
      <c r="T3" s="76"/>
      <c r="U3" s="76"/>
      <c r="V3" s="76"/>
      <c r="W3" s="76"/>
      <c r="X3" s="3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93"/>
      <c r="AN3" s="93"/>
    </row>
    <row r="4" spans="1:45" ht="14.25" x14ac:dyDescent="0.2">
      <c r="A4" s="109" t="s">
        <v>114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76"/>
      <c r="R4" s="76"/>
      <c r="S4" s="76"/>
      <c r="T4" s="76"/>
      <c r="U4" s="76"/>
      <c r="V4" s="76"/>
      <c r="W4" s="76"/>
      <c r="X4" s="3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93"/>
      <c r="AN4" s="93"/>
    </row>
    <row r="5" spans="1:45" x14ac:dyDescent="0.2">
      <c r="A5" s="76" t="s">
        <v>90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76"/>
      <c r="R5" s="76"/>
      <c r="S5" s="76"/>
      <c r="T5" s="76"/>
      <c r="U5" s="76"/>
      <c r="V5" s="76"/>
      <c r="W5" s="76"/>
      <c r="X5" s="3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93"/>
      <c r="AN5" s="93"/>
    </row>
    <row r="6" spans="1:45" ht="14.25" x14ac:dyDescent="0.2">
      <c r="A6" s="110" t="s">
        <v>120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76"/>
      <c r="R6" s="76"/>
      <c r="S6" s="76"/>
      <c r="T6" s="76"/>
      <c r="U6" s="76"/>
      <c r="V6" s="76"/>
      <c r="W6" s="76"/>
      <c r="X6" s="3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93"/>
      <c r="AN6" s="93"/>
    </row>
    <row r="7" spans="1:45" ht="12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76"/>
      <c r="R7" s="76"/>
      <c r="S7" s="76"/>
      <c r="T7" s="76"/>
      <c r="U7" s="76"/>
      <c r="V7" s="76"/>
      <c r="W7" s="76"/>
      <c r="X7" s="3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93"/>
      <c r="AN7" s="93"/>
    </row>
    <row r="8" spans="1:45" x14ac:dyDescent="0.2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86"/>
      <c r="R8" s="86"/>
      <c r="S8" s="111"/>
      <c r="T8" s="111"/>
      <c r="U8" s="111"/>
      <c r="V8" s="111"/>
      <c r="W8" s="111"/>
      <c r="X8" s="8"/>
      <c r="Y8" s="35" t="s">
        <v>29</v>
      </c>
      <c r="Z8" s="30"/>
      <c r="AA8" s="30"/>
      <c r="AD8" s="115" t="s">
        <v>29</v>
      </c>
      <c r="AE8" s="116"/>
      <c r="AF8" s="116"/>
      <c r="AG8" s="116"/>
      <c r="AI8" s="116"/>
      <c r="AJ8" s="72"/>
      <c r="AK8" s="72"/>
      <c r="AL8" s="72"/>
      <c r="AM8" s="101"/>
      <c r="AN8" s="101"/>
    </row>
    <row r="9" spans="1:45" ht="13.5" x14ac:dyDescent="0.25">
      <c r="B9" s="49">
        <v>2000</v>
      </c>
      <c r="C9" s="49">
        <v>2001</v>
      </c>
      <c r="D9" s="49">
        <v>2002</v>
      </c>
      <c r="E9" s="49">
        <v>2003</v>
      </c>
      <c r="F9" s="49">
        <v>2004</v>
      </c>
      <c r="G9" s="49">
        <v>2005</v>
      </c>
      <c r="H9" s="49">
        <v>2006</v>
      </c>
      <c r="I9" s="49">
        <v>2007</v>
      </c>
      <c r="J9" s="49">
        <v>2008</v>
      </c>
      <c r="K9" s="49">
        <v>2009</v>
      </c>
      <c r="L9" s="49">
        <v>2010</v>
      </c>
      <c r="M9" s="49">
        <v>2011</v>
      </c>
      <c r="N9" s="49">
        <v>2012</v>
      </c>
      <c r="O9" s="49">
        <v>2013</v>
      </c>
      <c r="P9" s="49">
        <v>2014</v>
      </c>
      <c r="Q9" s="94">
        <v>2015</v>
      </c>
      <c r="R9" s="94">
        <v>2016</v>
      </c>
      <c r="S9" s="113">
        <v>2017</v>
      </c>
      <c r="T9" s="113">
        <v>2018</v>
      </c>
      <c r="U9" s="113">
        <v>2019</v>
      </c>
      <c r="V9" s="113">
        <v>2020</v>
      </c>
      <c r="W9" s="135">
        <v>2021</v>
      </c>
      <c r="X9" s="8"/>
      <c r="Y9" s="27" t="s">
        <v>25</v>
      </c>
      <c r="Z9" s="34" t="s">
        <v>26</v>
      </c>
      <c r="AA9" s="34" t="s">
        <v>28</v>
      </c>
      <c r="AB9" s="71" t="s">
        <v>34</v>
      </c>
      <c r="AC9" s="71" t="s">
        <v>37</v>
      </c>
      <c r="AD9" s="117" t="s">
        <v>40</v>
      </c>
      <c r="AE9" s="117" t="s">
        <v>53</v>
      </c>
      <c r="AF9" s="117" t="s">
        <v>55</v>
      </c>
      <c r="AG9" s="117" t="s">
        <v>58</v>
      </c>
      <c r="AH9" s="117" t="s">
        <v>61</v>
      </c>
      <c r="AI9" s="117" t="s">
        <v>63</v>
      </c>
      <c r="AJ9" s="71" t="s">
        <v>65</v>
      </c>
      <c r="AK9" s="71" t="s">
        <v>70</v>
      </c>
      <c r="AL9" s="71" t="s">
        <v>72</v>
      </c>
      <c r="AM9" s="97" t="s">
        <v>74</v>
      </c>
      <c r="AN9" s="97" t="s">
        <v>82</v>
      </c>
      <c r="AO9" s="114" t="s">
        <v>89</v>
      </c>
      <c r="AP9" s="114" t="s">
        <v>95</v>
      </c>
      <c r="AQ9" s="114" t="s">
        <v>96</v>
      </c>
      <c r="AR9" s="114" t="s">
        <v>105</v>
      </c>
      <c r="AS9" s="114" t="s">
        <v>106</v>
      </c>
    </row>
    <row r="10" spans="1:45" ht="13.5" x14ac:dyDescent="0.25"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94"/>
      <c r="R10" s="94"/>
      <c r="S10" s="94"/>
      <c r="T10" s="94"/>
      <c r="U10" s="94"/>
      <c r="V10" s="94"/>
      <c r="W10" s="136"/>
      <c r="X10" s="8"/>
      <c r="Y10" s="27"/>
      <c r="Z10" s="34"/>
      <c r="AA10" s="34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97"/>
      <c r="AN10" s="97"/>
    </row>
    <row r="11" spans="1:45" ht="13.5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94"/>
      <c r="R11" s="94"/>
      <c r="S11" s="94"/>
      <c r="T11" s="94"/>
      <c r="U11" s="94"/>
      <c r="V11" s="94"/>
      <c r="W11" s="136"/>
      <c r="X11" s="8"/>
      <c r="Y11" s="27"/>
      <c r="Z11" s="34"/>
      <c r="AA11" s="34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97"/>
      <c r="AN11" s="97"/>
    </row>
    <row r="12" spans="1:45" ht="13.5" x14ac:dyDescent="0.25">
      <c r="A12" s="50" t="s">
        <v>91</v>
      </c>
      <c r="R12" s="89"/>
      <c r="S12" s="89"/>
      <c r="T12" s="89"/>
      <c r="U12" s="89"/>
      <c r="V12" s="89"/>
      <c r="W12" s="138"/>
      <c r="X12" s="3"/>
      <c r="Y12" s="4"/>
      <c r="Z12" s="4"/>
      <c r="AA12" s="4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</row>
    <row r="13" spans="1:45" ht="18" customHeight="1" x14ac:dyDescent="0.25">
      <c r="A13" s="5" t="s">
        <v>14</v>
      </c>
      <c r="B13" s="6">
        <v>92.155042358129265</v>
      </c>
      <c r="C13" s="6">
        <v>104.43700000000001</v>
      </c>
      <c r="D13" s="6">
        <v>106.63099999999999</v>
      </c>
      <c r="E13" s="6">
        <f>27.085+0.366+74.969+0.936</f>
        <v>103.35599999999999</v>
      </c>
      <c r="F13" s="6">
        <f>72.385+0.914+26.584+0.682</f>
        <v>100.56500000000001</v>
      </c>
      <c r="G13" s="6">
        <f>67.6+0.506+27.721+0.41</f>
        <v>96.236999999999995</v>
      </c>
      <c r="H13" s="6">
        <f>26.08+0.308+66.88+0.471</f>
        <v>93.739000000000004</v>
      </c>
      <c r="I13" s="6">
        <f>29.423+0.299+67.222+0.47</f>
        <v>97.413999999999987</v>
      </c>
      <c r="J13" s="6">
        <f>70.066+0.427+28.431+0.272</f>
        <v>99.196000000000012</v>
      </c>
      <c r="K13" s="6">
        <f>67.993+0.451+25.481+0.482</f>
        <v>94.406999999999982</v>
      </c>
      <c r="L13" s="6">
        <f>66.313+0.373+25.374+0.686</f>
        <v>92.746000000000009</v>
      </c>
      <c r="M13" s="6">
        <f>71.402+0.369+27.781+0.573</f>
        <v>100.12499999999999</v>
      </c>
      <c r="N13" s="6">
        <f>67.407+0.332+25.226+0.701</f>
        <v>93.665999999999983</v>
      </c>
      <c r="O13" s="6">
        <f>66.699+0.353+24.44+0.986</f>
        <v>92.477999999999994</v>
      </c>
      <c r="P13" s="6">
        <v>91.206999999999994</v>
      </c>
      <c r="Q13" s="89">
        <f>67.927+27.411</f>
        <v>95.338000000000008</v>
      </c>
      <c r="R13" s="89">
        <v>94.269000000000005</v>
      </c>
      <c r="S13" s="89">
        <v>91.581999999999994</v>
      </c>
      <c r="T13" s="89">
        <v>105</v>
      </c>
      <c r="U13" s="89">
        <v>94.259</v>
      </c>
      <c r="V13" s="89">
        <v>89.287999999999997</v>
      </c>
      <c r="W13" s="138">
        <v>87.457000000000008</v>
      </c>
      <c r="X13" s="9"/>
      <c r="Y13" s="28">
        <v>13.3274938924569</v>
      </c>
      <c r="Z13" s="28">
        <f t="shared" ref="Z13:AN28" si="0">100*(D13-C13)/C13</f>
        <v>2.1007880348918238</v>
      </c>
      <c r="AA13" s="28">
        <f t="shared" si="0"/>
        <v>-3.0713394791383295</v>
      </c>
      <c r="AB13" s="66">
        <f t="shared" si="0"/>
        <v>-2.70037540152481</v>
      </c>
      <c r="AC13" s="66">
        <f t="shared" si="0"/>
        <v>-4.3036841843583922</v>
      </c>
      <c r="AD13" s="66">
        <f t="shared" si="0"/>
        <v>-2.5956752600351121</v>
      </c>
      <c r="AE13" s="66">
        <f t="shared" si="0"/>
        <v>3.9204600006400567</v>
      </c>
      <c r="AF13" s="66">
        <f t="shared" si="0"/>
        <v>1.829305849261939</v>
      </c>
      <c r="AG13" s="66">
        <f t="shared" si="0"/>
        <v>-4.8278156377273573</v>
      </c>
      <c r="AH13" s="66">
        <f t="shared" si="0"/>
        <v>-1.7594034340673608</v>
      </c>
      <c r="AI13" s="66">
        <f t="shared" si="0"/>
        <v>7.9561382701140486</v>
      </c>
      <c r="AJ13" s="66">
        <f t="shared" si="0"/>
        <v>-6.4509363295880187</v>
      </c>
      <c r="AK13" s="66">
        <f t="shared" si="0"/>
        <v>-1.2683364294407666</v>
      </c>
      <c r="AL13" s="66">
        <f t="shared" si="0"/>
        <v>-1.3743809338437258</v>
      </c>
      <c r="AM13" s="98"/>
      <c r="AN13" s="98">
        <f t="shared" ref="AN13:AS13" si="1">100*(R13-Q13)/Q13</f>
        <v>-1.1212737838007956</v>
      </c>
      <c r="AO13" s="98">
        <f t="shared" si="1"/>
        <v>-2.8503537748358543</v>
      </c>
      <c r="AP13" s="98">
        <f t="shared" si="1"/>
        <v>14.651350702103041</v>
      </c>
      <c r="AQ13" s="98">
        <f t="shared" si="1"/>
        <v>-10.229523809523808</v>
      </c>
      <c r="AR13" s="98">
        <f t="shared" si="1"/>
        <v>-5.2737669612450837</v>
      </c>
      <c r="AS13" s="98">
        <f t="shared" si="1"/>
        <v>-2.0506675029119132</v>
      </c>
    </row>
    <row r="14" spans="1:45" ht="18" customHeight="1" x14ac:dyDescent="0.25">
      <c r="A14" s="5" t="s">
        <v>15</v>
      </c>
      <c r="B14" s="6">
        <v>102.4488162092796</v>
      </c>
      <c r="C14" s="6">
        <v>107.596</v>
      </c>
      <c r="D14" s="6">
        <v>111.07600000000001</v>
      </c>
      <c r="E14" s="6">
        <f>98.215+0.115+13.947+1.253</f>
        <v>113.53</v>
      </c>
      <c r="F14" s="6">
        <f>97.296+0.118+14.125+0.039</f>
        <v>111.578</v>
      </c>
      <c r="G14" s="6">
        <f>100.914+0.118+12.872+0.055</f>
        <v>113.959</v>
      </c>
      <c r="H14" s="6">
        <f>12.422+0.035+101.979+0.104</f>
        <v>114.54</v>
      </c>
      <c r="I14" s="6">
        <f>102.301+0.127+12.742+0.032</f>
        <v>115.202</v>
      </c>
      <c r="J14" s="6">
        <f>102.986+0.083+12.572+0.029</f>
        <v>115.67</v>
      </c>
      <c r="K14" s="6">
        <f>101.92+0.096+11.44+0.033</f>
        <v>113.489</v>
      </c>
      <c r="L14" s="6">
        <f>102.862+0.085+11.287+0.077</f>
        <v>114.31099999999999</v>
      </c>
      <c r="M14" s="6">
        <f>105.048+0.099+11.584+0.142</f>
        <v>116.873</v>
      </c>
      <c r="N14" s="6">
        <f>103.587+0.074+10.996+0.136</f>
        <v>114.79299999999999</v>
      </c>
      <c r="O14" s="6">
        <f>100.679+0.139+10.738+0.131</f>
        <v>111.687</v>
      </c>
      <c r="P14" s="6">
        <v>108.887</v>
      </c>
      <c r="Q14" s="89">
        <f>98.74+9.069</f>
        <v>107.809</v>
      </c>
      <c r="R14" s="89">
        <v>112.774</v>
      </c>
      <c r="S14" s="89">
        <v>120.584</v>
      </c>
      <c r="T14" s="89">
        <v>125</v>
      </c>
      <c r="U14" s="89">
        <v>125.224</v>
      </c>
      <c r="V14" s="89">
        <v>123.791</v>
      </c>
      <c r="W14" s="138">
        <v>139.071</v>
      </c>
      <c r="X14" s="9"/>
      <c r="Y14" s="28">
        <v>5.024151553109097</v>
      </c>
      <c r="Z14" s="28">
        <f t="shared" si="0"/>
        <v>3.23432097847504</v>
      </c>
      <c r="AA14" s="28">
        <f t="shared" si="0"/>
        <v>2.2092981382116688</v>
      </c>
      <c r="AB14" s="66">
        <f t="shared" si="0"/>
        <v>-1.7193693296925907</v>
      </c>
      <c r="AC14" s="66">
        <f t="shared" si="0"/>
        <v>2.1339332126404846</v>
      </c>
      <c r="AD14" s="66">
        <f t="shared" si="0"/>
        <v>0.50983248361252997</v>
      </c>
      <c r="AE14" s="66">
        <f t="shared" si="0"/>
        <v>0.5779640300331691</v>
      </c>
      <c r="AF14" s="66">
        <f t="shared" si="0"/>
        <v>0.40624294717105913</v>
      </c>
      <c r="AG14" s="66">
        <f t="shared" si="0"/>
        <v>-1.8855364398720476</v>
      </c>
      <c r="AH14" s="66">
        <f t="shared" si="0"/>
        <v>0.72429927129500526</v>
      </c>
      <c r="AI14" s="66">
        <f t="shared" si="0"/>
        <v>2.2412541225254019</v>
      </c>
      <c r="AJ14" s="66">
        <f t="shared" si="0"/>
        <v>-1.7797095993086618</v>
      </c>
      <c r="AK14" s="66">
        <f t="shared" si="0"/>
        <v>-2.7057398970320445</v>
      </c>
      <c r="AL14" s="66">
        <f t="shared" si="0"/>
        <v>-2.5070061869331233</v>
      </c>
      <c r="AM14" s="98"/>
      <c r="AN14" s="98">
        <f t="shared" si="0"/>
        <v>4.6053668988674445</v>
      </c>
      <c r="AO14" s="98">
        <f t="shared" ref="AO14:AR28" si="2">100*(S14-R14)/R14</f>
        <v>6.9253551350488607</v>
      </c>
      <c r="AP14" s="98">
        <f t="shared" si="2"/>
        <v>3.6621774033039181</v>
      </c>
      <c r="AQ14" s="98">
        <f t="shared" si="2"/>
        <v>0.179200000000003</v>
      </c>
      <c r="AR14" s="98">
        <f t="shared" si="2"/>
        <v>-1.1443493260077995</v>
      </c>
      <c r="AS14" s="98">
        <f t="shared" ref="AS14:AS26" si="3">100*(W14-V14)/V14</f>
        <v>12.343385221865887</v>
      </c>
    </row>
    <row r="15" spans="1:45" ht="18" customHeight="1" x14ac:dyDescent="0.25">
      <c r="A15" s="5" t="s">
        <v>16</v>
      </c>
      <c r="B15" s="6">
        <v>259.10392836539836</v>
      </c>
      <c r="C15" s="6">
        <v>269.11200000000002</v>
      </c>
      <c r="D15" s="6">
        <v>281.62400000000002</v>
      </c>
      <c r="E15" s="6">
        <f>207.76+0.938+67.482+1.253</f>
        <v>277.43299999999994</v>
      </c>
      <c r="F15" s="6">
        <f>207.41+1.016+62.994+1.229</f>
        <v>272.64899999999994</v>
      </c>
      <c r="G15" s="6">
        <f>205.626+1.319+62.795+1.131</f>
        <v>270.87099999999998</v>
      </c>
      <c r="H15" s="6">
        <f>63.821+1.279+210.513+1.305</f>
        <v>276.91800000000001</v>
      </c>
      <c r="I15" s="6">
        <f>211.474+1.657+65.38+1.338</f>
        <v>279.84899999999999</v>
      </c>
      <c r="J15" s="6">
        <f>224.48+1.918+69.978+1.205</f>
        <v>297.58099999999996</v>
      </c>
      <c r="K15" s="6">
        <f>200.261+3.515+68.316+2.098</f>
        <v>274.19</v>
      </c>
      <c r="L15" s="6">
        <f>186.082+3.498+64.993+2.209</f>
        <v>256.78199999999998</v>
      </c>
      <c r="M15" s="6">
        <f>191.468+3.518+65.866+2.178</f>
        <v>263.02999999999997</v>
      </c>
      <c r="N15" s="6">
        <f>195.675+3.732+65.719+2.331</f>
        <v>267.45699999999999</v>
      </c>
      <c r="O15" s="6">
        <f>202.436+4.038+62.752+2.664</f>
        <v>271.89</v>
      </c>
      <c r="P15" s="6">
        <v>266.387</v>
      </c>
      <c r="Q15" s="89">
        <f>283.718+79.316</f>
        <v>363.03399999999999</v>
      </c>
      <c r="R15" s="89">
        <v>346.733</v>
      </c>
      <c r="S15" s="89">
        <v>334.971</v>
      </c>
      <c r="T15" s="89">
        <v>337</v>
      </c>
      <c r="U15" s="89">
        <v>318.74299999999999</v>
      </c>
      <c r="V15" s="89">
        <v>277.84800000000001</v>
      </c>
      <c r="W15" s="138">
        <v>291.76</v>
      </c>
      <c r="X15" s="9"/>
      <c r="Y15" s="28">
        <v>3.8625703970369347</v>
      </c>
      <c r="Z15" s="28">
        <f t="shared" si="0"/>
        <v>4.6493653200154581</v>
      </c>
      <c r="AA15" s="28">
        <f t="shared" si="0"/>
        <v>-1.4881544186575317</v>
      </c>
      <c r="AB15" s="66">
        <f t="shared" si="0"/>
        <v>-1.724380300829387</v>
      </c>
      <c r="AC15" s="66">
        <f t="shared" si="0"/>
        <v>-0.65212049191449939</v>
      </c>
      <c r="AD15" s="66">
        <f t="shared" si="0"/>
        <v>2.2324279823236988</v>
      </c>
      <c r="AE15" s="66">
        <f t="shared" si="0"/>
        <v>1.0584360713279684</v>
      </c>
      <c r="AF15" s="66">
        <f t="shared" si="0"/>
        <v>6.3362742050176957</v>
      </c>
      <c r="AG15" s="66">
        <f t="shared" si="0"/>
        <v>-7.8603808710905492</v>
      </c>
      <c r="AH15" s="66">
        <f t="shared" si="0"/>
        <v>-6.3488821620044549</v>
      </c>
      <c r="AI15" s="66">
        <f t="shared" si="0"/>
        <v>2.4331923577197743</v>
      </c>
      <c r="AJ15" s="66">
        <f t="shared" si="0"/>
        <v>1.6830779758962937</v>
      </c>
      <c r="AK15" s="66">
        <f t="shared" si="0"/>
        <v>1.6574626949378752</v>
      </c>
      <c r="AL15" s="66">
        <f t="shared" si="0"/>
        <v>-2.023980286145127</v>
      </c>
      <c r="AM15" s="98"/>
      <c r="AN15" s="98">
        <f t="shared" si="0"/>
        <v>-4.4902130378972736</v>
      </c>
      <c r="AO15" s="98">
        <f t="shared" si="2"/>
        <v>-3.3922355241641262</v>
      </c>
      <c r="AP15" s="98">
        <f t="shared" si="2"/>
        <v>0.60572407760671709</v>
      </c>
      <c r="AQ15" s="98">
        <f t="shared" si="2"/>
        <v>-5.4175074183976273</v>
      </c>
      <c r="AR15" s="98">
        <f t="shared" si="2"/>
        <v>-12.830085680312974</v>
      </c>
      <c r="AS15" s="98">
        <f t="shared" si="3"/>
        <v>5.0070542166940113</v>
      </c>
    </row>
    <row r="16" spans="1:45" ht="18" customHeight="1" x14ac:dyDescent="0.25">
      <c r="A16" s="5" t="s">
        <v>17</v>
      </c>
      <c r="B16" s="6">
        <v>26.038182023065293</v>
      </c>
      <c r="C16" s="6">
        <v>27.85</v>
      </c>
      <c r="D16" s="6">
        <v>28.57</v>
      </c>
      <c r="E16" s="6">
        <f>18.93+0.477+9.614+0.056</f>
        <v>29.077000000000002</v>
      </c>
      <c r="F16" s="6">
        <f>17.148+0.479+9.923+0.049</f>
        <v>27.598999999999997</v>
      </c>
      <c r="G16" s="6">
        <f>17.101+0.449+9.473+0.049</f>
        <v>27.072000000000003</v>
      </c>
      <c r="H16" s="6">
        <f>9.292+0.057+16.925+0.571</f>
        <v>26.845000000000002</v>
      </c>
      <c r="I16" s="6">
        <f>18.058+0.499+9.523+0.084</f>
        <v>28.163999999999998</v>
      </c>
      <c r="J16" s="6">
        <f>19.029+0.487+10.653+0.107</f>
        <v>30.275999999999996</v>
      </c>
      <c r="K16" s="6">
        <f>18.626+0.496+9.463+0.112</f>
        <v>28.696999999999999</v>
      </c>
      <c r="L16" s="6">
        <f>18.109+0.482+10.046+0.266</f>
        <v>28.902999999999999</v>
      </c>
      <c r="M16" s="6">
        <f>18.882+0.48+10.644+0.569</f>
        <v>30.574999999999999</v>
      </c>
      <c r="N16" s="6">
        <f>18.773+0.524+10.33+0.348</f>
        <v>29.975000000000001</v>
      </c>
      <c r="O16" s="6">
        <f>18.759+0.483+10.464+0.343</f>
        <v>30.049000000000003</v>
      </c>
      <c r="P16" s="6">
        <v>29.553000000000001</v>
      </c>
      <c r="Q16" s="89">
        <f>24.702+11.257</f>
        <v>35.959000000000003</v>
      </c>
      <c r="R16" s="89">
        <v>35.494999999999997</v>
      </c>
      <c r="S16" s="89">
        <v>35.601999999999997</v>
      </c>
      <c r="T16" s="89">
        <v>36</v>
      </c>
      <c r="U16" s="89">
        <v>35.808</v>
      </c>
      <c r="V16" s="89">
        <v>55.945</v>
      </c>
      <c r="W16" s="138">
        <v>51.01</v>
      </c>
      <c r="X16" s="9"/>
      <c r="Y16" s="28">
        <v>6.9583121253617231</v>
      </c>
      <c r="Z16" s="28">
        <f t="shared" si="0"/>
        <v>2.5852782764811448</v>
      </c>
      <c r="AA16" s="28">
        <f t="shared" si="0"/>
        <v>1.7745887294364768</v>
      </c>
      <c r="AB16" s="66">
        <f t="shared" si="0"/>
        <v>-5.0830553358324622</v>
      </c>
      <c r="AC16" s="66">
        <f t="shared" si="0"/>
        <v>-1.9094894742562918</v>
      </c>
      <c r="AD16" s="66">
        <f t="shared" si="0"/>
        <v>-0.83850472813238874</v>
      </c>
      <c r="AE16" s="66">
        <f t="shared" si="0"/>
        <v>4.9133916930526924</v>
      </c>
      <c r="AF16" s="66">
        <f t="shared" si="0"/>
        <v>7.4989348103962445</v>
      </c>
      <c r="AG16" s="66">
        <f t="shared" si="0"/>
        <v>-5.2153520940678995</v>
      </c>
      <c r="AH16" s="66">
        <f t="shared" si="0"/>
        <v>0.71784507091333427</v>
      </c>
      <c r="AI16" s="66">
        <f t="shared" si="0"/>
        <v>5.7848666228419212</v>
      </c>
      <c r="AJ16" s="66">
        <f t="shared" si="0"/>
        <v>-1.9623875715453734</v>
      </c>
      <c r="AK16" s="66">
        <f t="shared" si="0"/>
        <v>0.24687239366138988</v>
      </c>
      <c r="AL16" s="66">
        <f t="shared" si="0"/>
        <v>-1.650637292422384</v>
      </c>
      <c r="AM16" s="98"/>
      <c r="AN16" s="98">
        <f t="shared" si="0"/>
        <v>-1.290358463806017</v>
      </c>
      <c r="AO16" s="98">
        <f t="shared" si="2"/>
        <v>0.30145090857867113</v>
      </c>
      <c r="AP16" s="98">
        <f t="shared" si="2"/>
        <v>1.1179147238919254</v>
      </c>
      <c r="AQ16" s="98">
        <f t="shared" si="2"/>
        <v>-0.53333333333333377</v>
      </c>
      <c r="AR16" s="98">
        <f t="shared" si="2"/>
        <v>56.236036639857019</v>
      </c>
      <c r="AS16" s="98">
        <f t="shared" si="3"/>
        <v>-8.8211636428635298</v>
      </c>
    </row>
    <row r="17" spans="1:45" ht="18" customHeight="1" x14ac:dyDescent="0.25">
      <c r="A17" s="5" t="s">
        <v>18</v>
      </c>
      <c r="B17" s="6">
        <v>581.64127869916729</v>
      </c>
      <c r="C17" s="6">
        <v>649.404</v>
      </c>
      <c r="D17" s="6">
        <v>721.00700000000006</v>
      </c>
      <c r="E17" s="6">
        <f>174.54+0.03+602.317+0.17</f>
        <v>777.0569999999999</v>
      </c>
      <c r="F17" s="6">
        <f>188.531+0.038+623.742+0.194</f>
        <v>812.50499999999988</v>
      </c>
      <c r="G17" s="6">
        <f>192.787+0.043+691.887+0.183</f>
        <v>884.9</v>
      </c>
      <c r="H17" s="6">
        <f>739.538+0.315+197.249+0.045</f>
        <v>937.14700000000005</v>
      </c>
      <c r="I17" s="6">
        <f>210.779+0.045+787.809+0.317</f>
        <v>998.94999999999993</v>
      </c>
      <c r="J17" s="6">
        <f>217.253+0.063+839.859+0.376</f>
        <v>1057.5509999999999</v>
      </c>
      <c r="K17" s="6">
        <f>234.597+0.059+787.562+0.379</f>
        <v>1022.5970000000001</v>
      </c>
      <c r="L17" s="6">
        <f>223.031+0.051+785.75+0.356</f>
        <v>1009.188</v>
      </c>
      <c r="M17" s="6">
        <f>236.701+0.029+834.985+0.036</f>
        <v>1071.751</v>
      </c>
      <c r="N17" s="6">
        <f>240.252+0.034+848.055+0.063</f>
        <v>1088.404</v>
      </c>
      <c r="O17" s="6">
        <f>257.248+0.037+862.563+0.035</f>
        <v>1119.883</v>
      </c>
      <c r="P17" s="6">
        <v>1104.2629999999999</v>
      </c>
      <c r="Q17" s="89">
        <f>280.572+1203.877</f>
        <v>1484.4490000000001</v>
      </c>
      <c r="R17" s="89">
        <v>1399.2550000000001</v>
      </c>
      <c r="S17" s="89">
        <v>1494.268</v>
      </c>
      <c r="T17" s="89">
        <v>1738</v>
      </c>
      <c r="U17" s="89">
        <v>1802.0640000000001</v>
      </c>
      <c r="V17" s="89">
        <v>1974.498</v>
      </c>
      <c r="W17" s="138">
        <v>1882.2439999999999</v>
      </c>
      <c r="X17" s="9"/>
      <c r="Y17" s="28">
        <v>11.650260011184747</v>
      </c>
      <c r="Z17" s="28">
        <f t="shared" si="0"/>
        <v>11.025956107446222</v>
      </c>
      <c r="AA17" s="28">
        <f t="shared" si="0"/>
        <v>7.7738496297539177</v>
      </c>
      <c r="AB17" s="66">
        <f t="shared" si="0"/>
        <v>4.5618275107231492</v>
      </c>
      <c r="AC17" s="66">
        <f t="shared" si="0"/>
        <v>8.910099014775307</v>
      </c>
      <c r="AD17" s="66">
        <f t="shared" si="0"/>
        <v>5.9042829698271069</v>
      </c>
      <c r="AE17" s="66">
        <f t="shared" si="0"/>
        <v>6.5948031632177111</v>
      </c>
      <c r="AF17" s="66">
        <f t="shared" si="0"/>
        <v>5.8662595725511792</v>
      </c>
      <c r="AG17" s="66">
        <f t="shared" si="0"/>
        <v>-3.3051833906827981</v>
      </c>
      <c r="AH17" s="66">
        <f t="shared" si="0"/>
        <v>-1.3112692487852111</v>
      </c>
      <c r="AI17" s="66">
        <f t="shared" si="0"/>
        <v>6.1993404598548532</v>
      </c>
      <c r="AJ17" s="66">
        <f t="shared" si="0"/>
        <v>1.5538124060532736</v>
      </c>
      <c r="AK17" s="66">
        <f t="shared" si="0"/>
        <v>2.8922164931404186</v>
      </c>
      <c r="AL17" s="66">
        <f t="shared" si="0"/>
        <v>-1.3947885627337961</v>
      </c>
      <c r="AM17" s="98"/>
      <c r="AN17" s="98">
        <f t="shared" si="0"/>
        <v>-5.7390991539621741</v>
      </c>
      <c r="AO17" s="98">
        <f t="shared" si="2"/>
        <v>6.7902562435009992</v>
      </c>
      <c r="AP17" s="98">
        <f t="shared" si="2"/>
        <v>16.311130265789</v>
      </c>
      <c r="AQ17" s="98">
        <f t="shared" si="2"/>
        <v>3.6860759493670932</v>
      </c>
      <c r="AR17" s="98">
        <f t="shared" si="2"/>
        <v>9.5686945635671083</v>
      </c>
      <c r="AS17" s="98">
        <f t="shared" si="3"/>
        <v>-4.672276193746467</v>
      </c>
    </row>
    <row r="18" spans="1:45" ht="18" customHeight="1" x14ac:dyDescent="0.25">
      <c r="A18" s="5" t="s">
        <v>19</v>
      </c>
      <c r="B18" s="6">
        <v>41.838933150344872</v>
      </c>
      <c r="C18" s="6">
        <v>48.55</v>
      </c>
      <c r="D18" s="6">
        <v>50.810999999999993</v>
      </c>
      <c r="E18" s="6">
        <f>33.049+0.989+17.354+0.053</f>
        <v>51.444999999999993</v>
      </c>
      <c r="F18" s="6">
        <f>33.897+0.932+16.804+0.055</f>
        <v>51.687999999999995</v>
      </c>
      <c r="G18" s="6">
        <f>35.03+0.964+17.25+0.105</f>
        <v>53.348999999999997</v>
      </c>
      <c r="H18" s="6">
        <f>17.167+0.072+34.851+0.983</f>
        <v>53.073</v>
      </c>
      <c r="I18" s="6">
        <f>36.499+1.311+18.447+0.064</f>
        <v>56.321000000000005</v>
      </c>
      <c r="J18" s="6">
        <f>38.669+1.277+18.409+0.078</f>
        <v>58.433</v>
      </c>
      <c r="K18" s="6">
        <f>39.624+0.942+18.472+0.11</f>
        <v>59.148000000000003</v>
      </c>
      <c r="L18" s="6">
        <f>36.258+0.998+18.795+0.124</f>
        <v>56.175000000000004</v>
      </c>
      <c r="M18" s="6">
        <f>35.923+0.877+21.283+0.146</f>
        <v>58.229000000000006</v>
      </c>
      <c r="N18" s="6">
        <f>35.816+0.755+16.692+0.127</f>
        <v>53.390000000000008</v>
      </c>
      <c r="O18" s="6">
        <f>37.319+0.652+16.604+0.125</f>
        <v>54.7</v>
      </c>
      <c r="P18" s="6">
        <v>54.837000000000003</v>
      </c>
      <c r="Q18" s="89">
        <f>47.964+27.482</f>
        <v>75.445999999999998</v>
      </c>
      <c r="R18" s="89">
        <v>66.460999999999999</v>
      </c>
      <c r="S18" s="89">
        <v>62.837000000000003</v>
      </c>
      <c r="T18" s="89">
        <v>63</v>
      </c>
      <c r="U18" s="89">
        <v>61.926000000000002</v>
      </c>
      <c r="V18" s="89">
        <v>77.623999999999995</v>
      </c>
      <c r="W18" s="138">
        <v>67.144000000000005</v>
      </c>
      <c r="X18" s="9"/>
      <c r="Y18" s="28">
        <v>16.040243725956017</v>
      </c>
      <c r="Z18" s="28">
        <f t="shared" si="0"/>
        <v>4.6570545829042143</v>
      </c>
      <c r="AA18" s="28">
        <f t="shared" si="0"/>
        <v>1.2477613115270323</v>
      </c>
      <c r="AB18" s="66">
        <f t="shared" si="0"/>
        <v>0.47234911070075253</v>
      </c>
      <c r="AC18" s="66">
        <f t="shared" si="0"/>
        <v>3.2135118402724068</v>
      </c>
      <c r="AD18" s="66">
        <f t="shared" si="0"/>
        <v>-0.51734802901646937</v>
      </c>
      <c r="AE18" s="66">
        <f t="shared" si="0"/>
        <v>6.1198726282667355</v>
      </c>
      <c r="AF18" s="66">
        <f t="shared" si="0"/>
        <v>3.749933417375392</v>
      </c>
      <c r="AG18" s="66">
        <f t="shared" si="0"/>
        <v>1.2236236373282279</v>
      </c>
      <c r="AH18" s="66">
        <f t="shared" si="0"/>
        <v>-5.026374518157839</v>
      </c>
      <c r="AI18" s="66">
        <f t="shared" si="0"/>
        <v>3.6564307966177161</v>
      </c>
      <c r="AJ18" s="66">
        <f t="shared" si="0"/>
        <v>-8.310292122481922</v>
      </c>
      <c r="AK18" s="66">
        <f t="shared" si="0"/>
        <v>2.4536430043079136</v>
      </c>
      <c r="AL18" s="66">
        <f t="shared" si="0"/>
        <v>0.25045703839122568</v>
      </c>
      <c r="AM18" s="98"/>
      <c r="AN18" s="98">
        <f t="shared" si="0"/>
        <v>-11.909180075815815</v>
      </c>
      <c r="AO18" s="98">
        <f t="shared" si="2"/>
        <v>-5.4528219557334303</v>
      </c>
      <c r="AP18" s="98">
        <f t="shared" si="2"/>
        <v>0.25940130814646895</v>
      </c>
      <c r="AQ18" s="98">
        <f t="shared" si="2"/>
        <v>-1.7047619047619016</v>
      </c>
      <c r="AR18" s="98">
        <f t="shared" si="2"/>
        <v>25.34961082582436</v>
      </c>
      <c r="AS18" s="98">
        <f t="shared" si="3"/>
        <v>-13.500979078635464</v>
      </c>
    </row>
    <row r="19" spans="1:45" ht="18" customHeight="1" x14ac:dyDescent="0.25">
      <c r="A19" s="5" t="s">
        <v>20</v>
      </c>
      <c r="B19" s="6">
        <v>30.927741421154341</v>
      </c>
      <c r="C19" s="6">
        <v>30.283999999999999</v>
      </c>
      <c r="D19" s="6">
        <v>29.192999999999998</v>
      </c>
      <c r="E19" s="6">
        <f>19.11+5.032+5.789+0.053</f>
        <v>29.983999999999998</v>
      </c>
      <c r="F19" s="6">
        <f>18.387+4.335+6.129+0.054</f>
        <v>28.904999999999998</v>
      </c>
      <c r="G19" s="6">
        <f>19.604+4.933+6.49+0.059</f>
        <v>31.086000000000002</v>
      </c>
      <c r="H19" s="6">
        <f>6.847+0.063+20.861+4.161</f>
        <v>31.932000000000002</v>
      </c>
      <c r="I19" s="6">
        <f>19.068+3.982+6.615+0.078</f>
        <v>29.742999999999999</v>
      </c>
      <c r="J19" s="6">
        <f>23.424+4.586+7.653+0.119</f>
        <v>35.781999999999996</v>
      </c>
      <c r="K19" s="6">
        <f>18.541+3.423+6.034+0.106</f>
        <v>28.103999999999999</v>
      </c>
      <c r="L19" s="6">
        <f>22.627+4.556+6.779+0.535</f>
        <v>34.497</v>
      </c>
      <c r="M19" s="6">
        <f>25.541+4.035+8.592+0.495</f>
        <v>38.662999999999997</v>
      </c>
      <c r="N19" s="6">
        <f>29.665+3.498+10.999+0.366</f>
        <v>44.527999999999999</v>
      </c>
      <c r="O19" s="6">
        <f>27.772+2.982+9.788+0.26</f>
        <v>40.802</v>
      </c>
      <c r="P19" s="6">
        <v>37.814</v>
      </c>
      <c r="Q19" s="89">
        <f>36.167+10.042</f>
        <v>46.209000000000003</v>
      </c>
      <c r="R19" s="89">
        <v>45.170999999999999</v>
      </c>
      <c r="S19" s="89">
        <v>50.067</v>
      </c>
      <c r="T19" s="89">
        <v>55</v>
      </c>
      <c r="U19" s="89">
        <v>55.428000000000004</v>
      </c>
      <c r="V19" s="89">
        <v>43.887999999999998</v>
      </c>
      <c r="W19" s="138">
        <v>58.808</v>
      </c>
      <c r="X19" s="9"/>
      <c r="Y19" s="28">
        <v>-2.0814368963717076</v>
      </c>
      <c r="Z19" s="28">
        <f t="shared" si="0"/>
        <v>-3.6025624091929771</v>
      </c>
      <c r="AA19" s="28">
        <f t="shared" si="0"/>
        <v>2.709553660124004</v>
      </c>
      <c r="AB19" s="66">
        <f t="shared" si="0"/>
        <v>-3.5985859124866617</v>
      </c>
      <c r="AC19" s="66">
        <f t="shared" si="0"/>
        <v>7.5454073689673224</v>
      </c>
      <c r="AD19" s="66">
        <f t="shared" si="0"/>
        <v>2.7214823393167342</v>
      </c>
      <c r="AE19" s="66">
        <f t="shared" si="0"/>
        <v>-6.8551922836026673</v>
      </c>
      <c r="AF19" s="66">
        <f t="shared" si="0"/>
        <v>20.303937060821028</v>
      </c>
      <c r="AG19" s="66">
        <f t="shared" si="0"/>
        <v>-21.457716170141406</v>
      </c>
      <c r="AH19" s="66">
        <f t="shared" si="0"/>
        <v>22.747651579846288</v>
      </c>
      <c r="AI19" s="66">
        <f t="shared" si="0"/>
        <v>12.076412441661585</v>
      </c>
      <c r="AJ19" s="66">
        <f t="shared" si="0"/>
        <v>15.169541939321839</v>
      </c>
      <c r="AK19" s="66">
        <f t="shared" si="0"/>
        <v>-8.367768595041321</v>
      </c>
      <c r="AL19" s="66">
        <f t="shared" si="0"/>
        <v>-7.3231704328219198</v>
      </c>
      <c r="AM19" s="98"/>
      <c r="AN19" s="98">
        <f t="shared" si="0"/>
        <v>-2.2463156527949182</v>
      </c>
      <c r="AO19" s="98">
        <f t="shared" si="2"/>
        <v>10.838812512452682</v>
      </c>
      <c r="AP19" s="98">
        <f t="shared" si="2"/>
        <v>9.8527972516827447</v>
      </c>
      <c r="AQ19" s="98">
        <f>100*(U19-T19)/T19</f>
        <v>0.77818181818182619</v>
      </c>
      <c r="AR19" s="98">
        <f>100*(V19-U19)/U19</f>
        <v>-20.819802266002753</v>
      </c>
      <c r="AS19" s="98">
        <f t="shared" si="3"/>
        <v>33.99562522785272</v>
      </c>
    </row>
    <row r="20" spans="1:45" ht="18" customHeight="1" x14ac:dyDescent="0.25">
      <c r="A20" s="5" t="s">
        <v>81</v>
      </c>
      <c r="B20" s="6">
        <v>459.05919037695958</v>
      </c>
      <c r="C20" s="6">
        <v>485.76899999999995</v>
      </c>
      <c r="D20" s="6">
        <v>506.625</v>
      </c>
      <c r="E20" s="6">
        <f>337.917+113.038+89.283+0.708</f>
        <v>540.94599999999991</v>
      </c>
      <c r="F20" s="6">
        <f>337.01+110.423+90.58+0.836</f>
        <v>538.84900000000005</v>
      </c>
      <c r="G20" s="6">
        <f>343.823+110.696+94.597+1.101</f>
        <v>550.21699999999998</v>
      </c>
      <c r="H20" s="6">
        <f>104.759+1.141+371.73+79.929</f>
        <v>557.55899999999997</v>
      </c>
      <c r="I20" s="6">
        <f>392.261+83.828+106.436+1.421</f>
        <v>583.94600000000014</v>
      </c>
      <c r="J20" s="6">
        <f>423.05+100.77+118.09+1.592</f>
        <v>643.50200000000007</v>
      </c>
      <c r="K20" s="6">
        <f>412.3+95.008+116.897+1.374</f>
        <v>625.57900000000006</v>
      </c>
      <c r="L20" s="6">
        <f>427.042+99.706+125.552+7.649</f>
        <v>659.94899999999996</v>
      </c>
      <c r="M20" s="6">
        <f>461.07+102.677+131.932+8.003</f>
        <v>703.68200000000002</v>
      </c>
      <c r="N20" s="6">
        <f>484.091+106.297+136.594+11.651</f>
        <v>738.63299999999992</v>
      </c>
      <c r="O20" s="6">
        <f>481.735+106.31+136.188+11.097</f>
        <v>735.33</v>
      </c>
      <c r="P20" s="6">
        <v>703.41</v>
      </c>
      <c r="Q20" s="89">
        <f>282.292+339.539+53.925+63.583+71.348+9.249</f>
        <v>819.93599999999981</v>
      </c>
      <c r="R20" s="89">
        <v>850.779</v>
      </c>
      <c r="S20" s="89">
        <v>832</v>
      </c>
      <c r="T20" s="89">
        <v>848</v>
      </c>
      <c r="U20" s="89">
        <f>SUM(U21:U23)</f>
        <v>856.23200000000008</v>
      </c>
      <c r="V20" s="89">
        <f>SUM(V21:V23)</f>
        <v>796.2410000000001</v>
      </c>
      <c r="W20" s="138">
        <f>SUM(W21:W23)</f>
        <v>887.49200000000008</v>
      </c>
      <c r="X20" s="9"/>
      <c r="Y20" s="28">
        <v>5.8183803271877492</v>
      </c>
      <c r="Z20" s="28">
        <f t="shared" si="0"/>
        <v>4.2933987142036756</v>
      </c>
      <c r="AA20" s="28">
        <f t="shared" si="0"/>
        <v>6.7744386873920384</v>
      </c>
      <c r="AB20" s="66">
        <f t="shared" si="0"/>
        <v>-0.38765422056912641</v>
      </c>
      <c r="AC20" s="66">
        <f t="shared" si="0"/>
        <v>2.109681933157515</v>
      </c>
      <c r="AD20" s="66">
        <f t="shared" si="0"/>
        <v>1.3343826163131973</v>
      </c>
      <c r="AE20" s="66">
        <f t="shared" si="0"/>
        <v>4.7325933219623701</v>
      </c>
      <c r="AF20" s="66">
        <f t="shared" si="0"/>
        <v>10.19888825336588</v>
      </c>
      <c r="AG20" s="66">
        <f t="shared" si="0"/>
        <v>-2.785228328738683</v>
      </c>
      <c r="AH20" s="66">
        <f t="shared" si="0"/>
        <v>5.4941102562585842</v>
      </c>
      <c r="AI20" s="66">
        <f t="shared" si="0"/>
        <v>6.6267241862628881</v>
      </c>
      <c r="AJ20" s="66">
        <f t="shared" si="0"/>
        <v>4.9668742414897507</v>
      </c>
      <c r="AK20" s="66">
        <f t="shared" si="0"/>
        <v>-0.44717742099254759</v>
      </c>
      <c r="AL20" s="66">
        <f t="shared" si="0"/>
        <v>-4.3409081636816218</v>
      </c>
      <c r="AM20" s="98"/>
      <c r="AN20" s="98">
        <f t="shared" si="0"/>
        <v>3.7616350544432975</v>
      </c>
      <c r="AO20" s="98">
        <f t="shared" si="2"/>
        <v>-2.2072712184950496</v>
      </c>
      <c r="AP20" s="98">
        <f t="shared" si="2"/>
        <v>1.9230769230769231</v>
      </c>
      <c r="AQ20" s="98">
        <f t="shared" si="2"/>
        <v>0.97075471698114202</v>
      </c>
      <c r="AR20" s="98">
        <f t="shared" si="2"/>
        <v>-7.0063954629119189</v>
      </c>
      <c r="AS20" s="98">
        <f t="shared" si="3"/>
        <v>11.460223726233638</v>
      </c>
    </row>
    <row r="21" spans="1:45" s="100" customFormat="1" ht="14.45" customHeight="1" x14ac:dyDescent="0.25">
      <c r="A21" s="100" t="s">
        <v>78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91">
        <f>63.583+282.292</f>
        <v>345.875</v>
      </c>
      <c r="R21" s="91">
        <v>365.529</v>
      </c>
      <c r="S21" s="91">
        <v>369.57900000000001</v>
      </c>
      <c r="T21" s="91">
        <v>368</v>
      </c>
      <c r="U21" s="91">
        <v>369.64100000000002</v>
      </c>
      <c r="V21" s="91">
        <v>326.65800000000002</v>
      </c>
      <c r="W21" s="139">
        <v>381.09399999999999</v>
      </c>
      <c r="X21" s="103"/>
      <c r="Y21" s="28"/>
      <c r="Z21" s="28"/>
      <c r="AA21" s="28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98"/>
      <c r="AN21" s="98">
        <f t="shared" si="0"/>
        <v>5.6823997108782063</v>
      </c>
      <c r="AO21" s="98">
        <f t="shared" si="2"/>
        <v>1.1079832243132588</v>
      </c>
      <c r="AP21" s="98">
        <f t="shared" si="2"/>
        <v>-0.42724288988281467</v>
      </c>
      <c r="AQ21" s="98">
        <f t="shared" si="2"/>
        <v>0.44592391304348356</v>
      </c>
      <c r="AR21" s="98">
        <f t="shared" si="2"/>
        <v>-11.628309630154664</v>
      </c>
      <c r="AS21" s="98">
        <f t="shared" si="3"/>
        <v>16.664523752670981</v>
      </c>
    </row>
    <row r="22" spans="1:45" s="100" customFormat="1" ht="14.45" customHeight="1" x14ac:dyDescent="0.25">
      <c r="A22" s="100" t="s">
        <v>79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91">
        <f>339.539+71.348</f>
        <v>410.887</v>
      </c>
      <c r="R22" s="91">
        <v>407.84500000000003</v>
      </c>
      <c r="S22" s="91">
        <v>401.70499999999998</v>
      </c>
      <c r="T22" s="91">
        <v>414</v>
      </c>
      <c r="U22" s="91">
        <v>420.71199999999999</v>
      </c>
      <c r="V22" s="91">
        <v>408.38799999999998</v>
      </c>
      <c r="W22" s="139">
        <v>446.79700000000003</v>
      </c>
      <c r="X22" s="103"/>
      <c r="Y22" s="28"/>
      <c r="Z22" s="28"/>
      <c r="AA22" s="28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98"/>
      <c r="AN22" s="98">
        <f t="shared" si="0"/>
        <v>-0.74034953649056146</v>
      </c>
      <c r="AO22" s="98">
        <f t="shared" si="2"/>
        <v>-1.5054738932682865</v>
      </c>
      <c r="AP22" s="98">
        <f t="shared" si="2"/>
        <v>3.0607037502645018</v>
      </c>
      <c r="AQ22" s="98">
        <f t="shared" si="2"/>
        <v>1.6212560386473405</v>
      </c>
      <c r="AR22" s="98">
        <f t="shared" si="2"/>
        <v>-2.9293198197341681</v>
      </c>
      <c r="AS22" s="98">
        <f t="shared" si="3"/>
        <v>9.4050265923582614</v>
      </c>
    </row>
    <row r="23" spans="1:45" s="100" customFormat="1" ht="14.45" customHeight="1" x14ac:dyDescent="0.25">
      <c r="A23" s="100" t="s">
        <v>80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91">
        <f>53.925+9.249</f>
        <v>63.173999999999999</v>
      </c>
      <c r="R23" s="91">
        <v>77.405000000000001</v>
      </c>
      <c r="S23" s="91">
        <v>60.802</v>
      </c>
      <c r="T23" s="91">
        <v>66</v>
      </c>
      <c r="U23" s="91">
        <v>65.879000000000005</v>
      </c>
      <c r="V23" s="91">
        <v>61.195</v>
      </c>
      <c r="W23" s="139">
        <v>59.600999999999999</v>
      </c>
      <c r="X23" s="103"/>
      <c r="Y23" s="28"/>
      <c r="Z23" s="28"/>
      <c r="AA23" s="28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98"/>
      <c r="AN23" s="98">
        <f t="shared" si="0"/>
        <v>22.526672365213539</v>
      </c>
      <c r="AO23" s="98">
        <f t="shared" si="2"/>
        <v>-21.449518764937668</v>
      </c>
      <c r="AP23" s="98">
        <f t="shared" si="2"/>
        <v>8.5490608861550612</v>
      </c>
      <c r="AQ23" s="98">
        <f t="shared" si="2"/>
        <v>-0.18333333333332594</v>
      </c>
      <c r="AR23" s="98">
        <f t="shared" si="2"/>
        <v>-7.11000470559663</v>
      </c>
      <c r="AS23" s="98">
        <f t="shared" si="3"/>
        <v>-2.6047879728736025</v>
      </c>
    </row>
    <row r="24" spans="1:45" ht="18" customHeight="1" x14ac:dyDescent="0.25">
      <c r="A24" s="5" t="s">
        <v>21</v>
      </c>
      <c r="B24" s="6">
        <v>199.79228791081999</v>
      </c>
      <c r="C24" s="6">
        <v>211.714</v>
      </c>
      <c r="D24" s="6">
        <v>206.49699999999996</v>
      </c>
      <c r="E24" s="6">
        <f>123.388+2.734+73.295+0.424</f>
        <v>199.84100000000001</v>
      </c>
      <c r="F24" s="6">
        <f>116.04+2.415+76.138+0.356</f>
        <v>194.94900000000001</v>
      </c>
      <c r="G24" s="6">
        <f>108.802+2.296+75.246+0.574</f>
        <v>186.91800000000001</v>
      </c>
      <c r="H24" s="6">
        <f>72.161+0.455+111.107+1.974</f>
        <v>185.697</v>
      </c>
      <c r="I24" s="6">
        <f>117.575+2.146+75.332+0.508</f>
        <v>195.56100000000001</v>
      </c>
      <c r="J24" s="6">
        <f>127.215+3.178+80.54+0.683</f>
        <v>211.61599999999999</v>
      </c>
      <c r="K24" s="6">
        <f>117.962+1.642+75.017+0.64</f>
        <v>195.26099999999997</v>
      </c>
      <c r="L24" s="6">
        <f>115.261+1.847+72.406+1.454</f>
        <v>190.96800000000002</v>
      </c>
      <c r="M24" s="6">
        <f>125.975+2.395+74.805+2.616</f>
        <v>205.79100000000003</v>
      </c>
      <c r="N24" s="6">
        <f>121.302+2.237+71.208+2.069</f>
        <v>196.816</v>
      </c>
      <c r="O24" s="6">
        <f>121.466+2.274+67.198+3.176</f>
        <v>194.11399999999998</v>
      </c>
      <c r="P24" s="6">
        <v>198.953</v>
      </c>
      <c r="Q24" s="89">
        <f>149.914+76.499</f>
        <v>226.41299999999998</v>
      </c>
      <c r="R24" s="89">
        <v>227.44800000000001</v>
      </c>
      <c r="S24" s="89">
        <v>234.86</v>
      </c>
      <c r="T24" s="89">
        <v>233</v>
      </c>
      <c r="U24" s="89">
        <v>226.988</v>
      </c>
      <c r="V24" s="89">
        <v>218.059</v>
      </c>
      <c r="W24" s="138">
        <v>251.983</v>
      </c>
      <c r="X24" s="9"/>
      <c r="Y24" s="28">
        <v>5.9670531900117307</v>
      </c>
      <c r="Z24" s="28">
        <f t="shared" si="0"/>
        <v>-2.464173365955979</v>
      </c>
      <c r="AA24" s="28">
        <f t="shared" si="0"/>
        <v>-3.2232913795357563</v>
      </c>
      <c r="AB24" s="66">
        <f t="shared" si="0"/>
        <v>-2.4479461171631427</v>
      </c>
      <c r="AC24" s="66">
        <f t="shared" si="0"/>
        <v>-4.1195389563424305</v>
      </c>
      <c r="AD24" s="66">
        <f t="shared" si="0"/>
        <v>-0.65322761852791256</v>
      </c>
      <c r="AE24" s="66">
        <f t="shared" si="0"/>
        <v>5.3118790287403694</v>
      </c>
      <c r="AF24" s="66">
        <f t="shared" si="0"/>
        <v>8.2097146158998857</v>
      </c>
      <c r="AG24" s="66">
        <f t="shared" si="0"/>
        <v>-7.728621654317263</v>
      </c>
      <c r="AH24" s="66">
        <f t="shared" si="0"/>
        <v>-2.1985957257209328</v>
      </c>
      <c r="AI24" s="66">
        <f t="shared" si="0"/>
        <v>7.762033429684557</v>
      </c>
      <c r="AJ24" s="66">
        <f t="shared" si="0"/>
        <v>-4.3612208502801488</v>
      </c>
      <c r="AK24" s="66">
        <f t="shared" si="0"/>
        <v>-1.3728558653768121</v>
      </c>
      <c r="AL24" s="66">
        <f t="shared" si="0"/>
        <v>2.4928650174639788</v>
      </c>
      <c r="AM24" s="98"/>
      <c r="AN24" s="98">
        <f t="shared" si="0"/>
        <v>0.45712922844537418</v>
      </c>
      <c r="AO24" s="98">
        <f t="shared" si="2"/>
        <v>3.258766839013755</v>
      </c>
      <c r="AP24" s="98">
        <f t="shared" si="2"/>
        <v>-0.79196116835562191</v>
      </c>
      <c r="AQ24" s="98">
        <f t="shared" si="2"/>
        <v>-2.5802575107296137</v>
      </c>
      <c r="AR24" s="98">
        <f t="shared" si="2"/>
        <v>-3.9336881244823525</v>
      </c>
      <c r="AS24" s="98">
        <f t="shared" si="3"/>
        <v>15.557257439500322</v>
      </c>
    </row>
    <row r="25" spans="1:45" ht="18" customHeight="1" x14ac:dyDescent="0.25">
      <c r="A25" s="5" t="s">
        <v>22</v>
      </c>
      <c r="B25" s="6">
        <v>110.03308256513498</v>
      </c>
      <c r="C25" s="6">
        <v>112.44499999999999</v>
      </c>
      <c r="D25" s="6">
        <v>115.374</v>
      </c>
      <c r="E25" s="6">
        <f>78.622+13.323+15.626+0.107</f>
        <v>107.678</v>
      </c>
      <c r="F25" s="6">
        <f>79.428+15.319+16.695+0.1</f>
        <v>111.542</v>
      </c>
      <c r="G25" s="6">
        <f>77.672+13.885+17.067+0.089</f>
        <v>108.71299999999999</v>
      </c>
      <c r="H25" s="6">
        <f>17.585+0.052+88.626+11.988</f>
        <v>118.251</v>
      </c>
      <c r="I25" s="6">
        <f>90.211+12.848+18.579+0.069</f>
        <v>121.70700000000001</v>
      </c>
      <c r="J25" s="6">
        <f>95.371+12.578+21.027+0.137</f>
        <v>129.113</v>
      </c>
      <c r="K25" s="6">
        <f>79.896+9.221+19.617+0.178</f>
        <v>108.91200000000001</v>
      </c>
      <c r="L25" s="6">
        <f>83.236+8.438+20.523+0.646</f>
        <v>112.843</v>
      </c>
      <c r="M25" s="6">
        <f>84.219+8.836+20.005+0.443</f>
        <v>113.50299999999999</v>
      </c>
      <c r="N25" s="6">
        <f>89.523+8.156+18.96+0.812</f>
        <v>117.45100000000001</v>
      </c>
      <c r="O25" s="6">
        <f>82.445+8.377+19.532+2.858</f>
        <v>113.21199999999999</v>
      </c>
      <c r="P25" s="6">
        <v>109.077</v>
      </c>
      <c r="Q25" s="89">
        <f>121.508+22.138</f>
        <v>143.64599999999999</v>
      </c>
      <c r="R25" s="89">
        <v>120.60299999999999</v>
      </c>
      <c r="S25" s="89">
        <v>139.988</v>
      </c>
      <c r="T25" s="89">
        <v>130</v>
      </c>
      <c r="U25" s="89">
        <v>125.851</v>
      </c>
      <c r="V25" s="89">
        <v>113.952</v>
      </c>
      <c r="W25" s="138">
        <v>147.602</v>
      </c>
      <c r="X25" s="9"/>
      <c r="Y25" s="28">
        <v>2.1919929703298675</v>
      </c>
      <c r="Z25" s="28">
        <f t="shared" si="0"/>
        <v>2.6048290275245694</v>
      </c>
      <c r="AA25" s="28">
        <f t="shared" si="0"/>
        <v>-6.6704803508589441</v>
      </c>
      <c r="AB25" s="66">
        <f t="shared" si="0"/>
        <v>3.5884767547688519</v>
      </c>
      <c r="AC25" s="66">
        <f t="shared" si="0"/>
        <v>-2.5362643667856122</v>
      </c>
      <c r="AD25" s="66">
        <f t="shared" si="0"/>
        <v>8.7735597398655276</v>
      </c>
      <c r="AE25" s="66">
        <f t="shared" si="0"/>
        <v>2.9225968490752745</v>
      </c>
      <c r="AF25" s="66">
        <f t="shared" si="0"/>
        <v>6.085106033342365</v>
      </c>
      <c r="AG25" s="66">
        <f t="shared" si="0"/>
        <v>-15.645984525183362</v>
      </c>
      <c r="AH25" s="66">
        <f t="shared" si="0"/>
        <v>3.6093359776700429</v>
      </c>
      <c r="AI25" s="66">
        <f t="shared" si="0"/>
        <v>0.58488342209971589</v>
      </c>
      <c r="AJ25" s="66">
        <f t="shared" si="0"/>
        <v>3.4783221588856876</v>
      </c>
      <c r="AK25" s="66">
        <f t="shared" si="0"/>
        <v>-3.6091646729274491</v>
      </c>
      <c r="AL25" s="66">
        <f t="shared" si="0"/>
        <v>-3.6524396707062778</v>
      </c>
      <c r="AM25" s="98"/>
      <c r="AN25" s="98">
        <f t="shared" si="0"/>
        <v>-16.041518733553314</v>
      </c>
      <c r="AO25" s="98">
        <f t="shared" si="2"/>
        <v>16.073397842508069</v>
      </c>
      <c r="AP25" s="98">
        <f t="shared" si="2"/>
        <v>-7.1348972769094487</v>
      </c>
      <c r="AQ25" s="98">
        <f t="shared" si="2"/>
        <v>-3.1915384615384621</v>
      </c>
      <c r="AR25" s="98">
        <f t="shared" si="2"/>
        <v>-9.4548315070996658</v>
      </c>
      <c r="AS25" s="98">
        <f t="shared" si="3"/>
        <v>29.529977534400455</v>
      </c>
    </row>
    <row r="26" spans="1:45" ht="18" customHeight="1" x14ac:dyDescent="0.25">
      <c r="A26" s="5" t="s">
        <v>23</v>
      </c>
      <c r="B26" s="6">
        <v>172.78921175364508</v>
      </c>
      <c r="C26" s="6">
        <v>160.994</v>
      </c>
      <c r="D26" s="6">
        <v>161.59799999999998</v>
      </c>
      <c r="E26" s="6">
        <f>100.887+12.094+59.453+3.538</f>
        <v>175.97200000000001</v>
      </c>
      <c r="F26" s="6">
        <f>104.044+12.183+62.613+3.433</f>
        <v>182.273</v>
      </c>
      <c r="G26" s="6">
        <f>101.705+12.717+56.021+2.824</f>
        <v>173.267</v>
      </c>
      <c r="H26" s="6">
        <f>65.95+3.542+104.456+11.672</f>
        <v>185.62</v>
      </c>
      <c r="I26" s="6">
        <f>104.918+9.721+61.369+3.457</f>
        <v>179.465</v>
      </c>
      <c r="J26" s="6">
        <f>110.876+10.93+62.585+4.511</f>
        <v>188.90200000000002</v>
      </c>
      <c r="K26" s="6">
        <f>102.683+8.347+62.707+5.082</f>
        <v>178.81899999999999</v>
      </c>
      <c r="L26" s="6">
        <f>99.377+20.696+85.85+19.978</f>
        <v>225.90100000000001</v>
      </c>
      <c r="M26" s="6">
        <f>98.716+19.589+89.34+20.6</f>
        <v>228.24499999999998</v>
      </c>
      <c r="N26" s="6">
        <f>103.81+6.916+88.085+16.041</f>
        <v>214.85199999999998</v>
      </c>
      <c r="O26" s="6">
        <f>102.554+6.81+87.568+13.181</f>
        <v>210.11300000000003</v>
      </c>
      <c r="P26" s="6">
        <v>218.54300000000001</v>
      </c>
      <c r="Q26" s="89">
        <f>123.415+133.62</f>
        <v>257.03500000000003</v>
      </c>
      <c r="R26" s="89">
        <v>279.07799999999997</v>
      </c>
      <c r="S26" s="89">
        <v>276.63299999999998</v>
      </c>
      <c r="T26" s="89">
        <v>248</v>
      </c>
      <c r="U26" s="89">
        <v>241.51900000000001</v>
      </c>
      <c r="V26" s="89">
        <v>257.59399999999999</v>
      </c>
      <c r="W26" s="138">
        <v>213.619</v>
      </c>
      <c r="X26" s="9"/>
      <c r="Y26" s="28">
        <v>-6.8263589109151948</v>
      </c>
      <c r="Z26" s="28">
        <f t="shared" si="0"/>
        <v>0.37516926096623787</v>
      </c>
      <c r="AA26" s="28">
        <f t="shared" si="0"/>
        <v>8.8949120657434033</v>
      </c>
      <c r="AB26" s="66">
        <f t="shared" si="0"/>
        <v>3.5806832905234853</v>
      </c>
      <c r="AC26" s="66">
        <f t="shared" si="0"/>
        <v>-4.9409402379946563</v>
      </c>
      <c r="AD26" s="66">
        <f t="shared" si="0"/>
        <v>7.1294591584087037</v>
      </c>
      <c r="AE26" s="66">
        <f t="shared" si="0"/>
        <v>-3.3159142333800244</v>
      </c>
      <c r="AF26" s="66">
        <f t="shared" si="0"/>
        <v>5.2584069317137114</v>
      </c>
      <c r="AG26" s="66">
        <f t="shared" si="0"/>
        <v>-5.3376883251633256</v>
      </c>
      <c r="AH26" s="66">
        <f t="shared" si="0"/>
        <v>26.329416896414827</v>
      </c>
      <c r="AI26" s="66">
        <f t="shared" si="0"/>
        <v>1.0376226754197482</v>
      </c>
      <c r="AJ26" s="66">
        <f t="shared" si="0"/>
        <v>-5.8678174768341052</v>
      </c>
      <c r="AK26" s="66">
        <f t="shared" si="0"/>
        <v>-2.2057043918604191</v>
      </c>
      <c r="AL26" s="66">
        <f t="shared" si="0"/>
        <v>4.012126807955708</v>
      </c>
      <c r="AM26" s="98"/>
      <c r="AN26" s="98">
        <f t="shared" si="0"/>
        <v>8.5758748808527816</v>
      </c>
      <c r="AO26" s="98">
        <f t="shared" si="2"/>
        <v>-0.87609915507492298</v>
      </c>
      <c r="AP26" s="98">
        <f t="shared" si="2"/>
        <v>-10.350536631566005</v>
      </c>
      <c r="AQ26" s="98">
        <f t="shared" si="2"/>
        <v>-2.613306451612901</v>
      </c>
      <c r="AR26" s="98">
        <f t="shared" si="2"/>
        <v>6.6557910557761453</v>
      </c>
      <c r="AS26" s="98">
        <f t="shared" si="3"/>
        <v>-17.071437999332279</v>
      </c>
    </row>
    <row r="27" spans="1:45" ht="7.5" customHeight="1" x14ac:dyDescent="0.25">
      <c r="B27" s="6"/>
      <c r="C27" s="52"/>
      <c r="D27" s="5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89"/>
      <c r="R27" s="89"/>
      <c r="S27" s="89"/>
      <c r="T27" s="89"/>
      <c r="U27" s="89"/>
      <c r="V27" s="89"/>
      <c r="W27" s="138"/>
      <c r="X27" s="9"/>
      <c r="Y27" s="28"/>
      <c r="Z27" s="28"/>
      <c r="AA27" s="28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98"/>
      <c r="AN27" s="98"/>
      <c r="AO27" s="98"/>
      <c r="AP27" s="98"/>
      <c r="AQ27" s="98"/>
      <c r="AR27" s="98"/>
      <c r="AS27" s="98"/>
    </row>
    <row r="28" spans="1:45" ht="13.5" customHeight="1" x14ac:dyDescent="0.25">
      <c r="A28" s="50" t="s">
        <v>92</v>
      </c>
      <c r="B28" s="51">
        <v>2075.8276948330986</v>
      </c>
      <c r="C28" s="51">
        <v>2208.1550000000002</v>
      </c>
      <c r="D28" s="51">
        <v>2319.0059999999999</v>
      </c>
      <c r="E28" s="51">
        <f t="shared" ref="E28:J28" si="4">SUM(E13:E26)</f>
        <v>2406.319</v>
      </c>
      <c r="F28" s="51">
        <f t="shared" si="4"/>
        <v>2433.1019999999999</v>
      </c>
      <c r="G28" s="51">
        <f t="shared" si="4"/>
        <v>2496.5889999999999</v>
      </c>
      <c r="H28" s="51">
        <f t="shared" si="4"/>
        <v>2581.3210000000004</v>
      </c>
      <c r="I28" s="51">
        <f t="shared" si="4"/>
        <v>2686.3220000000001</v>
      </c>
      <c r="J28" s="51">
        <f t="shared" si="4"/>
        <v>2867.6219999999998</v>
      </c>
      <c r="K28" s="51">
        <f t="shared" ref="K28:P28" si="5">SUM(K13:K26)</f>
        <v>2729.203</v>
      </c>
      <c r="L28" s="51">
        <f t="shared" si="5"/>
        <v>2782.2629999999995</v>
      </c>
      <c r="M28" s="51">
        <f t="shared" si="5"/>
        <v>2930.4670000000001</v>
      </c>
      <c r="N28" s="51">
        <f t="shared" si="5"/>
        <v>2959.9649999999997</v>
      </c>
      <c r="O28" s="51">
        <f t="shared" si="5"/>
        <v>2974.2579999999998</v>
      </c>
      <c r="P28" s="51">
        <f t="shared" si="5"/>
        <v>2922.931</v>
      </c>
      <c r="Q28" s="88">
        <f t="shared" ref="Q28:W28" si="6">SUM(Q13:Q26)-Q20</f>
        <v>3655.2739999999994</v>
      </c>
      <c r="R28" s="88">
        <f t="shared" si="6"/>
        <v>3578.0659999999993</v>
      </c>
      <c r="S28" s="88">
        <f t="shared" si="6"/>
        <v>3673.4780000000001</v>
      </c>
      <c r="T28" s="88">
        <f t="shared" si="6"/>
        <v>3918</v>
      </c>
      <c r="U28" s="88">
        <f t="shared" si="6"/>
        <v>3944.0420000000004</v>
      </c>
      <c r="V28" s="88">
        <f t="shared" si="6"/>
        <v>4028.7280000000001</v>
      </c>
      <c r="W28" s="140">
        <f t="shared" si="6"/>
        <v>4078.1899999999996</v>
      </c>
      <c r="X28" s="10"/>
      <c r="Y28" s="29">
        <v>6.3746767372010158</v>
      </c>
      <c r="Z28" s="29">
        <f t="shared" ref="Z28:AL28" si="7">100*(D28-C28)/C28</f>
        <v>5.0200733191283966</v>
      </c>
      <c r="AA28" s="29">
        <f t="shared" si="7"/>
        <v>3.7651045318554632</v>
      </c>
      <c r="AB28" s="65">
        <f t="shared" si="7"/>
        <v>1.1130278238255154</v>
      </c>
      <c r="AC28" s="65">
        <f t="shared" si="7"/>
        <v>2.609302857011341</v>
      </c>
      <c r="AD28" s="65">
        <f t="shared" si="7"/>
        <v>3.3939106516931874</v>
      </c>
      <c r="AE28" s="65">
        <f t="shared" si="7"/>
        <v>4.0677234640712925</v>
      </c>
      <c r="AF28" s="65">
        <f t="shared" si="7"/>
        <v>6.7490047730688909</v>
      </c>
      <c r="AG28" s="65">
        <f t="shared" si="7"/>
        <v>-4.8269611545733673</v>
      </c>
      <c r="AH28" s="65">
        <f t="shared" si="7"/>
        <v>1.9441573235849254</v>
      </c>
      <c r="AI28" s="65">
        <f t="shared" si="7"/>
        <v>5.3267430145892272</v>
      </c>
      <c r="AJ28" s="65">
        <f t="shared" si="7"/>
        <v>1.0065972420095362</v>
      </c>
      <c r="AK28" s="65">
        <f t="shared" si="7"/>
        <v>0.4828773313198001</v>
      </c>
      <c r="AL28" s="65">
        <f t="shared" si="7"/>
        <v>-1.7257077227328554</v>
      </c>
      <c r="AM28" s="99"/>
      <c r="AN28" s="99">
        <f t="shared" si="0"/>
        <v>-2.1122356354133807</v>
      </c>
      <c r="AO28" s="99">
        <f t="shared" si="2"/>
        <v>2.6665802140038988</v>
      </c>
      <c r="AP28" s="99">
        <f t="shared" si="2"/>
        <v>6.6564166166232637</v>
      </c>
      <c r="AQ28" s="99">
        <f t="shared" si="2"/>
        <v>0.66467585502808502</v>
      </c>
      <c r="AR28" s="99">
        <f t="shared" si="2"/>
        <v>2.1471880877536216</v>
      </c>
      <c r="AS28" s="99">
        <f>100*(W28-V28)/V28</f>
        <v>1.2277324257184783</v>
      </c>
    </row>
    <row r="29" spans="1:45" ht="7.5" customHeight="1" x14ac:dyDescent="0.25">
      <c r="B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89"/>
      <c r="R29" s="89"/>
      <c r="S29" s="89"/>
      <c r="T29" s="89"/>
      <c r="U29" s="89"/>
      <c r="V29" s="89"/>
      <c r="W29" s="138"/>
      <c r="X29" s="9"/>
      <c r="Y29" s="4"/>
      <c r="Z29" s="4"/>
      <c r="AA29" s="4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N29" s="98"/>
      <c r="AO29" s="98"/>
      <c r="AP29" s="98"/>
      <c r="AQ29" s="98"/>
      <c r="AR29" s="98"/>
      <c r="AS29" s="98"/>
    </row>
    <row r="30" spans="1:45" ht="14.25" customHeight="1" x14ac:dyDescent="0.25">
      <c r="A30" s="50" t="s">
        <v>42</v>
      </c>
      <c r="B30" s="51">
        <v>458.10506027014344</v>
      </c>
      <c r="C30" s="51">
        <v>551.072</v>
      </c>
      <c r="D30" s="51">
        <v>559.35799999999995</v>
      </c>
      <c r="E30" s="51">
        <v>586</v>
      </c>
      <c r="F30" s="51">
        <f>605.916-17.76+74.048</f>
        <v>662.20400000000006</v>
      </c>
      <c r="G30" s="51">
        <f>611.775+3.028+96.125</f>
        <v>710.928</v>
      </c>
      <c r="H30" s="51">
        <f>103.534+699.697+9.331</f>
        <v>812.56200000000001</v>
      </c>
      <c r="I30" s="51">
        <f>111.959+0.579+698.84-5.782</f>
        <v>805.596</v>
      </c>
      <c r="J30" s="51">
        <f>872.281-10.945+310.717+0.162</f>
        <v>1172.2149999999999</v>
      </c>
      <c r="K30" s="51">
        <f>868.353+12.567+495.458+1.288</f>
        <v>1377.6659999999999</v>
      </c>
      <c r="L30" s="51">
        <f>498.846-1.319+942.262-8.749</f>
        <v>1431.04</v>
      </c>
      <c r="M30" s="51">
        <f>1003.643-20.071+529.78</f>
        <v>1513.3519999999999</v>
      </c>
      <c r="N30" s="51">
        <v>1589.8989999999999</v>
      </c>
      <c r="O30" s="51">
        <f>1029.663-3.118+585.458-0.265</f>
        <v>1611.7380000000001</v>
      </c>
      <c r="P30" s="51">
        <v>1532.4949999999999</v>
      </c>
      <c r="Q30" s="88"/>
      <c r="R30" s="88"/>
      <c r="S30" s="88"/>
      <c r="T30" s="88"/>
      <c r="U30" s="88"/>
      <c r="V30" s="88"/>
      <c r="W30" s="140"/>
      <c r="X30" s="10"/>
      <c r="Y30" s="29">
        <v>20.293803276269028</v>
      </c>
      <c r="Z30" s="29">
        <f t="shared" ref="Z30:AL30" si="8">100*(D30-C30)/C30</f>
        <v>1.5036147726612756</v>
      </c>
      <c r="AA30" s="29">
        <f t="shared" si="8"/>
        <v>4.762960393880137</v>
      </c>
      <c r="AB30" s="65">
        <f t="shared" si="8"/>
        <v>13.004095563139943</v>
      </c>
      <c r="AC30" s="65">
        <f t="shared" si="8"/>
        <v>7.3578534711357717</v>
      </c>
      <c r="AD30" s="65">
        <f t="shared" si="8"/>
        <v>14.295962460333538</v>
      </c>
      <c r="AE30" s="65">
        <f t="shared" si="8"/>
        <v>-0.85728842845222986</v>
      </c>
      <c r="AF30" s="65">
        <f t="shared" si="8"/>
        <v>45.509039270304214</v>
      </c>
      <c r="AG30" s="65">
        <f t="shared" si="8"/>
        <v>17.526733577031521</v>
      </c>
      <c r="AH30" s="65">
        <f t="shared" si="8"/>
        <v>3.8742336676669109</v>
      </c>
      <c r="AI30" s="65">
        <f t="shared" si="8"/>
        <v>5.7519007155634991</v>
      </c>
      <c r="AJ30" s="65">
        <f t="shared" si="8"/>
        <v>5.0581094153904731</v>
      </c>
      <c r="AK30" s="65">
        <f t="shared" si="8"/>
        <v>1.3736092670037638</v>
      </c>
      <c r="AL30" s="65">
        <f t="shared" si="8"/>
        <v>-4.9166179614801022</v>
      </c>
      <c r="AM30" s="99"/>
      <c r="AN30" s="98"/>
      <c r="AO30" s="98"/>
      <c r="AP30" s="98"/>
      <c r="AQ30" s="98"/>
      <c r="AR30" s="98"/>
      <c r="AS30" s="98"/>
    </row>
    <row r="31" spans="1:45" ht="7.5" customHeight="1" x14ac:dyDescent="0.25">
      <c r="A31" s="50"/>
      <c r="B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89"/>
      <c r="R31" s="89"/>
      <c r="S31" s="89"/>
      <c r="T31" s="89"/>
      <c r="U31" s="89"/>
      <c r="V31" s="89"/>
      <c r="W31" s="138"/>
      <c r="X31" s="9"/>
      <c r="Y31" s="4"/>
      <c r="Z31" s="4"/>
      <c r="AA31" s="4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N31" s="98"/>
      <c r="AO31" s="98"/>
      <c r="AP31" s="98"/>
      <c r="AQ31" s="98"/>
      <c r="AR31" s="98"/>
      <c r="AS31" s="98"/>
    </row>
    <row r="32" spans="1:45" ht="14.25" customHeight="1" x14ac:dyDescent="0.25">
      <c r="A32" s="50" t="s">
        <v>38</v>
      </c>
      <c r="B32" s="51">
        <v>2533.932755103242</v>
      </c>
      <c r="C32" s="51">
        <f t="shared" ref="C32:H32" si="9">C28+C30</f>
        <v>2759.2270000000003</v>
      </c>
      <c r="D32" s="51">
        <f t="shared" si="9"/>
        <v>2878.3639999999996</v>
      </c>
      <c r="E32" s="51">
        <f t="shared" si="9"/>
        <v>2992.319</v>
      </c>
      <c r="F32" s="51">
        <f t="shared" si="9"/>
        <v>3095.306</v>
      </c>
      <c r="G32" s="51">
        <f t="shared" si="9"/>
        <v>3207.5169999999998</v>
      </c>
      <c r="H32" s="51">
        <f t="shared" si="9"/>
        <v>3393.8830000000003</v>
      </c>
      <c r="I32" s="51">
        <f t="shared" ref="I32:N32" si="10">I28+I30</f>
        <v>3491.9180000000001</v>
      </c>
      <c r="J32" s="51">
        <f t="shared" si="10"/>
        <v>4039.8369999999995</v>
      </c>
      <c r="K32" s="51">
        <f t="shared" si="10"/>
        <v>4106.8689999999997</v>
      </c>
      <c r="L32" s="51">
        <f t="shared" si="10"/>
        <v>4213.3029999999999</v>
      </c>
      <c r="M32" s="51">
        <f t="shared" si="10"/>
        <v>4443.8189999999995</v>
      </c>
      <c r="N32" s="51">
        <f t="shared" si="10"/>
        <v>4549.8639999999996</v>
      </c>
      <c r="O32" s="51">
        <f t="shared" ref="O32:P32" si="11">O28+O30</f>
        <v>4585.9960000000001</v>
      </c>
      <c r="P32" s="51">
        <f t="shared" si="11"/>
        <v>4455.4259999999995</v>
      </c>
      <c r="Q32" s="88">
        <f t="shared" ref="Q32" si="12">Q28+Q30</f>
        <v>3655.2739999999994</v>
      </c>
      <c r="R32" s="88">
        <f>R28+R30</f>
        <v>3578.0659999999993</v>
      </c>
      <c r="S32" s="88">
        <f>S28+S30</f>
        <v>3673.4780000000001</v>
      </c>
      <c r="T32" s="88">
        <f>T28+T30</f>
        <v>3918</v>
      </c>
      <c r="U32" s="88">
        <v>3944</v>
      </c>
      <c r="V32" s="88">
        <v>4029</v>
      </c>
      <c r="W32" s="140">
        <v>4078.1899999999996</v>
      </c>
      <c r="X32" s="10"/>
      <c r="Y32" s="29">
        <v>8.8910901223808914</v>
      </c>
      <c r="Z32" s="29">
        <f t="shared" ref="Z32:AL32" si="13">100*(D32-C32)/C32</f>
        <v>4.3177672587285949</v>
      </c>
      <c r="AA32" s="29">
        <f t="shared" si="13"/>
        <v>3.959019776511949</v>
      </c>
      <c r="AB32" s="65">
        <f t="shared" si="13"/>
        <v>3.4417119297775431</v>
      </c>
      <c r="AC32" s="65">
        <f t="shared" si="13"/>
        <v>3.625198930251154</v>
      </c>
      <c r="AD32" s="65">
        <f t="shared" si="13"/>
        <v>5.8102887685396656</v>
      </c>
      <c r="AE32" s="65">
        <f t="shared" si="13"/>
        <v>2.8885792468390878</v>
      </c>
      <c r="AF32" s="65">
        <f t="shared" si="13"/>
        <v>15.691061473952121</v>
      </c>
      <c r="AG32" s="65">
        <f t="shared" si="13"/>
        <v>1.6592748667829955</v>
      </c>
      <c r="AH32" s="65">
        <f t="shared" si="13"/>
        <v>2.5916093257418291</v>
      </c>
      <c r="AI32" s="65">
        <f t="shared" si="13"/>
        <v>5.4711469837322317</v>
      </c>
      <c r="AJ32" s="65">
        <f t="shared" si="13"/>
        <v>2.3863483188671744</v>
      </c>
      <c r="AK32" s="65">
        <f t="shared" si="13"/>
        <v>0.79413362685127553</v>
      </c>
      <c r="AL32" s="65">
        <f t="shared" si="13"/>
        <v>-2.8471459634940941</v>
      </c>
      <c r="AM32" s="99"/>
      <c r="AN32" s="99">
        <f t="shared" ref="AN32" si="14">100*(R32-Q32)/Q32</f>
        <v>-2.1122356354133807</v>
      </c>
      <c r="AO32" s="99">
        <f>100*(S32-R32)/R32</f>
        <v>2.6665802140038988</v>
      </c>
      <c r="AP32" s="99">
        <f>100*(T32-S32)/S32</f>
        <v>6.6564166166232637</v>
      </c>
      <c r="AQ32" s="99">
        <f>100*(U32-T32)/T32</f>
        <v>0.66360387953037259</v>
      </c>
      <c r="AR32" s="99">
        <f>100*(V32-U32)/U32</f>
        <v>2.1551724137931036</v>
      </c>
      <c r="AS32" s="99">
        <f>100*(W32-V32)/V32</f>
        <v>1.2208984859766592</v>
      </c>
    </row>
    <row r="33" spans="1:40" x14ac:dyDescent="0.2">
      <c r="X33" s="3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92"/>
      <c r="AN33" s="92"/>
    </row>
    <row r="34" spans="1:40" ht="13.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93"/>
      <c r="R34" s="93"/>
      <c r="S34" s="93"/>
      <c r="T34" s="93"/>
      <c r="U34" s="93"/>
      <c r="V34" s="93"/>
      <c r="W34" s="93"/>
      <c r="X34" s="3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95"/>
      <c r="AN34" s="95"/>
    </row>
    <row r="35" spans="1:40" ht="13.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93"/>
      <c r="R35" s="93"/>
      <c r="S35" s="93"/>
      <c r="T35" s="93"/>
      <c r="U35" s="93"/>
      <c r="V35" s="93"/>
      <c r="W35" s="93"/>
      <c r="X35" s="3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95"/>
      <c r="AN35" s="95"/>
    </row>
    <row r="36" spans="1:4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93"/>
      <c r="R36" s="93"/>
      <c r="S36" s="93"/>
      <c r="T36" s="93"/>
      <c r="U36" s="93"/>
      <c r="V36" s="93"/>
      <c r="W36" s="93"/>
      <c r="X36" s="3"/>
      <c r="Y36" s="3"/>
      <c r="Z36" s="3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93"/>
      <c r="AN36" s="93"/>
    </row>
    <row r="37" spans="1:4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93"/>
      <c r="R37" s="93"/>
      <c r="S37" s="93"/>
      <c r="T37" s="93"/>
      <c r="U37" s="93"/>
      <c r="V37" s="93"/>
      <c r="W37" s="93"/>
      <c r="X37" s="3"/>
      <c r="Y37" s="3"/>
      <c r="Z37" s="3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93"/>
      <c r="AN37" s="93"/>
    </row>
    <row r="38" spans="1:40" ht="13.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95"/>
      <c r="R38" s="95"/>
      <c r="S38" s="95"/>
      <c r="T38" s="95"/>
      <c r="U38" s="95"/>
      <c r="V38" s="95"/>
      <c r="W38" s="95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95"/>
      <c r="AN38" s="95"/>
    </row>
    <row r="39" spans="1:40" ht="13.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95"/>
      <c r="R39" s="95"/>
      <c r="S39" s="95"/>
      <c r="T39" s="95"/>
      <c r="U39" s="95"/>
      <c r="V39" s="95"/>
      <c r="W39" s="95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95"/>
      <c r="AN39" s="95"/>
    </row>
    <row r="40" spans="1:40" ht="13.5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95"/>
      <c r="R40" s="95"/>
      <c r="S40" s="95"/>
      <c r="T40" s="95"/>
      <c r="U40" s="95"/>
      <c r="V40" s="95"/>
      <c r="W40" s="95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95"/>
      <c r="AN40" s="95"/>
    </row>
    <row r="41" spans="1:40" ht="13.5" x14ac:dyDescent="0.25"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95"/>
      <c r="AN41" s="95"/>
    </row>
    <row r="42" spans="1:40" ht="13.5" x14ac:dyDescent="0.25"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95"/>
      <c r="AN42" s="95"/>
    </row>
    <row r="43" spans="1:40" ht="13.5" x14ac:dyDescent="0.25"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95"/>
      <c r="AN43" s="95"/>
    </row>
  </sheetData>
  <phoneticPr fontId="8" type="noConversion"/>
  <pageMargins left="0.43307086614173229" right="0.19685039370078741" top="0.98425196850393704" bottom="0.98425196850393704" header="0.51181102362204722" footer="0.51181102362204722"/>
  <pageSetup paperSize="9" orientation="landscape" r:id="rId1"/>
  <headerFooter alignWithMargins="0"/>
  <ignoredErrors>
    <ignoredError sqref="AK9" twoDigitTextYear="1"/>
    <ignoredError sqref="U20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6000AE223E22E49AE9A6766EBE498ED" ma:contentTypeVersion="16" ma:contentTypeDescription="Luo uusi asiakirja." ma:contentTypeScope="" ma:versionID="c40971b0d5d5be0ae241f03b005fa5e8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f663e8a423fe73adec3a7f4f5d4ff3d4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ecfe813c-4066-4bef-b87d-398c4f4d9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e14ed75-3691-450a-af16-cae415c2fdc8}" ma:internalName="TaxCatchAll" ma:showField="CatchAllData" ma:web="c40c7b59-5744-49aa-9631-c4247212e4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78ba95-7023-46b8-8863-14b2a5814243">
      <Terms xmlns="http://schemas.microsoft.com/office/infopath/2007/PartnerControls"/>
    </lcf76f155ced4ddcb4097134ff3c332f>
    <TaxCatchAll xmlns="c40c7b59-5744-49aa-9631-c4247212e49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470136-E4D2-4D74-9F51-32CEA3F31592}"/>
</file>

<file path=customXml/itemProps2.xml><?xml version="1.0" encoding="utf-8"?>
<ds:datastoreItem xmlns:ds="http://schemas.openxmlformats.org/officeDocument/2006/customXml" ds:itemID="{45080A23-A842-46F1-BD19-782A6576062F}">
  <ds:schemaRefs>
    <ds:schemaRef ds:uri="http://purl.org/dc/elements/1.1/"/>
    <ds:schemaRef ds:uri="932016e1-39dc-4ccb-b3f5-182c0cf322a9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44596b14-e993-4e08-9bb4-0f1b5ec5547e"/>
  </ds:schemaRefs>
</ds:datastoreItem>
</file>

<file path=customXml/itemProps3.xml><?xml version="1.0" encoding="utf-8"?>
<ds:datastoreItem xmlns:ds="http://schemas.openxmlformats.org/officeDocument/2006/customXml" ds:itemID="{D52648E6-713C-490A-8520-D420AB7497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4</vt:i4>
      </vt:variant>
    </vt:vector>
  </HeadingPairs>
  <TitlesOfParts>
    <vt:vector size="8" baseType="lpstr">
      <vt:lpstr>aspalvelut</vt:lpstr>
      <vt:lpstr>aspalv yks</vt:lpstr>
      <vt:lpstr>muiden palv. ostot, erittely</vt:lpstr>
      <vt:lpstr>materiaalin ostot, erittely</vt:lpstr>
      <vt:lpstr>'aspalv yks'!Tulostusalue</vt:lpstr>
      <vt:lpstr>aspalvelut!Tulostusalue</vt:lpstr>
      <vt:lpstr>'materiaalin ostot, erittely'!Tulostusalue</vt:lpstr>
      <vt:lpstr>'muiden palv. ostot, erittely'!Tulostusalue</vt:lpstr>
    </vt:vector>
  </TitlesOfParts>
  <Company>Suomen Kuntaliitto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pukkihe</dc:creator>
  <cp:lastModifiedBy>Hottinen Aaro</cp:lastModifiedBy>
  <cp:lastPrinted>2017-10-28T15:36:15Z</cp:lastPrinted>
  <dcterms:created xsi:type="dcterms:W3CDTF">2002-02-28T08:31:45Z</dcterms:created>
  <dcterms:modified xsi:type="dcterms:W3CDTF">2022-09-20T13:02:42Z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0x010100641376E34229B049B02C196E7B008E0B</vt:lpwstr>
  </property>
</Properties>
</file>