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80" tabRatio="748" activeTab="1"/>
  </bookViews>
  <sheets>
    <sheet name="1.Täyttöohjeet" sheetId="1" r:id="rId1"/>
    <sheet name="2.Yhteenveto" sheetId="2" r:id="rId2"/>
    <sheet name="3.Ikärakenne" sheetId="3" r:id="rId3"/>
    <sheet name="4.Muut lask. kustannukset" sheetId="4" r:id="rId4"/>
    <sheet name="5.Lisäosat" sheetId="5" r:id="rId5"/>
    <sheet name="6.Vähennykset ja lisäykset" sheetId="6" r:id="rId6"/>
    <sheet name="7.Järjestelmämuutos 2015" sheetId="7" state="hidden" r:id="rId7"/>
    <sheet name="7.Tulopohjan tasaus" sheetId="8" state="hidden" r:id="rId8"/>
    <sheet name="8.Kotikuntakorvaukset" sheetId="9" state="hidden" r:id="rId9"/>
    <sheet name="8.Opetus ja kulttuuri, muu vos" sheetId="10" r:id="rId10"/>
    <sheet name="9.Lukio" sheetId="11" r:id="rId11"/>
    <sheet name="tiedot" sheetId="12" state="hidden" r:id="rId12"/>
  </sheets>
  <definedNames>
    <definedName name="_xlnm._FilterDatabase" localSheetId="11" hidden="1">'tiedot'!$A$1:$CR$1</definedName>
    <definedName name="_xlfn.SUMIFS" hidden="1">#NAME?</definedName>
    <definedName name="_xlfn.XLOOKUP" hidden="1">#NAME?</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okm_1">'tiedot'!$CR$2:$CR$294</definedName>
    <definedName name="sair_0">'tiedot'!$AE$2:$AE$295</definedName>
    <definedName name="sair_1">'tiedot'!$AF$2:$AF$295</definedName>
    <definedName name="sair_2">'tiedot'!#REF!</definedName>
    <definedName name="sair_3">'tiedot'!#REF!</definedName>
    <definedName name="sair_4">'tiedot'!#REF!</definedName>
    <definedName name="tasa_1">'tiedot'!$CJ$2:$CJ$295</definedName>
    <definedName name="_xlnm.Print_Area" localSheetId="0">'1.Täyttöohjeet'!$A$1:$M$105</definedName>
    <definedName name="_xlnm.Print_Area" localSheetId="1">'2.Yhteenveto'!$A$11:$M$66</definedName>
    <definedName name="_xlnm.Print_Area" localSheetId="8">'8.Kotikuntakorvaukset'!$E$10:$K$51</definedName>
    <definedName name="_xlnm.Print_Area" localSheetId="9">'8.Opetus ja kulttuuri, muu vos'!$A$1:$K$106</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'tiedot'!$BX$2:$BX$296</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'tiedot'!$CH$2:$CH$294</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0.xml><?xml version="1.0" encoding="utf-8"?>
<comments xmlns="http://schemas.openxmlformats.org/spreadsheetml/2006/main">
  <authors>
    <author>Lehtonen Sanna</author>
  </authors>
  <commentList>
    <comment ref="C73"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5"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2"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4"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6"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2"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<sst xmlns="http://schemas.openxmlformats.org/spreadsheetml/2006/main" count="883" uniqueCount="737">
  <si>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</si>
  <si>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</si>
  <si>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</si>
  <si>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</si>
  <si>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</si>
  <si>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</si>
  <si>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</si>
  <si>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</si>
  <si>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</si>
  <si>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</si>
  <si>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</si>
  <si>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</si>
  <si>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</si>
  <si>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</si>
  <si>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</si>
  <si>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</si>
  <si>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</si>
  <si>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</si>
  <si>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</si>
  <si>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</si>
  <si>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</si>
  <si>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</si>
  <si>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</si>
  <si>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</si>
  <si>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</si>
  <si>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</si>
  <si>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</si>
  <si>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</si>
  <si>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</si>
  <si>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</si>
  <si>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</si>
  <si>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</si>
  <si>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</si>
  <si>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</si>
  <si>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</si>
  <si>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</si>
  <si>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</si>
  <si>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</si>
  <si>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</si>
  <si>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</si>
  <si>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</si>
  <si>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</si>
  <si>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</si>
  <si>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</si>
  <si>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</si>
  <si>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</si>
  <si>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</si>
  <si>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</si>
  <si>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</si>
  <si>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</si>
  <si>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</si>
  <si>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</si>
  <si>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</si>
  <si>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</si>
  <si>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</si>
  <si>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</si>
  <si>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</si>
  <si>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</si>
  <si>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</si>
  <si>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</si>
  <si>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</si>
  <si>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</si>
  <si>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</si>
  <si>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</si>
  <si>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</si>
  <si>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</si>
  <si>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</si>
  <si>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</si>
  <si>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</si>
  <si>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</si>
  <si>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</si>
  <si>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</si>
  <si>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</si>
  <si>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</si>
  <si>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</si>
  <si>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</si>
  <si>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</si>
  <si>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</si>
  <si>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</si>
  <si>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</si>
  <si>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</si>
  <si>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</si>
  <si>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</si>
  <si>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</si>
  <si>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</si>
  <si>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</si>
  <si>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</si>
  <si>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</si>
  <si>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</si>
  <si>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</si>
  <si>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</si>
  <si>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</si>
  <si>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</si>
  <si>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</si>
  <si>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</si>
  <si>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</si>
  <si>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</si>
  <si>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</si>
  <si>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</si>
  <si>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</si>
  <si>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</si>
  <si>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</si>
  <si>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</si>
  <si>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</si>
  <si>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</si>
  <si>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</si>
  <si>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</si>
  <si>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</si>
  <si>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</si>
  <si>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</si>
  <si>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</si>
  <si>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</si>
  <si>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</si>
  <si>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</si>
  <si>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</si>
  <si>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</si>
  <si>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</si>
  <si>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</si>
  <si>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</si>
  <si>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</si>
  <si>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</si>
  <si>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</si>
  <si>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</si>
  <si>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</si>
  <si>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</si>
  <si>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</si>
  <si>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</si>
  <si>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</si>
  <si>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</si>
  <si>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</si>
  <si>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</si>
  <si>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</si>
  <si>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</si>
  <si>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</si>
  <si>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</si>
  <si>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</si>
  <si>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</si>
  <si>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</si>
  <si>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</si>
  <si>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</si>
  <si>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</si>
  <si>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</si>
  <si>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</si>
  <si>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</si>
  <si>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</si>
  <si>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</si>
  <si>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</si>
  <si>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</si>
  <si>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</si>
  <si>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</si>
  <si>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</si>
  <si>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</si>
  <si>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</si>
  <si>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</si>
  <si>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</si>
  <si>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</si>
  <si>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</si>
  <si>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</si>
  <si>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</si>
  <si>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</si>
  <si>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</si>
  <si>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</si>
  <si>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</si>
  <si>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</si>
  <si>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</si>
  <si>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</si>
  <si>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</si>
  <si>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</si>
  <si>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</si>
  <si>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</si>
  <si>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</si>
  <si>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</si>
  <si>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</si>
  <si>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</si>
  <si>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</si>
  <si>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</si>
  <si>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</si>
  <si>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</si>
  <si>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</si>
  <si>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</si>
  <si>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</si>
  <si>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</si>
  <si>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</si>
  <si>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</si>
  <si>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</si>
  <si>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</si>
  <si>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</si>
  <si>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</si>
  <si>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</si>
  <si>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</si>
  <si>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</si>
  <si>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</si>
  <si>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</si>
  <si>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</si>
  <si>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</si>
  <si>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</si>
  <si>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</si>
  <si>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</si>
  <si>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</si>
  <si>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</si>
  <si>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</si>
  <si>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</si>
  <si>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</si>
  <si>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</si>
  <si>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</si>
  <si>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</si>
  <si>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</si>
  <si>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</si>
  <si>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</si>
  <si>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</si>
  <si>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</si>
  <si>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</si>
  <si>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</si>
  <si>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</si>
  <si>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</si>
  <si>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</si>
  <si>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</si>
  <si>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</si>
  <si>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</si>
  <si>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</si>
  <si>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</si>
  <si>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</si>
  <si>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</si>
  <si>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</si>
  <si>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</si>
  <si>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</si>
  <si>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</si>
  <si>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</si>
  <si>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</si>
  <si>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</si>
  <si>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</si>
  <si>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</si>
  <si>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</si>
  <si>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</si>
  <si>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</si>
  <si>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</si>
  <si>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</si>
  <si>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</si>
  <si>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</si>
  <si>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</si>
  <si>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</si>
  <si>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</si>
  <si>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</si>
  <si>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</si>
  <si>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</si>
  <si>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</si>
  <si>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</si>
  <si>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</si>
  <si>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</si>
  <si>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</si>
  <si>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</si>
  <si>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</si>
  <si>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</si>
  <si>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</si>
  <si>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</si>
  <si>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</si>
  <si>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</si>
  <si>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</si>
  <si>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</si>
  <si>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</si>
  <si>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</si>
  <si>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</si>
  <si>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</si>
  <si>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</si>
  <si>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</si>
  <si>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</si>
  <si>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</si>
  <si>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</si>
  <si>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</si>
  <si>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</si>
  <si>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</si>
  <si>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</si>
  <si>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</si>
  <si>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</si>
  <si>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</si>
  <si>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</si>
  <si>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</si>
  <si>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</si>
  <si>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</si>
  <si>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</si>
  <si>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</si>
  <si>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</si>
  <si>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</si>
  <si>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</si>
  <si>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</si>
  <si>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</si>
  <si>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</si>
  <si>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</si>
  <si>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</si>
  <si>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</si>
  <si>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</si>
  <si>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</si>
  <si>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</si>
  <si>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</si>
  <si>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</si>
  <si>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</si>
  <si>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</si>
  <si>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</si>
  <si>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</si>
  <si>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</si>
  <si>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</si>
  <si>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</si>
  <si>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</si>
  <si>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</si>
  <si>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</si>
  <si>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</si>
  <si>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</si>
  <si>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</si>
  <si>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</si>
  <si>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</si>
  <si>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</si>
  <si>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</si>
  <si>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</si>
  <si>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</si>
  <si>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</si>
  <si>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</si>
  <si>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</si>
  <si>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</si>
  <si>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</si>
  <si>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</si>
  <si>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</si>
  <si>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</si>
  <si>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</si>
  <si>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</si>
  <si>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</si>
  <si>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</si>
  <si>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</si>
  <si>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</si>
  <si>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</si>
  <si>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</si>
  <si>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</si>
  <si>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</si>
  <si>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</si>
  <si>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</si>
  <si>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</si>
  <si>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</si>
  <si>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</si>
  <si>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</si>
  <si>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</si>
  <si>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</si>
  <si>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</si>
  <si>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</si>
  <si>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</si>
  <si>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</si>
  <si>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</si>
  <si>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</si>
  <si>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</si>
  <si>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</si>
  <si>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</si>
  <si>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</si>
  <si>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</si>
  <si>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</si>
  <si>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</si>
  <si>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</si>
  <si>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</si>
  <si>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</si>
  <si>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</si>
  <si>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</si>
  <si>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</si>
  <si>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</si>
  <si>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</si>
  <si>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</si>
  <si>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</si>
  <si>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</si>
  <si>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</si>
  <si>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</si>
  <si>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</si>
  <si>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</si>
  <si>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</si>
  <si>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</si>
  <si>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</si>
  <si>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</si>
  <si>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</si>
  <si>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</si>
  <si>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</si>
  <si>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</si>
  <si>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</si>
  <si>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</si>
  <si>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</si>
  <si>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</si>
  <si>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</si>
  <si>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</si>
  <si>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</si>
  <si>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2</t>
  </si>
  <si>
    <t>LUKION YKSIKKÖHINTA</t>
  </si>
  <si>
    <t>LUKION YKSIKKÖHINTARAHOITUKSEN LASKENNALLINEN PERUSTE</t>
  </si>
  <si>
    <t>Lukion yksikköhintarahoituksen laskennallinen peruste yhteensä</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</si>
  <si>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</si>
  <si>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</si>
  <si>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</si>
  <si>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</si>
  <si>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</si>
  <si>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</si>
  <si>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</si>
  <si>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</si>
  <si>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</si>
  <si>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</si>
  <si>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</si>
  <si>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</si>
  <si>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</si>
  <si>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</si>
  <si>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</si>
  <si>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</si>
  <si>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</si>
  <si>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</si>
  <si>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</si>
  <si>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</si>
  <si>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</si>
  <si>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</si>
  <si>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</si>
  <si>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</si>
  <si>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</si>
  <si>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</si>
  <si>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</si>
  <si>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</si>
  <si>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</si>
  <si>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</si>
  <si>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</si>
  <si>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</si>
  <si>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</si>
  <si>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</si>
  <si>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</si>
  <si>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</si>
  <si>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</si>
  <si>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</si>
  <si>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</si>
  <si>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</si>
  <si>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</si>
  <si>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</si>
  <si>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</si>
  <si>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</si>
  <si>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</si>
  <si>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</si>
  <si>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</si>
  <si>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</si>
  <si>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</si>
  <si>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</si>
  <si>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</si>
  <si>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</si>
  <si>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</si>
  <si>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</si>
  <si>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</si>
  <si>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</si>
  <si>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</si>
  <si>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</si>
  <si>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</si>
  <si>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</si>
  <si>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</si>
  <si>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</si>
  <si>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</si>
  <si>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</si>
  <si>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</si>
  <si>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</si>
  <si>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</si>
  <si>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</si>
  <si>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</si>
  <si>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</si>
  <si>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</si>
  <si>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</si>
  <si>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</si>
  <si>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</si>
  <si>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</si>
  <si>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</si>
  <si>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</si>
  <si>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</si>
  <si>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</si>
  <si>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</si>
  <si>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</si>
  <si>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</si>
  <si>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</si>
  <si>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</si>
  <si>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</si>
  <si>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</si>
  <si>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</si>
  <si>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</si>
  <si>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</si>
  <si>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</si>
  <si>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</si>
  <si>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</si>
  <si>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</si>
  <si>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</si>
  <si>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</si>
  <si>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</si>
  <si>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</si>
  <si>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</si>
  <si>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</si>
  <si>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</si>
  <si>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</si>
  <si>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</si>
  <si>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</si>
  <si>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</si>
  <si>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</si>
  <si>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</si>
  <si>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</si>
  <si>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</si>
  <si>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</si>
  <si>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</si>
  <si>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</si>
  <si>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</si>
  <si>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</si>
  <si>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</si>
  <si>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</si>
  <si>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</si>
  <si>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</si>
  <si>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</si>
  <si>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</si>
  <si>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</si>
  <si>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</si>
  <si>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</si>
  <si>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</si>
  <si>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</si>
  <si>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</si>
  <si>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</si>
  <si>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</si>
  <si>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</si>
  <si>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</si>
  <si>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</si>
  <si>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</si>
  <si>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</si>
  <si>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</si>
  <si>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</si>
  <si>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</si>
  <si>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</si>
  <si>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</si>
  <si>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</si>
  <si>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</si>
  <si>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</si>
  <si>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</si>
  <si>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</si>
  <si>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</si>
  <si>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</si>
  <si>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</si>
  <si>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</si>
  <si>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</si>
  <si>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</si>
  <si>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</si>
  <si>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</si>
  <si>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</si>
  <si>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</si>
  <si>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</si>
  <si>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</si>
  <si>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</si>
  <si>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</si>
  <si>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</si>
  <si>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</si>
  <si>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</si>
  <si>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Vuoden 2010 järjestelmämuutoksen tasaus</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</si>
  <si>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</si>
  <si>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</si>
  <si>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</si>
  <si>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</si>
  <si>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</si>
  <si>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</si>
  <si>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</si>
  <si>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</si>
  <si>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</si>
  <si>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</si>
  <si>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</si>
  <si>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</si>
  <si>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</si>
  <si>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</si>
  <si>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</si>
  <si>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</si>
  <si>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</si>
  <si>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</si>
  <si>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</si>
  <si>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</si>
  <si>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</si>
  <si>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</si>
  <si>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</si>
  <si>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</si>
  <si>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</si>
  <si>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</si>
  <si>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</si>
  <si>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</si>
  <si>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</si>
  <si>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</si>
  <si>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</si>
  <si>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</si>
  <si>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</si>
  <si>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</si>
  <si>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</si>
  <si>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</si>
  <si>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</si>
  <si>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</si>
  <si>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</si>
  <si>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</si>
  <si>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Sairastavuuden perushinta</t>
  </si>
  <si>
    <t>Todennetun osaamisen rekisteri</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</si>
  <si>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</si>
  <si>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</si>
  <si>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</si>
  <si>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</si>
  <si>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</si>
  <si>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</si>
  <si>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</si>
  <si>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</si>
  <si>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 xml:space="preserve">  Aineopetus</t>
  </si>
  <si>
    <t>läsnäolokuukausia</t>
  </si>
  <si>
    <t>€/ohjaustunti</t>
  </si>
  <si>
    <t>Kansanopistot</t>
  </si>
  <si>
    <t>€/opetustunti</t>
  </si>
  <si>
    <t>€/opiskelijaviikko</t>
  </si>
  <si>
    <t>Kesäyliopisto</t>
  </si>
  <si>
    <t>Liikunnan koulutuskeskukset</t>
  </si>
  <si>
    <t>€/opisk.vrk.</t>
  </si>
  <si>
    <t>Taiteen perusopetus</t>
  </si>
  <si>
    <t>(Musiikkioppilaitos)</t>
  </si>
  <si>
    <t>18.6.2018, Kuntaliitto / SL</t>
  </si>
  <si>
    <t>2. Opetus- ja kulttuuritoimen valtionosuudet 2018</t>
  </si>
  <si>
    <t>Kunnan valtionosuusrahoitus 2019</t>
  </si>
  <si>
    <t>Veroperustemuutosten vaikutus vuodelta 2019</t>
  </si>
  <si>
    <t xml:space="preserve">Kuntien digitalisaatiokannustimen rahoitus </t>
  </si>
  <si>
    <t>Harkinnanvaraisen valtionosuuden korotuksen rahoitus</t>
  </si>
  <si>
    <t>Laskennalliset kustannukset yhteensä</t>
  </si>
  <si>
    <t xml:space="preserve">Valtion osuus laskennallisesta kustannuksesta </t>
  </si>
  <si>
    <t>KUNNAN VALTIONOSUUSRAHOITUS 2018</t>
  </si>
  <si>
    <t>Asukasluku 31.12.2016:</t>
  </si>
  <si>
    <t>Kunnan laskennalliset kustannukset yhteensä</t>
  </si>
  <si>
    <t>Kunnan omarahoitusosuus laskennallisesta kustannuksesta</t>
  </si>
  <si>
    <t>valtionosuusprosentti</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</si>
  <si>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</si>
  <si>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</si>
  <si>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</si>
  <si>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</si>
  <si>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</si>
  <si>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</si>
  <si>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</si>
  <si>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</si>
  <si>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</si>
  <si>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</si>
  <si>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</si>
  <si>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vl_24</t>
  </si>
  <si>
    <t>Vuoden 2015 valtionosuusjärjestelmämuutoksen tasaus vuonna 2019</t>
  </si>
  <si>
    <t>Vuoden 2019 valtionosuudessa huomioon otettava osuus muutoksesta, yhteensä euroa</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</si>
  <si>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</si>
  <si>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</si>
  <si>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</si>
  <si>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</si>
  <si>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</si>
  <si>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</si>
  <si>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</si>
  <si>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</si>
  <si>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</si>
  <si>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</si>
  <si>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</si>
  <si>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</si>
  <si>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</si>
  <si>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Painotettu opiskelijamäärä</t>
  </si>
  <si>
    <t>LUKIOKOULUTUKSEEN VALMISTAVA KOULUTUS</t>
  </si>
  <si>
    <t>Nuoret opiskelijat</t>
  </si>
  <si>
    <t>Aikuisten oppimäärän opiskelijat</t>
  </si>
  <si>
    <t>Sisäoppilaitoksen opiskelijat</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</si>
  <si>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</si>
  <si>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</si>
  <si>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</si>
  <si>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</si>
  <si>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</si>
  <si>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</si>
  <si>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</si>
  <si>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</si>
  <si>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</si>
  <si>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</si>
  <si>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</si>
  <si>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</si>
  <si>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</si>
  <si>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</si>
  <si>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</si>
  <si>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</si>
  <si>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</si>
  <si>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</si>
  <si>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</si>
  <si>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Veroperustemuutosten vaikutus vuodelta 2020</t>
  </si>
  <si>
    <t>vl_25</t>
  </si>
  <si>
    <t>vl_26</t>
  </si>
  <si>
    <t>Nämä viety valtionosuusprosenttiin (-0,01 %-yksikköä)</t>
  </si>
  <si>
    <t>vuodesta 2020 alkaen</t>
  </si>
  <si>
    <t xml:space="preserve">2. Opetus- ja kulttuuritoimen valtionosuudet </t>
  </si>
  <si>
    <t>€/kuukausi</t>
  </si>
  <si>
    <t>maksatus</t>
  </si>
  <si>
    <r>
      <rPr>
        <b/>
        <i/>
        <sz val="10"/>
        <rFont val="Arial"/>
        <family val="2"/>
      </rPr>
      <t>Lisätiedot</t>
    </r>
    <r>
      <rPr>
        <i/>
        <sz val="10"/>
        <rFont val="Arial"/>
        <family val="2"/>
      </rPr>
      <t>: Suomen Kuntaliitto / Mikko Mehtonen, p. 050-592 8986</t>
    </r>
  </si>
  <si>
    <t>Kriisikuntien harkinnan varainen yhdistymisavustus</t>
  </si>
  <si>
    <t>Veroperustemuutosten vaikutus vuodelta 2021</t>
  </si>
  <si>
    <t>vl_27</t>
  </si>
  <si>
    <t>vl_28</t>
  </si>
  <si>
    <t>vl_29</t>
  </si>
  <si>
    <t>VEROMENETYSTEN KOMPENSAATIOT YHTEENSÄ</t>
  </si>
  <si>
    <t>Kotikuntakorvaukset vuonna 2021</t>
  </si>
  <si>
    <t>peruste vuonna 2021</t>
  </si>
  <si>
    <t>Vuosi 2021</t>
  </si>
  <si>
    <t>Yksikköhinta (€/kurssi)</t>
  </si>
  <si>
    <t>Veronmaksulykkäysten korvauksen takaisinperintä osana koronatukijärjestelyjä</t>
  </si>
  <si>
    <t>Veroperustemuutosten vaikutus vuodelta 2022</t>
  </si>
  <si>
    <t>Momentti 28.90.35 Verotulomenetysten korvaus</t>
  </si>
  <si>
    <t>Asukasluku 31.12.2020:</t>
  </si>
  <si>
    <t>Lisäosat 2022</t>
  </si>
  <si>
    <t>KUNNAN VALTIONOSUUSRAHOITUS 2022</t>
  </si>
  <si>
    <t>Ikärakenteen laskennalliset kustannukset 2022</t>
  </si>
  <si>
    <t>muut laskennalliset kustannukset 2022</t>
  </si>
  <si>
    <t>Valtionosuuteen tehtävät vähennykset ja lisäykset 2022</t>
  </si>
  <si>
    <t>Kuntien yhdistymisavustus</t>
  </si>
  <si>
    <t>- verotulomenetysten korvaukset vuosina 2010-2022 (ml. takaisinperintä)</t>
  </si>
  <si>
    <t>Opetus ja kulttuuritoimen valtionosuus 2022</t>
  </si>
  <si>
    <t>Lukioiden yksikköhintarahoitus 2022</t>
  </si>
  <si>
    <t>Suomenkielinen lukiokoulutus 20.9.2021: 1)</t>
  </si>
  <si>
    <t>Ruotsinkielinen lukiokoulutus 20.9.2021: 1)</t>
  </si>
  <si>
    <t>Arvioitu opiskelijamäärä 20.1.2021</t>
  </si>
  <si>
    <t>Arvioitu opiskelijamäärä 20.9.2021</t>
  </si>
  <si>
    <t>Koulutustaustan perusteella yhteensä</t>
  </si>
  <si>
    <t>Kunnan valtionosuusrahoitus 2022</t>
  </si>
  <si>
    <t>Kunnan valtionosuus ja verotulomen. korvaukset 2022</t>
  </si>
  <si>
    <t>Kunnan valtionosuus, verotulomen. korvaus ja kotikuntakorvaukset 2022</t>
  </si>
  <si>
    <t>MOMENTTI: Valtion korvaus veromenetyksistä</t>
  </si>
  <si>
    <t xml:space="preserve"> - syrjäisyysluku alle 1</t>
  </si>
  <si>
    <t xml:space="preserve"> - syrjäisyysluku 1 - 1,5</t>
  </si>
  <si>
    <t>- syrjäisyysluku 1,5 tai enemmän</t>
  </si>
  <si>
    <t>Sote-uudistuksen muutoskustannuskorvaus</t>
  </si>
  <si>
    <t>Sivu 2/2</t>
  </si>
  <si>
    <t>Sivu 1/2</t>
  </si>
  <si>
    <t>Koko maan</t>
  </si>
  <si>
    <t>Maakuntien liittojen tehtävät</t>
  </si>
  <si>
    <t>Vuoden 2022 rahoitus</t>
  </si>
  <si>
    <r>
      <t xml:space="preserve">Laskurilla laskettu rahoitus </t>
    </r>
    <r>
      <rPr>
        <sz val="8"/>
        <color indexed="23"/>
        <rFont val="Arial"/>
        <family val="2"/>
      </rPr>
      <t>(vain jos olet täyttänyt välilehdet 8 ja 9)</t>
    </r>
  </si>
  <si>
    <t>Yksikköhinnat</t>
  </si>
  <si>
    <t>okm_1</t>
  </si>
  <si>
    <t>Yksikköhinta 2022</t>
  </si>
  <si>
    <t>Lukiokoulutuksen erityis- ja kehittämistehtävät</t>
  </si>
  <si>
    <t>Lähde: opetushallituksen vos-raportit</t>
  </si>
  <si>
    <t>https://vos.oph.fi/rap/</t>
  </si>
  <si>
    <t>Vihje: korvaa laskurin summa ylempään soluun (L42) vain mikäli olet täytttänyt välilehdet 8 ja 9.</t>
  </si>
  <si>
    <t>13.1.2022 / Kuntaliitto, Päivi Väisänen-Haapanen, Kyösti Värri, Mikko Mehtonen</t>
  </si>
  <si>
    <t>kotoutumissuunnitelmaan hyväksyttävä koulutus: vos-prosentti 100 %</t>
  </si>
  <si>
    <t>yksikköhinnan pohja-arvo (297,48), opistokohtaiseen yksikköhintaan voi tulla muutoksia</t>
  </si>
  <si>
    <t>oppivelvollisille suunnattu koulutus: vos-prosentti 100 %</t>
  </si>
  <si>
    <t>Laskuri sisältää vain lukiokoulutuksen yksikköhintarahoituksen. Voit arvioida lisärahoitusta esimerkiksi edellisvuoden summilla.</t>
  </si>
  <si>
    <t>18.1.2022, Kuntaliitto / Mikko Mehtonen, Lähde: VM, Opetushallitus</t>
  </si>
  <si>
    <t xml:space="preserve">18.1.2022 / Kuntaliitto, Päivi Väisänen-Haapanen, Mikko Mehtonen,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</si>
</sst>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0"/>
    <numFmt numFmtId="201" formatCode="0.00000000000000000"/>
    <numFmt numFmtId="202" formatCode="0.000000000000000000"/>
  </numFmts>
  <fonts count="185">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10"/>
      <color indexed="12"/>
      <name val="Arial"/>
      <family val="2"/>
    </font>
    <font>
      <sz val="9"/>
      <color indexed="60"/>
      <name val="Arial"/>
      <family val="2"/>
    </font>
    <font>
      <sz val="10"/>
      <color indexed="60"/>
      <name val="Arial"/>
      <family val="2"/>
    </font>
    <font>
      <sz val="9"/>
      <color indexed="60"/>
      <name val="Arial Narrow"/>
      <family val="2"/>
    </font>
    <font>
      <sz val="9"/>
      <color indexed="56"/>
      <name val="Arial"/>
      <family val="2"/>
    </font>
    <font>
      <sz val="10"/>
      <color indexed="56"/>
      <name val="Arial"/>
      <family val="2"/>
    </font>
    <font>
      <sz val="9"/>
      <color indexed="56"/>
      <name val="Arial Narrow"/>
      <family val="2"/>
    </font>
    <font>
      <sz val="9"/>
      <color indexed="10"/>
      <name val="Arial Narrow"/>
      <family val="2"/>
    </font>
    <font>
      <b/>
      <sz val="10"/>
      <color indexed="10"/>
      <name val="Arial"/>
      <family val="2"/>
    </font>
    <font>
      <b/>
      <u val="single"/>
      <sz val="10"/>
      <color indexed="10"/>
      <name val="Arial"/>
      <family val="2"/>
    </font>
    <font>
      <b/>
      <sz val="9"/>
      <color indexed="60"/>
      <name val="Arial"/>
      <family val="2"/>
    </font>
    <font>
      <b/>
      <sz val="9"/>
      <color indexed="56"/>
      <name val="Arial"/>
      <family val="2"/>
    </font>
    <font>
      <sz val="9"/>
      <color indexed="10"/>
      <name val="Arial"/>
      <family val="2"/>
    </font>
    <font>
      <b/>
      <sz val="9"/>
      <color indexed="10"/>
      <name val="Arial"/>
      <family val="2"/>
    </font>
    <font>
      <sz val="8"/>
      <name val="Calibri"/>
      <family val="2"/>
    </font>
    <font>
      <i/>
      <vertAlign val="superscript"/>
      <sz val="8"/>
      <color indexed="10"/>
      <name val="Arial"/>
      <family val="2"/>
    </font>
    <font>
      <b/>
      <sz val="11"/>
      <color indexed="10"/>
      <name val="Calibri"/>
      <family val="2"/>
    </font>
    <font>
      <b/>
      <sz val="10"/>
      <color indexed="10"/>
      <name val="Calibri"/>
      <family val="2"/>
    </font>
    <font>
      <b/>
      <sz val="10"/>
      <color indexed="55"/>
      <name val="Arial"/>
      <family val="2"/>
    </font>
    <font>
      <sz val="12"/>
      <color indexed="10"/>
      <name val="Arial"/>
      <family val="2"/>
    </font>
    <font>
      <i/>
      <sz val="8"/>
      <color indexed="10"/>
      <name val="Arial"/>
      <family val="2"/>
    </font>
    <font>
      <b/>
      <sz val="14"/>
      <color indexed="23"/>
      <name val="Arial"/>
      <family val="2"/>
    </font>
    <font>
      <sz val="14"/>
      <color indexed="23"/>
      <name val="Arial"/>
      <family val="2"/>
    </font>
    <font>
      <sz val="8"/>
      <name val="Segoe UI"/>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b/>
      <sz val="12"/>
      <color indexed="8"/>
      <name val="Calibri"/>
      <family val="0"/>
    </font>
    <font>
      <sz val="5"/>
      <color indexed="8"/>
      <name val="Calibri"/>
      <family val="0"/>
    </font>
    <font>
      <b/>
      <sz val="12"/>
      <color indexed="17"/>
      <name val="Calibri"/>
      <family val="0"/>
    </font>
    <font>
      <b/>
      <sz val="12"/>
      <color indexed="30"/>
      <name val="Calibri"/>
      <family val="0"/>
    </font>
    <font>
      <sz val="12"/>
      <color indexed="17"/>
      <name val="Calibri"/>
      <family val="0"/>
    </font>
    <font>
      <sz val="12"/>
      <color indexed="30"/>
      <name val="Calibri"/>
      <family val="0"/>
    </font>
    <font>
      <b/>
      <sz val="12"/>
      <color indexed="10"/>
      <name val="Calibri"/>
      <family val="0"/>
    </font>
    <font>
      <b/>
      <sz val="5"/>
      <color indexed="8"/>
      <name val="Calibri"/>
      <family val="0"/>
    </font>
    <font>
      <b/>
      <i/>
      <sz val="12"/>
      <color indexed="30"/>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val="single"/>
      <sz val="10"/>
      <color rgb="FFFF0000"/>
      <name val="Arial"/>
      <family val="2"/>
    </font>
    <font>
      <b/>
      <sz val="9"/>
      <color theme="9" tint="-0.4999699890613556"/>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i/>
      <vertAlign val="superscript"/>
      <sz val="8"/>
      <color rgb="FFFF0000"/>
      <name val="Arial"/>
      <family val="2"/>
    </font>
    <font>
      <b/>
      <sz val="11"/>
      <color rgb="FFFF0000"/>
      <name val="Calibri"/>
      <family val="2"/>
    </font>
    <font>
      <b/>
      <sz val="10"/>
      <color rgb="FFFF0000"/>
      <name val="Calibri"/>
      <family val="2"/>
    </font>
    <font>
      <b/>
      <sz val="10"/>
      <color theme="0" tint="-0.3499799966812134"/>
      <name val="Arial"/>
      <family val="2"/>
    </font>
    <font>
      <sz val="10"/>
      <color theme="0" tint="-0.4999699890613556"/>
      <name val="Arial"/>
      <family val="2"/>
    </font>
    <font>
      <sz val="12"/>
      <color rgb="FFFF0000"/>
      <name val="Arial"/>
      <family val="2"/>
    </font>
    <font>
      <i/>
      <sz val="8"/>
      <color rgb="FFFF0000"/>
      <name val="Arial"/>
      <family val="2"/>
    </font>
    <font>
      <i/>
      <sz val="10"/>
      <color theme="0" tint="-0.4999699890613556"/>
      <name val="Arial"/>
      <family val="2"/>
    </font>
    <font>
      <i/>
      <sz val="9"/>
      <color theme="0" tint="-0.4999699890613556"/>
      <name val="Arial"/>
      <family val="2"/>
    </font>
    <font>
      <i/>
      <sz val="8"/>
      <color theme="0" tint="-0.4999699890613556"/>
      <name val="Arial"/>
      <family val="2"/>
    </font>
    <font>
      <sz val="9"/>
      <color theme="0" tint="-0.4999699890613556"/>
      <name val="Arial"/>
      <family val="2"/>
    </font>
    <font>
      <b/>
      <sz val="14"/>
      <color theme="1" tint="0.49998000264167786"/>
      <name val="Arial"/>
      <family val="2"/>
    </font>
    <font>
      <sz val="14"/>
      <color theme="1" tint="0.49998000264167786"/>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B05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5" fillId="27" borderId="0" applyNumberFormat="0" applyBorder="0" applyAlignment="0" applyProtection="0"/>
    <xf numFmtId="0" fontId="9" fillId="0" borderId="0" applyNumberFormat="0" applyFill="0" applyBorder="0" applyAlignment="0" applyProtection="0"/>
    <xf numFmtId="0" fontId="116" fillId="28" borderId="0" applyNumberFormat="0" applyBorder="0" applyAlignment="0" applyProtection="0"/>
    <xf numFmtId="0" fontId="117" fillId="29" borderId="2" applyNumberFormat="0" applyAlignment="0" applyProtection="0"/>
    <xf numFmtId="0" fontId="118" fillId="0" borderId="3" applyNumberFormat="0" applyFill="0" applyAlignment="0" applyProtection="0"/>
    <xf numFmtId="0" fontId="119" fillId="30" borderId="0" applyNumberFormat="0" applyBorder="0" applyAlignment="0" applyProtection="0"/>
    <xf numFmtId="0" fontId="0" fillId="0" borderId="0">
      <alignment/>
      <protection/>
    </xf>
    <xf numFmtId="0" fontId="19" fillId="0" borderId="0">
      <alignment/>
      <protection/>
    </xf>
    <xf numFmtId="0" fontId="28" fillId="0" borderId="0">
      <alignment/>
      <protection/>
    </xf>
    <xf numFmtId="0" fontId="33" fillId="0" borderId="0">
      <alignment/>
      <protection/>
    </xf>
    <xf numFmtId="0" fontId="120" fillId="0" borderId="0" applyNumberFormat="0" applyFill="0" applyBorder="0" applyAlignment="0" applyProtection="0"/>
    <xf numFmtId="0" fontId="121" fillId="0" borderId="4" applyNumberFormat="0" applyFill="0" applyAlignment="0" applyProtection="0"/>
    <xf numFmtId="0" fontId="122" fillId="0" borderId="5" applyNumberFormat="0" applyFill="0" applyAlignment="0" applyProtection="0"/>
    <xf numFmtId="0" fontId="123" fillId="0" borderId="6" applyNumberFormat="0" applyFill="0" applyAlignment="0" applyProtection="0"/>
    <xf numFmtId="0" fontId="12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7" applyNumberFormat="0" applyFill="0" applyAlignment="0" applyProtection="0"/>
    <xf numFmtId="0" fontId="126" fillId="31" borderId="2" applyNumberFormat="0" applyAlignment="0" applyProtection="0"/>
    <xf numFmtId="0" fontId="127" fillId="32" borderId="8" applyNumberFormat="0" applyAlignment="0" applyProtection="0"/>
    <xf numFmtId="0" fontId="12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cellStyleXfs>
  <cellXfs count="550">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30"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3" fillId="0" borderId="0" xfId="0" applyNumberFormat="1" applyFont="1" applyFill="1" applyBorder="1" applyAlignment="1" applyProtection="1">
      <alignment/>
      <protection/>
    </xf>
    <xf numFmtId="0" fontId="131"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32" fillId="0" borderId="0" xfId="0" applyFont="1" applyAlignment="1">
      <alignment/>
    </xf>
    <xf numFmtId="0" fontId="133"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34" fillId="0" borderId="0" xfId="0" applyFont="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32"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5" fillId="0" borderId="0" xfId="0" applyFont="1" applyAlignment="1" applyProtection="1">
      <alignment/>
      <protection/>
    </xf>
    <xf numFmtId="0" fontId="0" fillId="0" borderId="0" xfId="0" applyFont="1" applyAlignment="1" quotePrefix="1">
      <alignment/>
    </xf>
    <xf numFmtId="0" fontId="26" fillId="0" borderId="0" xfId="42" applyFont="1" applyAlignment="1" applyProtection="1">
      <alignment/>
      <protection/>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9" fontId="5" fillId="0" borderId="0" xfId="58" applyFont="1" applyAlignment="1">
      <alignment/>
    </xf>
    <xf numFmtId="14" fontId="135" fillId="0" borderId="28" xfId="0" applyNumberFormat="1" applyFont="1" applyFill="1" applyBorder="1" applyAlignment="1" applyProtection="1" quotePrefix="1">
      <alignment/>
      <protection locked="0"/>
    </xf>
    <xf numFmtId="0" fontId="136" fillId="0" borderId="29" xfId="0" applyFont="1" applyBorder="1" applyAlignment="1">
      <alignment/>
    </xf>
    <xf numFmtId="14" fontId="135" fillId="0" borderId="29" xfId="0" applyNumberFormat="1" applyFont="1" applyFill="1" applyBorder="1" applyAlignment="1" applyProtection="1" quotePrefix="1">
      <alignment/>
      <protection locked="0"/>
    </xf>
    <xf numFmtId="0" fontId="136" fillId="0" borderId="30" xfId="0" applyFont="1" applyBorder="1" applyAlignment="1">
      <alignment/>
    </xf>
    <xf numFmtId="0" fontId="136" fillId="0" borderId="31" xfId="0" applyFont="1" applyBorder="1" applyAlignment="1">
      <alignment/>
    </xf>
    <xf numFmtId="14" fontId="135" fillId="0" borderId="0" xfId="0" applyNumberFormat="1" applyFont="1" applyBorder="1" applyAlignment="1" quotePrefix="1">
      <alignment/>
    </xf>
    <xf numFmtId="0" fontId="136" fillId="0" borderId="0" xfId="0" applyFont="1" applyBorder="1" applyAlignment="1">
      <alignment/>
    </xf>
    <xf numFmtId="0" fontId="136" fillId="0" borderId="32" xfId="0" applyFont="1" applyBorder="1" applyAlignment="1">
      <alignment/>
    </xf>
    <xf numFmtId="0" fontId="137" fillId="0" borderId="0" xfId="0" applyFont="1" applyBorder="1" applyAlignment="1">
      <alignment/>
    </xf>
    <xf numFmtId="0" fontId="136" fillId="36" borderId="10" xfId="0" applyFont="1" applyFill="1" applyBorder="1" applyAlignment="1">
      <alignment/>
    </xf>
    <xf numFmtId="0" fontId="138" fillId="0" borderId="0" xfId="0" applyFont="1" applyBorder="1" applyAlignment="1" quotePrefix="1">
      <alignment/>
    </xf>
    <xf numFmtId="0" fontId="136" fillId="33" borderId="10" xfId="0" applyFont="1" applyFill="1" applyBorder="1" applyAlignment="1">
      <alignment/>
    </xf>
    <xf numFmtId="0" fontId="139" fillId="0" borderId="0" xfId="0" applyFont="1" applyBorder="1" applyAlignment="1">
      <alignment/>
    </xf>
    <xf numFmtId="0" fontId="138" fillId="0" borderId="0" xfId="0" applyFont="1" applyBorder="1" applyAlignment="1">
      <alignment/>
    </xf>
    <xf numFmtId="3" fontId="140" fillId="0" borderId="0" xfId="0" applyNumberFormat="1" applyFont="1" applyFill="1" applyBorder="1" applyAlignment="1" applyProtection="1">
      <alignment/>
      <protection/>
    </xf>
    <xf numFmtId="0" fontId="141" fillId="0" borderId="0" xfId="0" applyFont="1" applyBorder="1" applyAlignment="1">
      <alignment/>
    </xf>
    <xf numFmtId="0" fontId="136" fillId="0" borderId="32" xfId="0" applyFont="1" applyBorder="1" applyAlignment="1">
      <alignment horizontal="center"/>
    </xf>
    <xf numFmtId="0" fontId="138" fillId="0" borderId="32" xfId="0" applyFont="1" applyBorder="1" applyAlignment="1">
      <alignment horizontal="center"/>
    </xf>
    <xf numFmtId="0" fontId="138" fillId="0" borderId="32" xfId="0" applyFont="1" applyBorder="1" applyAlignment="1">
      <alignment/>
    </xf>
    <xf numFmtId="3" fontId="136" fillId="33" borderId="10" xfId="0" applyNumberFormat="1" applyFont="1" applyFill="1" applyBorder="1" applyAlignment="1">
      <alignment/>
    </xf>
    <xf numFmtId="4" fontId="138" fillId="0" borderId="32" xfId="0" applyNumberFormat="1" applyFont="1" applyBorder="1" applyAlignment="1">
      <alignment/>
    </xf>
    <xf numFmtId="0" fontId="136" fillId="0" borderId="15" xfId="0" applyFont="1" applyBorder="1" applyAlignment="1">
      <alignment/>
    </xf>
    <xf numFmtId="3" fontId="136" fillId="0" borderId="15" xfId="0" applyNumberFormat="1" applyFont="1" applyFill="1" applyBorder="1" applyAlignment="1" applyProtection="1">
      <alignment/>
      <protection/>
    </xf>
    <xf numFmtId="0" fontId="136" fillId="0" borderId="15" xfId="0" applyFont="1" applyBorder="1" applyAlignment="1">
      <alignment horizontal="center"/>
    </xf>
    <xf numFmtId="3" fontId="136" fillId="33" borderId="16" xfId="0" applyNumberFormat="1" applyFont="1" applyFill="1" applyBorder="1" applyAlignment="1" applyProtection="1">
      <alignment/>
      <protection/>
    </xf>
    <xf numFmtId="4" fontId="138" fillId="0" borderId="33" xfId="0" applyNumberFormat="1" applyFont="1" applyBorder="1" applyAlignment="1">
      <alignment/>
    </xf>
    <xf numFmtId="3" fontId="136" fillId="0" borderId="0" xfId="0" applyNumberFormat="1" applyFont="1" applyFill="1" applyBorder="1" applyAlignment="1" applyProtection="1">
      <alignment/>
      <protection/>
    </xf>
    <xf numFmtId="0" fontId="136" fillId="0" borderId="0" xfId="0" applyFont="1" applyBorder="1" applyAlignment="1">
      <alignment horizontal="center"/>
    </xf>
    <xf numFmtId="4" fontId="139" fillId="36" borderId="16" xfId="0" applyNumberFormat="1" applyFont="1" applyFill="1" applyBorder="1" applyAlignment="1" applyProtection="1">
      <alignment/>
      <protection locked="0"/>
    </xf>
    <xf numFmtId="0" fontId="138" fillId="0" borderId="15" xfId="0" applyFont="1" applyBorder="1" applyAlignment="1">
      <alignment/>
    </xf>
    <xf numFmtId="3" fontId="138" fillId="0" borderId="0" xfId="0" applyNumberFormat="1" applyFont="1" applyBorder="1" applyAlignment="1">
      <alignment/>
    </xf>
    <xf numFmtId="3" fontId="136" fillId="33" borderId="10" xfId="0" applyNumberFormat="1" applyFont="1" applyFill="1" applyBorder="1" applyAlignment="1" applyProtection="1">
      <alignment/>
      <protection/>
    </xf>
    <xf numFmtId="0" fontId="136" fillId="0" borderId="25" xfId="0" applyFont="1" applyBorder="1" applyAlignment="1">
      <alignment/>
    </xf>
    <xf numFmtId="4" fontId="138" fillId="0" borderId="34" xfId="0" applyNumberFormat="1" applyFont="1" applyBorder="1" applyAlignment="1">
      <alignment/>
    </xf>
    <xf numFmtId="3" fontId="139" fillId="0" borderId="0" xfId="0" applyNumberFormat="1" applyFont="1" applyFill="1" applyBorder="1" applyAlignment="1">
      <alignment/>
    </xf>
    <xf numFmtId="4" fontId="137" fillId="0" borderId="32" xfId="0" applyNumberFormat="1" applyFont="1" applyBorder="1" applyAlignment="1">
      <alignment/>
    </xf>
    <xf numFmtId="3" fontId="136" fillId="36" borderId="10" xfId="0" applyNumberFormat="1" applyFont="1" applyFill="1" applyBorder="1" applyAlignment="1" applyProtection="1">
      <alignment/>
      <protection locked="0"/>
    </xf>
    <xf numFmtId="3" fontId="139" fillId="33" borderId="10" xfId="0" applyNumberFormat="1" applyFont="1" applyFill="1" applyBorder="1" applyAlignment="1" quotePrefix="1">
      <alignment/>
    </xf>
    <xf numFmtId="0" fontId="138" fillId="0" borderId="31" xfId="0" applyFont="1" applyBorder="1" applyAlignment="1">
      <alignment/>
    </xf>
    <xf numFmtId="3" fontId="137" fillId="0" borderId="0" xfId="0" applyNumberFormat="1" applyFont="1" applyFill="1" applyBorder="1" applyAlignment="1">
      <alignment/>
    </xf>
    <xf numFmtId="0" fontId="142" fillId="0" borderId="31" xfId="0" applyFont="1" applyBorder="1" applyAlignment="1">
      <alignment/>
    </xf>
    <xf numFmtId="0" fontId="142" fillId="0" borderId="0" xfId="0" applyFont="1" applyBorder="1" applyAlignment="1">
      <alignment/>
    </xf>
    <xf numFmtId="0" fontId="142" fillId="0" borderId="0" xfId="0" applyFont="1" applyBorder="1" applyAlignment="1" quotePrefix="1">
      <alignment/>
    </xf>
    <xf numFmtId="4" fontId="143" fillId="36" borderId="10" xfId="0" applyNumberFormat="1" applyFont="1" applyFill="1" applyBorder="1" applyAlignment="1" applyProtection="1">
      <alignment/>
      <protection locked="0"/>
    </xf>
    <xf numFmtId="3" fontId="142" fillId="0" borderId="0" xfId="0" applyNumberFormat="1" applyFont="1" applyFill="1" applyBorder="1" applyAlignment="1">
      <alignment/>
    </xf>
    <xf numFmtId="4" fontId="142" fillId="0" borderId="32" xfId="0" applyNumberFormat="1" applyFont="1" applyBorder="1" applyAlignment="1">
      <alignment/>
    </xf>
    <xf numFmtId="3" fontId="136" fillId="33" borderId="16" xfId="0" applyNumberFormat="1" applyFont="1" applyFill="1" applyBorder="1" applyAlignment="1">
      <alignment/>
    </xf>
    <xf numFmtId="3" fontId="136" fillId="33" borderId="19" xfId="0" applyNumberFormat="1" applyFont="1" applyFill="1" applyBorder="1" applyAlignment="1">
      <alignment/>
    </xf>
    <xf numFmtId="0" fontId="144" fillId="35" borderId="21" xfId="0" applyFont="1" applyFill="1" applyBorder="1" applyAlignment="1">
      <alignment/>
    </xf>
    <xf numFmtId="0" fontId="145" fillId="35" borderId="22" xfId="0" applyFont="1" applyFill="1" applyBorder="1" applyAlignment="1">
      <alignment horizontal="center"/>
    </xf>
    <xf numFmtId="0" fontId="144" fillId="35" borderId="23" xfId="0" applyFont="1" applyFill="1" applyBorder="1" applyAlignment="1">
      <alignment/>
    </xf>
    <xf numFmtId="0" fontId="144" fillId="35" borderId="35" xfId="0" applyFont="1" applyFill="1" applyBorder="1" applyAlignment="1">
      <alignment/>
    </xf>
    <xf numFmtId="0" fontId="145" fillId="35" borderId="0" xfId="0" applyFont="1" applyFill="1" applyBorder="1" applyAlignment="1">
      <alignment horizontal="center"/>
    </xf>
    <xf numFmtId="0" fontId="144" fillId="35" borderId="11" xfId="0" applyFont="1" applyFill="1" applyBorder="1" applyAlignment="1">
      <alignment/>
    </xf>
    <xf numFmtId="0" fontId="144" fillId="35" borderId="24" xfId="0" applyFont="1" applyFill="1" applyBorder="1" applyAlignment="1">
      <alignment/>
    </xf>
    <xf numFmtId="10" fontId="146" fillId="35" borderId="25" xfId="58" applyNumberFormat="1" applyFont="1" applyFill="1" applyBorder="1" applyAlignment="1">
      <alignment horizontal="center"/>
    </xf>
    <xf numFmtId="0" fontId="144"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6" fillId="33" borderId="0" xfId="0" applyNumberFormat="1" applyFont="1" applyFill="1" applyBorder="1" applyAlignment="1" applyProtection="1">
      <alignment/>
      <protection/>
    </xf>
    <xf numFmtId="4" fontId="143" fillId="36" borderId="0" xfId="0" applyNumberFormat="1" applyFont="1" applyFill="1" applyBorder="1" applyAlignment="1" applyProtection="1">
      <alignment/>
      <protection locked="0"/>
    </xf>
    <xf numFmtId="3" fontId="136" fillId="0" borderId="0" xfId="0" applyNumberFormat="1" applyFont="1" applyBorder="1" applyAlignment="1">
      <alignment/>
    </xf>
    <xf numFmtId="0" fontId="135" fillId="0" borderId="0" xfId="0" applyFont="1" applyBorder="1" applyAlignment="1">
      <alignment/>
    </xf>
    <xf numFmtId="3" fontId="139" fillId="0" borderId="0" xfId="0" applyNumberFormat="1" applyFont="1" applyBorder="1" applyAlignment="1">
      <alignment/>
    </xf>
    <xf numFmtId="0" fontId="147" fillId="35" borderId="36" xfId="0" applyFont="1" applyFill="1" applyBorder="1" applyAlignment="1">
      <alignment/>
    </xf>
    <xf numFmtId="0" fontId="148" fillId="35" borderId="22" xfId="0" applyFont="1" applyFill="1" applyBorder="1" applyAlignment="1">
      <alignment/>
    </xf>
    <xf numFmtId="0" fontId="147" fillId="35" borderId="22" xfId="0" applyFont="1" applyFill="1" applyBorder="1" applyAlignment="1">
      <alignment/>
    </xf>
    <xf numFmtId="0" fontId="135" fillId="35" borderId="22" xfId="0" applyFont="1" applyFill="1" applyBorder="1" applyAlignment="1">
      <alignment horizontal="right"/>
    </xf>
    <xf numFmtId="0" fontId="135" fillId="35" borderId="37" xfId="0" applyFont="1" applyFill="1" applyBorder="1" applyAlignment="1">
      <alignment horizontal="right"/>
    </xf>
    <xf numFmtId="0" fontId="147" fillId="35" borderId="31" xfId="0" applyFont="1" applyFill="1" applyBorder="1" applyAlignment="1">
      <alignment/>
    </xf>
    <xf numFmtId="0" fontId="148" fillId="35" borderId="0" xfId="0" applyFont="1" applyFill="1" applyBorder="1" applyAlignment="1">
      <alignment/>
    </xf>
    <xf numFmtId="0" fontId="147" fillId="35" borderId="0" xfId="0" applyFont="1" applyFill="1" applyBorder="1" applyAlignment="1">
      <alignment/>
    </xf>
    <xf numFmtId="3" fontId="149" fillId="35" borderId="0" xfId="0" applyNumberFormat="1" applyFont="1" applyFill="1" applyBorder="1" applyAlignment="1">
      <alignment/>
    </xf>
    <xf numFmtId="4" fontId="149" fillId="35" borderId="32" xfId="0" applyNumberFormat="1" applyFont="1" applyFill="1" applyBorder="1" applyAlignment="1">
      <alignment/>
    </xf>
    <xf numFmtId="0" fontId="148" fillId="35" borderId="38" xfId="0" applyFont="1" applyFill="1" applyBorder="1" applyAlignment="1">
      <alignment/>
    </xf>
    <xf numFmtId="0" fontId="148" fillId="35" borderId="25" xfId="0" applyFont="1" applyFill="1" applyBorder="1" applyAlignment="1">
      <alignment/>
    </xf>
    <xf numFmtId="3" fontId="148" fillId="35" borderId="25" xfId="0" applyNumberFormat="1" applyFont="1" applyFill="1" applyBorder="1" applyAlignment="1">
      <alignment/>
    </xf>
    <xf numFmtId="4" fontId="148"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1" fontId="0" fillId="0" borderId="0" xfId="0" applyNumberFormat="1" applyFont="1" applyAlignment="1" applyProtection="1">
      <alignment/>
      <protection/>
    </xf>
    <xf numFmtId="3" fontId="139"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34"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14" fontId="2" fillId="0" borderId="0" xfId="0" applyNumberFormat="1" applyFont="1" applyAlignment="1">
      <alignment horizontal="left"/>
    </xf>
    <xf numFmtId="0" fontId="150" fillId="0" borderId="0" xfId="0" applyFont="1" applyAlignment="1">
      <alignment/>
    </xf>
    <xf numFmtId="0" fontId="150" fillId="0" borderId="0" xfId="0" applyFont="1" applyAlignment="1">
      <alignment horizontal="center"/>
    </xf>
    <xf numFmtId="0" fontId="151" fillId="0" borderId="0" xfId="0" applyFont="1" applyAlignment="1">
      <alignment/>
    </xf>
    <xf numFmtId="0" fontId="152" fillId="0" borderId="0" xfId="0" applyFont="1" applyAlignment="1">
      <alignment/>
    </xf>
    <xf numFmtId="0" fontId="15" fillId="0" borderId="0" xfId="0" applyFont="1" applyAlignment="1">
      <alignment/>
    </xf>
    <xf numFmtId="0" fontId="153" fillId="0" borderId="0" xfId="0" applyFont="1" applyAlignment="1">
      <alignment/>
    </xf>
    <xf numFmtId="0" fontId="154" fillId="0" borderId="0" xfId="0" applyFont="1" applyAlignment="1">
      <alignment horizontal="left"/>
    </xf>
    <xf numFmtId="0" fontId="29"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0" fontId="30" fillId="2" borderId="0" xfId="0" applyFont="1" applyFill="1" applyAlignment="1">
      <alignment/>
    </xf>
    <xf numFmtId="0" fontId="29" fillId="0" borderId="0" xfId="49" applyFont="1">
      <alignment/>
      <protection/>
    </xf>
    <xf numFmtId="0" fontId="16" fillId="2" borderId="25" xfId="0" applyFont="1" applyFill="1" applyBorder="1" applyAlignment="1">
      <alignment/>
    </xf>
    <xf numFmtId="0" fontId="16" fillId="2" borderId="25" xfId="0" applyFont="1" applyFill="1" applyBorder="1" applyAlignment="1">
      <alignment horizontal="center"/>
    </xf>
    <xf numFmtId="0" fontId="30" fillId="2" borderId="25" xfId="0" applyFont="1" applyFill="1" applyBorder="1" applyAlignment="1">
      <alignment/>
    </xf>
    <xf numFmtId="0" fontId="16" fillId="0" borderId="0" xfId="0" applyFont="1" applyAlignment="1">
      <alignment horizontal="center"/>
    </xf>
    <xf numFmtId="0" fontId="32" fillId="0" borderId="0" xfId="0" applyFont="1" applyAlignment="1">
      <alignment/>
    </xf>
    <xf numFmtId="0" fontId="7" fillId="2" borderId="0" xfId="0" applyFont="1" applyFill="1" applyAlignment="1">
      <alignment horizontal="center"/>
    </xf>
    <xf numFmtId="0" fontId="30" fillId="2" borderId="0" xfId="0" applyFont="1" applyFill="1" applyAlignment="1">
      <alignment horizontal="center"/>
    </xf>
    <xf numFmtId="0" fontId="16" fillId="0" borderId="0" xfId="0" applyFont="1" applyAlignment="1">
      <alignment/>
    </xf>
    <xf numFmtId="0" fontId="32" fillId="0" borderId="0" xfId="50" applyFont="1" applyAlignment="1">
      <alignment horizontal="center"/>
      <protection/>
    </xf>
    <xf numFmtId="0" fontId="29" fillId="0" borderId="0" xfId="49" applyFont="1" applyAlignment="1">
      <alignment horizontal="left"/>
      <protection/>
    </xf>
    <xf numFmtId="0" fontId="28" fillId="0" borderId="11" xfId="0" applyFont="1" applyBorder="1" applyAlignment="1">
      <alignment/>
    </xf>
    <xf numFmtId="0" fontId="16" fillId="0" borderId="0" xfId="50" applyFont="1" applyAlignment="1">
      <alignment horizontal="center"/>
      <protection/>
    </xf>
    <xf numFmtId="0" fontId="29" fillId="0" borderId="0" xfId="0" applyFont="1" applyAlignment="1">
      <alignment/>
    </xf>
    <xf numFmtId="0" fontId="31"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29" fillId="0" borderId="0" xfId="0" applyNumberFormat="1" applyFont="1" applyAlignment="1">
      <alignment/>
    </xf>
    <xf numFmtId="0" fontId="31" fillId="0" borderId="11" xfId="0" applyFont="1" applyBorder="1" applyAlignment="1">
      <alignment/>
    </xf>
    <xf numFmtId="0" fontId="155" fillId="0" borderId="0" xfId="50" applyFont="1">
      <alignment/>
      <protection/>
    </xf>
    <xf numFmtId="0" fontId="156" fillId="0" borderId="0" xfId="0" applyFont="1" applyAlignment="1">
      <alignment/>
    </xf>
    <xf numFmtId="0" fontId="157" fillId="0" borderId="0" xfId="0" applyFont="1" applyAlignment="1">
      <alignment/>
    </xf>
    <xf numFmtId="0" fontId="158" fillId="0" borderId="0" xfId="50" applyFont="1">
      <alignment/>
      <protection/>
    </xf>
    <xf numFmtId="0" fontId="159" fillId="0" borderId="0" xfId="0" applyFont="1" applyAlignment="1">
      <alignment/>
    </xf>
    <xf numFmtId="0" fontId="160" fillId="0" borderId="0" xfId="0" applyFont="1" applyAlignment="1">
      <alignment/>
    </xf>
    <xf numFmtId="0" fontId="16" fillId="0" borderId="0" xfId="50" applyFont="1">
      <alignment/>
      <protection/>
    </xf>
    <xf numFmtId="0" fontId="144" fillId="0" borderId="0" xfId="0" applyFont="1" applyAlignment="1">
      <alignment horizontal="center"/>
    </xf>
    <xf numFmtId="3" fontId="161" fillId="0" borderId="0" xfId="47" applyNumberFormat="1" applyFont="1" applyAlignment="1" applyProtection="1">
      <alignment horizontal="right"/>
      <protection locked="0"/>
    </xf>
    <xf numFmtId="192" fontId="161" fillId="0" borderId="0" xfId="0" applyNumberFormat="1" applyFont="1" applyAlignment="1">
      <alignment horizontal="center"/>
    </xf>
    <xf numFmtId="3" fontId="29" fillId="0" borderId="0" xfId="58" applyNumberFormat="1" applyFont="1" applyAlignment="1">
      <alignment/>
    </xf>
    <xf numFmtId="0" fontId="36" fillId="0" borderId="0" xfId="0" applyFont="1" applyAlignment="1">
      <alignment/>
    </xf>
    <xf numFmtId="0" fontId="162" fillId="0" borderId="25" xfId="49" applyFont="1" applyBorder="1" applyAlignment="1">
      <alignment horizontal="left"/>
      <protection/>
    </xf>
    <xf numFmtId="0" fontId="162" fillId="0" borderId="25" xfId="0" applyFont="1" applyBorder="1" applyAlignment="1">
      <alignment/>
    </xf>
    <xf numFmtId="193" fontId="37" fillId="0" borderId="10" xfId="0" applyNumberFormat="1" applyFont="1" applyBorder="1" applyAlignment="1">
      <alignment horizontal="right"/>
    </xf>
    <xf numFmtId="0" fontId="0" fillId="0" borderId="10" xfId="0" applyBorder="1" applyAlignment="1">
      <alignment/>
    </xf>
    <xf numFmtId="2" fontId="132" fillId="16" borderId="10" xfId="0" applyNumberFormat="1" applyFont="1" applyFill="1" applyBorder="1" applyAlignment="1" applyProtection="1">
      <alignment horizontal="center"/>
      <protection locked="0"/>
    </xf>
    <xf numFmtId="3" fontId="132" fillId="0" borderId="0" xfId="0" applyNumberFormat="1" applyFont="1" applyAlignment="1">
      <alignment/>
    </xf>
    <xf numFmtId="2" fontId="132" fillId="0" borderId="0" xfId="0" applyNumberFormat="1" applyFont="1" applyAlignment="1">
      <alignment horizontal="center"/>
    </xf>
    <xf numFmtId="2" fontId="132" fillId="0" borderId="0" xfId="0" applyNumberFormat="1" applyFont="1" applyAlignment="1">
      <alignment/>
    </xf>
    <xf numFmtId="0" fontId="163" fillId="0" borderId="0" xfId="0" applyFont="1" applyAlignment="1">
      <alignment/>
    </xf>
    <xf numFmtId="4" fontId="0" fillId="0" borderId="0" xfId="0" applyNumberFormat="1" applyFont="1" applyAlignment="1">
      <alignment/>
    </xf>
    <xf numFmtId="3" fontId="7" fillId="33" borderId="0" xfId="0" applyNumberFormat="1" applyFont="1" applyFill="1" applyBorder="1" applyAlignment="1" quotePrefix="1">
      <alignment/>
    </xf>
    <xf numFmtId="171" fontId="0" fillId="10" borderId="10" xfId="0" applyNumberFormat="1" applyFill="1" applyBorder="1" applyAlignment="1" applyProtection="1">
      <alignment/>
      <protection locked="0"/>
    </xf>
    <xf numFmtId="3" fontId="0" fillId="33" borderId="0" xfId="0" applyNumberFormat="1" applyFill="1" applyBorder="1" applyAlignment="1">
      <alignment/>
    </xf>
    <xf numFmtId="3" fontId="136" fillId="33" borderId="0" xfId="0" applyNumberFormat="1" applyFont="1" applyFill="1" applyBorder="1" applyAlignment="1">
      <alignment/>
    </xf>
    <xf numFmtId="0" fontId="2" fillId="37" borderId="0" xfId="0" applyFont="1" applyFill="1" applyAlignment="1">
      <alignment/>
    </xf>
    <xf numFmtId="3" fontId="2" fillId="37"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168" fontId="2" fillId="0" borderId="0" xfId="0" applyNumberFormat="1" applyFont="1" applyFill="1" applyAlignment="1">
      <alignment/>
    </xf>
    <xf numFmtId="3" fontId="131" fillId="0" borderId="0" xfId="0" applyNumberFormat="1" applyFont="1" applyBorder="1" applyAlignment="1" applyProtection="1">
      <alignment horizontal="right"/>
      <protection/>
    </xf>
    <xf numFmtId="3" fontId="1" fillId="36" borderId="16"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2" fontId="0" fillId="0" borderId="0" xfId="0" applyNumberFormat="1" applyFill="1" applyBorder="1" applyAlignment="1" applyProtection="1">
      <alignment horizontal="center"/>
      <protection locked="0"/>
    </xf>
    <xf numFmtId="3" fontId="5" fillId="0" borderId="0" xfId="0" applyNumberFormat="1" applyFont="1" applyFill="1" applyAlignment="1">
      <alignment/>
    </xf>
    <xf numFmtId="189" fontId="7" fillId="0" borderId="0" xfId="0" applyNumberFormat="1" applyFont="1" applyAlignment="1" applyProtection="1">
      <alignment horizontal="right"/>
      <protection locked="0"/>
    </xf>
    <xf numFmtId="14" fontId="164" fillId="0" borderId="0" xfId="0" applyNumberFormat="1" applyFont="1" applyAlignment="1">
      <alignment horizontal="left"/>
    </xf>
    <xf numFmtId="190" fontId="7" fillId="2"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91" fontId="2" fillId="0" borderId="0" xfId="50" applyNumberFormat="1" applyFont="1" applyAlignment="1">
      <alignment horizontal="left" vertical="center"/>
      <protection/>
    </xf>
    <xf numFmtId="0" fontId="31" fillId="0" borderId="26" xfId="0" applyFont="1" applyBorder="1" applyAlignment="1">
      <alignment horizontal="center"/>
    </xf>
    <xf numFmtId="0" fontId="0" fillId="37" borderId="0" xfId="0" applyFill="1" applyAlignment="1">
      <alignment/>
    </xf>
    <xf numFmtId="189" fontId="7" fillId="2" borderId="0" xfId="0" applyNumberFormat="1" applyFont="1" applyFill="1" applyAlignment="1">
      <alignment horizontal="center"/>
    </xf>
    <xf numFmtId="0" fontId="31" fillId="37" borderId="11" xfId="0" applyFont="1" applyFill="1" applyBorder="1" applyAlignment="1">
      <alignment horizontal="center"/>
    </xf>
    <xf numFmtId="0" fontId="0" fillId="37" borderId="0" xfId="0" applyFill="1" applyAlignment="1">
      <alignment horizontal="left"/>
    </xf>
    <xf numFmtId="1" fontId="2" fillId="0" borderId="0" xfId="0" applyNumberFormat="1" applyFont="1" applyAlignment="1">
      <alignment/>
    </xf>
    <xf numFmtId="180" fontId="2" fillId="0" borderId="0" xfId="0" applyNumberFormat="1" applyFont="1" applyAlignment="1">
      <alignment/>
    </xf>
    <xf numFmtId="0" fontId="155" fillId="0" borderId="0" xfId="0" applyFont="1" applyAlignment="1">
      <alignment horizontal="left"/>
    </xf>
    <xf numFmtId="3" fontId="165" fillId="0" borderId="0" xfId="0" applyNumberFormat="1" applyFont="1" applyAlignment="1">
      <alignment horizontal="right"/>
    </xf>
    <xf numFmtId="4" fontId="165" fillId="0" borderId="0" xfId="0" applyNumberFormat="1" applyFont="1" applyAlignment="1">
      <alignment horizontal="center"/>
    </xf>
    <xf numFmtId="190" fontId="155" fillId="0" borderId="0" xfId="0" applyNumberFormat="1" applyFont="1" applyAlignment="1">
      <alignment/>
    </xf>
    <xf numFmtId="190" fontId="165" fillId="0" borderId="0" xfId="0" applyNumberFormat="1" applyFont="1" applyAlignment="1" applyProtection="1">
      <alignment horizontal="right"/>
      <protection locked="0"/>
    </xf>
    <xf numFmtId="4" fontId="155" fillId="0" borderId="0" xfId="0" applyNumberFormat="1" applyFont="1" applyAlignment="1">
      <alignment horizontal="left"/>
    </xf>
    <xf numFmtId="2" fontId="155" fillId="0" borderId="0" xfId="0" applyNumberFormat="1" applyFont="1" applyAlignment="1">
      <alignment horizontal="center"/>
    </xf>
    <xf numFmtId="3" fontId="157" fillId="0" borderId="0" xfId="0" applyNumberFormat="1" applyFont="1" applyAlignment="1">
      <alignment/>
    </xf>
    <xf numFmtId="0" fontId="158" fillId="0" borderId="0" xfId="0" applyFont="1" applyAlignment="1">
      <alignment horizontal="left"/>
    </xf>
    <xf numFmtId="3" fontId="166" fillId="0" borderId="0" xfId="0" applyNumberFormat="1" applyFont="1" applyAlignment="1">
      <alignment horizontal="right"/>
    </xf>
    <xf numFmtId="3" fontId="158" fillId="0" borderId="0" xfId="0" applyNumberFormat="1" applyFont="1" applyAlignment="1">
      <alignment horizontal="right"/>
    </xf>
    <xf numFmtId="4" fontId="158" fillId="0" borderId="0" xfId="0" applyNumberFormat="1" applyFont="1" applyAlignment="1">
      <alignment horizontal="center"/>
    </xf>
    <xf numFmtId="190" fontId="158" fillId="0" borderId="0" xfId="0" applyNumberFormat="1" applyFont="1" applyAlignment="1">
      <alignment/>
    </xf>
    <xf numFmtId="190" fontId="167" fillId="0" borderId="0" xfId="0" applyNumberFormat="1" applyFont="1" applyAlignment="1" applyProtection="1">
      <alignment horizontal="right"/>
      <protection locked="0"/>
    </xf>
    <xf numFmtId="3" fontId="167" fillId="0" borderId="0" xfId="0" applyNumberFormat="1" applyFont="1" applyAlignment="1">
      <alignment horizontal="right"/>
    </xf>
    <xf numFmtId="4" fontId="158" fillId="0" borderId="0" xfId="0" applyNumberFormat="1" applyFont="1" applyAlignment="1">
      <alignment horizontal="left"/>
    </xf>
    <xf numFmtId="2" fontId="158" fillId="0" borderId="0" xfId="0" applyNumberFormat="1" applyFont="1" applyAlignment="1">
      <alignment horizontal="center"/>
    </xf>
    <xf numFmtId="3" fontId="160" fillId="0" borderId="0" xfId="0" applyNumberFormat="1" applyFont="1" applyAlignment="1">
      <alignment/>
    </xf>
    <xf numFmtId="0" fontId="168" fillId="0" borderId="0" xfId="0" applyFont="1" applyAlignment="1">
      <alignment horizontal="left"/>
    </xf>
    <xf numFmtId="3" fontId="168" fillId="0" borderId="0" xfId="0" applyNumberFormat="1" applyFont="1" applyAlignment="1">
      <alignment horizontal="right"/>
    </xf>
    <xf numFmtId="4" fontId="168" fillId="0" borderId="0" xfId="0" applyNumberFormat="1" applyFont="1" applyAlignment="1">
      <alignment horizontal="center"/>
    </xf>
    <xf numFmtId="190" fontId="168" fillId="0" borderId="0" xfId="0" applyNumberFormat="1" applyFont="1" applyAlignment="1">
      <alignment/>
    </xf>
    <xf numFmtId="190" fontId="169" fillId="0" borderId="0" xfId="0" applyNumberFormat="1" applyFont="1" applyAlignment="1" applyProtection="1">
      <alignment horizontal="right"/>
      <protection locked="0"/>
    </xf>
    <xf numFmtId="4" fontId="16" fillId="0" borderId="0" xfId="0" applyNumberFormat="1" applyFont="1" applyAlignment="1">
      <alignment horizontal="left"/>
    </xf>
    <xf numFmtId="0" fontId="16" fillId="0" borderId="0" xfId="0" applyFont="1" applyAlignment="1">
      <alignment horizontal="left"/>
    </xf>
    <xf numFmtId="2" fontId="161" fillId="0" borderId="0" xfId="0" applyNumberFormat="1" applyFont="1" applyAlignment="1">
      <alignment horizontal="center"/>
    </xf>
    <xf numFmtId="3" fontId="31" fillId="0" borderId="0" xfId="0" applyNumberFormat="1" applyFont="1" applyAlignment="1">
      <alignment/>
    </xf>
    <xf numFmtId="0" fontId="22" fillId="0" borderId="0" xfId="0" applyFont="1" applyAlignment="1">
      <alignment horizontal="left"/>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190" fontId="7" fillId="0" borderId="0" xfId="0" applyNumberFormat="1" applyFont="1" applyAlignment="1" applyProtection="1">
      <alignment horizontal="right"/>
      <protection locked="0"/>
    </xf>
    <xf numFmtId="190" fontId="22" fillId="0" borderId="0" xfId="0" applyNumberFormat="1" applyFont="1" applyAlignment="1" applyProtection="1">
      <alignment horizontal="right"/>
      <protection locked="0"/>
    </xf>
    <xf numFmtId="0" fontId="34" fillId="0" borderId="0" xfId="0" applyFont="1" applyAlignment="1">
      <alignment/>
    </xf>
    <xf numFmtId="191" fontId="35" fillId="0" borderId="0" xfId="0" applyNumberFormat="1" applyFont="1" applyAlignment="1">
      <alignment vertical="center"/>
    </xf>
    <xf numFmtId="191" fontId="7" fillId="0" borderId="0" xfId="50" applyNumberFormat="1" applyFont="1" applyAlignment="1">
      <alignment horizontal="left" vertical="center"/>
      <protection/>
    </xf>
    <xf numFmtId="0" fontId="7" fillId="0" borderId="0" xfId="0" applyFont="1" applyAlignment="1">
      <alignment horizontal="left"/>
    </xf>
    <xf numFmtId="3" fontId="16" fillId="0" borderId="0" xfId="0" applyNumberFormat="1" applyFont="1" applyAlignment="1">
      <alignment/>
    </xf>
    <xf numFmtId="190" fontId="30" fillId="0" borderId="0" xfId="0" applyNumberFormat="1" applyFont="1" applyAlignment="1">
      <alignment/>
    </xf>
    <xf numFmtId="0" fontId="7" fillId="0" borderId="0" xfId="0" applyFont="1" applyAlignment="1">
      <alignment/>
    </xf>
    <xf numFmtId="0" fontId="32" fillId="0" borderId="0" xfId="50" applyFont="1" applyAlignment="1">
      <alignment horizontal="right"/>
      <protection/>
    </xf>
    <xf numFmtId="49" fontId="2" fillId="0" borderId="0" xfId="48" applyNumberFormat="1" applyFont="1" applyAlignment="1" applyProtection="1">
      <alignment horizontal="center"/>
      <protection locked="0"/>
    </xf>
    <xf numFmtId="0" fontId="170" fillId="0" borderId="0" xfId="0" applyFont="1" applyAlignment="1">
      <alignment horizontal="left"/>
    </xf>
    <xf numFmtId="1" fontId="90" fillId="0" borderId="0" xfId="0" applyNumberFormat="1" applyFont="1" applyAlignment="1">
      <alignment/>
    </xf>
    <xf numFmtId="3" fontId="7" fillId="0" borderId="10" xfId="0" applyNumberFormat="1" applyFont="1" applyBorder="1" applyAlignment="1">
      <alignment vertical="center"/>
    </xf>
    <xf numFmtId="191" fontId="32" fillId="0" borderId="0" xfId="0" applyNumberFormat="1" applyFont="1" applyAlignment="1">
      <alignment vertical="center"/>
    </xf>
    <xf numFmtId="3" fontId="0" fillId="37" borderId="0" xfId="0" applyNumberFormat="1" applyFill="1" applyAlignment="1">
      <alignment/>
    </xf>
    <xf numFmtId="193" fontId="0" fillId="37" borderId="0" xfId="0" applyNumberFormat="1" applyFill="1" applyAlignment="1">
      <alignment/>
    </xf>
    <xf numFmtId="193" fontId="37" fillId="0" borderId="0" xfId="0" applyNumberFormat="1" applyFont="1" applyAlignment="1">
      <alignment horizontal="right"/>
    </xf>
    <xf numFmtId="0" fontId="153" fillId="0" borderId="0" xfId="0" applyFont="1" applyAlignment="1" applyProtection="1">
      <alignment/>
      <protection/>
    </xf>
    <xf numFmtId="0" fontId="5" fillId="0" borderId="0" xfId="0" applyFont="1" applyFill="1" applyAlignment="1">
      <alignment/>
    </xf>
    <xf numFmtId="0" fontId="25" fillId="0" borderId="0" xfId="0" applyFont="1" applyFill="1" applyAlignment="1">
      <alignment/>
    </xf>
    <xf numFmtId="4" fontId="153" fillId="0" borderId="0" xfId="0" applyNumberFormat="1" applyFont="1" applyAlignment="1">
      <alignment/>
    </xf>
    <xf numFmtId="4" fontId="0" fillId="0" borderId="0" xfId="0" applyNumberFormat="1" applyFill="1" applyAlignment="1">
      <alignment/>
    </xf>
    <xf numFmtId="0" fontId="171" fillId="0" borderId="0" xfId="0" applyFont="1" applyAlignment="1">
      <alignment/>
    </xf>
    <xf numFmtId="2" fontId="0" fillId="10" borderId="10" xfId="0" applyNumberFormat="1" applyFill="1" applyBorder="1" applyAlignment="1" applyProtection="1">
      <alignment horizontal="right"/>
      <protection locked="0"/>
    </xf>
    <xf numFmtId="0" fontId="172" fillId="0" borderId="0" xfId="0" applyFont="1" applyAlignment="1">
      <alignment vertical="center"/>
    </xf>
    <xf numFmtId="4" fontId="2" fillId="0" borderId="0" xfId="0" applyNumberFormat="1" applyFont="1" applyAlignment="1">
      <alignment/>
    </xf>
    <xf numFmtId="0" fontId="173" fillId="0" borderId="0" xfId="0" applyFont="1" applyAlignment="1">
      <alignment vertical="center"/>
    </xf>
    <xf numFmtId="2" fontId="0" fillId="0" borderId="0" xfId="0" applyNumberFormat="1" applyFont="1" applyAlignment="1">
      <alignment/>
    </xf>
    <xf numFmtId="4" fontId="2" fillId="0" borderId="0" xfId="0" applyNumberFormat="1" applyFont="1" applyFill="1" applyAlignment="1">
      <alignment/>
    </xf>
    <xf numFmtId="3" fontId="174" fillId="33" borderId="10" xfId="0" applyNumberFormat="1" applyFont="1" applyFill="1" applyBorder="1" applyAlignment="1" quotePrefix="1">
      <alignment/>
    </xf>
    <xf numFmtId="0" fontId="175" fillId="0" borderId="0" xfId="0" applyFont="1" applyAlignment="1">
      <alignment/>
    </xf>
    <xf numFmtId="9" fontId="25" fillId="0" borderId="0" xfId="58" applyFont="1" applyAlignment="1">
      <alignment/>
    </xf>
    <xf numFmtId="0" fontId="7" fillId="0" borderId="0" xfId="0" applyFont="1" applyFill="1" applyAlignment="1">
      <alignment/>
    </xf>
    <xf numFmtId="0" fontId="2" fillId="38" borderId="0" xfId="0" applyFont="1" applyFill="1" applyAlignment="1">
      <alignment/>
    </xf>
    <xf numFmtId="10" fontId="146" fillId="0" borderId="25" xfId="58" applyNumberFormat="1" applyFont="1" applyFill="1" applyBorder="1" applyAlignment="1">
      <alignment horizontal="center"/>
    </xf>
    <xf numFmtId="0" fontId="9" fillId="0" borderId="0" xfId="42" applyFill="1" applyAlignment="1" applyProtection="1">
      <alignment/>
      <protection/>
    </xf>
    <xf numFmtId="174" fontId="0" fillId="33" borderId="10" xfId="0" applyNumberFormat="1" applyFont="1" applyFill="1" applyBorder="1" applyAlignment="1" applyProtection="1">
      <alignment/>
      <protection locked="0"/>
    </xf>
    <xf numFmtId="0" fontId="176" fillId="0" borderId="0" xfId="0" applyFont="1" applyAlignment="1" applyProtection="1">
      <alignment/>
      <protection/>
    </xf>
    <xf numFmtId="174" fontId="7" fillId="0" borderId="0" xfId="0" applyNumberFormat="1" applyFont="1" applyFill="1" applyBorder="1" applyAlignment="1">
      <alignment/>
    </xf>
    <xf numFmtId="0" fontId="177" fillId="0" borderId="0" xfId="0" applyFont="1" applyAlignment="1" applyProtection="1">
      <alignment/>
      <protection/>
    </xf>
    <xf numFmtId="2" fontId="1" fillId="35" borderId="22" xfId="0" applyNumberFormat="1" applyFont="1" applyFill="1" applyBorder="1" applyAlignment="1">
      <alignment/>
    </xf>
    <xf numFmtId="2" fontId="1" fillId="35" borderId="25" xfId="0" applyNumberFormat="1" applyFont="1" applyFill="1" applyBorder="1" applyAlignment="1">
      <alignment/>
    </xf>
    <xf numFmtId="4" fontId="11" fillId="0" borderId="0" xfId="0" applyNumberFormat="1" applyFont="1" applyFill="1" applyAlignment="1">
      <alignment/>
    </xf>
    <xf numFmtId="0" fontId="178" fillId="0" borderId="0" xfId="0" applyFont="1" applyAlignment="1">
      <alignment/>
    </xf>
    <xf numFmtId="3" fontId="131" fillId="0" borderId="0" xfId="0" applyNumberFormat="1" applyFont="1" applyAlignment="1">
      <alignment/>
    </xf>
    <xf numFmtId="4" fontId="131" fillId="0" borderId="0" xfId="0" applyNumberFormat="1" applyFont="1" applyAlignment="1">
      <alignment/>
    </xf>
    <xf numFmtId="0" fontId="179" fillId="0" borderId="0" xfId="0" applyFont="1" applyAlignment="1">
      <alignment/>
    </xf>
    <xf numFmtId="0" fontId="179" fillId="0" borderId="0" xfId="0" applyFont="1" applyAlignment="1" quotePrefix="1">
      <alignment/>
    </xf>
    <xf numFmtId="3" fontId="180" fillId="0" borderId="0" xfId="0" applyNumberFormat="1" applyFont="1" applyFill="1" applyAlignment="1">
      <alignment vertical="center"/>
    </xf>
    <xf numFmtId="3" fontId="179" fillId="0" borderId="0" xfId="0" applyNumberFormat="1" applyFont="1" applyFill="1" applyAlignment="1">
      <alignment/>
    </xf>
    <xf numFmtId="4" fontId="181" fillId="36" borderId="10" xfId="0" applyNumberFormat="1" applyFont="1" applyFill="1" applyBorder="1" applyAlignment="1" applyProtection="1">
      <alignment/>
      <protection locked="0"/>
    </xf>
    <xf numFmtId="3" fontId="178" fillId="0" borderId="0" xfId="0" applyNumberFormat="1" applyFont="1" applyAlignment="1">
      <alignment/>
    </xf>
    <xf numFmtId="9" fontId="179" fillId="0" borderId="0" xfId="58" applyFont="1" applyAlignment="1">
      <alignment/>
    </xf>
    <xf numFmtId="4" fontId="0" fillId="35" borderId="13" xfId="0" applyNumberFormat="1" applyFill="1" applyBorder="1" applyAlignment="1" applyProtection="1">
      <alignment/>
      <protection/>
    </xf>
    <xf numFmtId="4" fontId="25" fillId="0" borderId="0" xfId="0" applyNumberFormat="1" applyFont="1" applyAlignment="1">
      <alignment/>
    </xf>
    <xf numFmtId="0" fontId="5" fillId="0" borderId="0" xfId="0" applyFont="1" applyAlignment="1">
      <alignment horizontal="left" indent="1"/>
    </xf>
    <xf numFmtId="0" fontId="15" fillId="0" borderId="0" xfId="0" applyFont="1" applyFill="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82" fillId="34" borderId="12" xfId="0" applyFont="1" applyFill="1" applyBorder="1" applyAlignment="1">
      <alignment horizontal="center"/>
    </xf>
    <xf numFmtId="0" fontId="182" fillId="34" borderId="13" xfId="0" applyFont="1" applyFill="1" applyBorder="1" applyAlignment="1">
      <alignment horizontal="center"/>
    </xf>
    <xf numFmtId="0" fontId="182" fillId="34" borderId="39" xfId="0" applyFont="1" applyFill="1" applyBorder="1" applyAlignment="1">
      <alignment horizontal="center"/>
    </xf>
    <xf numFmtId="0" fontId="183"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11</xdr:col>
      <xdr:colOff>171450</xdr:colOff>
      <xdr:row>105</xdr:row>
      <xdr:rowOff>123825</xdr:rowOff>
    </xdr:to>
    <xdr:sp>
      <xdr:nvSpPr>
        <xdr:cNvPr id="1" name="Tekstiruutu 2"/>
        <xdr:cNvSpPr txBox="1">
          <a:spLocks noChangeArrowheads="1"/>
        </xdr:cNvSpPr>
      </xdr:nvSpPr>
      <xdr:spPr>
        <a:xfrm>
          <a:off x="57150" y="28575"/>
          <a:ext cx="7200900" cy="17097375"/>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14.1.2022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Tulopohjan tasaus</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8. Opetus ja kulttuurin, muu vos 
</a:t>
          </a:r>
          <a:r>
            <a:rPr lang="en-US" cap="none" sz="1200" b="1" i="0" u="none" baseline="0">
              <a:solidFill>
                <a:srgbClr val="0066CC"/>
              </a:solidFill>
              <a:latin typeface="Calibri"/>
              <a:ea typeface="Calibri"/>
              <a:cs typeface="Calibri"/>
            </a:rPr>
            <a:t>9.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Opetus- ja kulttuuritoimen valtionosuuksien osalta laskuri</a:t>
          </a:r>
          <a:r>
            <a:rPr lang="en-US" cap="none" sz="1100" b="0" i="0" u="none" baseline="0">
              <a:solidFill>
                <a:srgbClr val="000000"/>
              </a:solidFill>
              <a:latin typeface="Calibri"/>
              <a:ea typeface="Calibri"/>
              <a:cs typeface="Calibri"/>
            </a:rPr>
            <a:t> laskee vain</a:t>
          </a:r>
          <a:r>
            <a:rPr lang="en-US" cap="none" sz="1100" b="0" i="0" u="none" baseline="0">
              <a:solidFill>
                <a:srgbClr val="000000"/>
              </a:solidFill>
              <a:latin typeface="Calibri"/>
              <a:ea typeface="Calibri"/>
              <a:cs typeface="Calibri"/>
            </a:rPr>
            <a:t> perusrahoituksen.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Kokonaistason selville saamiseksi lukuihin pitää lisätä erillisrahoitus esimerkiksi lukion valtakunnallisen erityis- tai kehittämistehtävän, museoiden alueellisen vastuutehtävän tai orkesterin korotetun rahoituksen osalta. Näitä</a:t>
          </a:r>
          <a:r>
            <a:rPr lang="en-US" cap="none" sz="1100" b="0" i="0" u="none" baseline="0">
              <a:solidFill>
                <a:srgbClr val="000000"/>
              </a:solidFill>
              <a:latin typeface="Calibri"/>
              <a:ea typeface="Calibri"/>
              <a:cs typeface="Calibri"/>
            </a:rPr>
            <a:t> voi arvioida esimerkiksi viime vuoden summilla. Laskuri ei myöskään sisällä ammatillisen koulutuksen rahoitusta, koska ammatillisen koulutuksen kuntajärjestäjiä on enää hyvin vähän.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8</xdr:row>
      <xdr:rowOff>161925</xdr:rowOff>
    </xdr:from>
    <xdr:ext cx="5743575" cy="1704975"/>
    <xdr:sp>
      <xdr:nvSpPr>
        <xdr:cNvPr id="1" name="Tekstiruutu 1"/>
        <xdr:cNvSpPr txBox="1">
          <a:spLocks noChangeArrowheads="1"/>
        </xdr:cNvSpPr>
      </xdr:nvSpPr>
      <xdr:spPr>
        <a:xfrm>
          <a:off x="76200" y="1485900"/>
          <a:ext cx="5743575" cy="1704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8</xdr:row>
      <xdr:rowOff>0</xdr:rowOff>
    </xdr:from>
    <xdr:to>
      <xdr:col>15</xdr:col>
      <xdr:colOff>0</xdr:colOff>
      <xdr:row>11</xdr:row>
      <xdr:rowOff>152400</xdr:rowOff>
    </xdr:to>
    <xdr:sp>
      <xdr:nvSpPr>
        <xdr:cNvPr id="1" name="Tekstiruutu 1"/>
        <xdr:cNvSpPr txBox="1">
          <a:spLocks noChangeArrowheads="1"/>
        </xdr:cNvSpPr>
      </xdr:nvSpPr>
      <xdr:spPr>
        <a:xfrm>
          <a:off x="3971925" y="1590675"/>
          <a:ext cx="699135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Kokonaistason selville saamiseksi lukuihin pitää lisätä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erillisrahoitus esimerkiksi lukion erityisen koulutustehtävän tai valtakunnallisen kehittämistehtävän, museioiden alueellisen vastuutehtävien tai orkesterin korotetun rahoituksen osalta.</a:t>
          </a:r>
          <a:r>
            <a:rPr lang="en-US" cap="none" sz="1100" b="0" i="0" u="none" baseline="0">
              <a:solidFill>
                <a:srgbClr val="000000"/>
              </a:solidFill>
              <a:latin typeface="Calibri"/>
              <a:ea typeface="Calibri"/>
              <a:cs typeface="Calibri"/>
            </a:rPr>
            <a:t> Laskuri ei myöskään huomioi ammatillisen koulutuksen rahoitusta.</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vos.oph.fi/rap/vos/v22/v05yk6y22.pdf"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zoomScale="145" zoomScaleNormal="145" workbookViewId="0" topLeftCell="A1">
      <selection activeCell="O5" sqref="O5"/>
    </sheetView>
  </sheetViews>
  <sheetFormatPr defaultColWidth="9.140625" defaultRowHeight="12.75"/>
  <cols>
    <col min="9" max="9" width="13.28125" style="0" customWidth="1"/>
    <col min="11" max="11" width="10.7109375" style="0" customWidth="1"/>
    <col min="12" max="12" width="3.57421875" style="0" customWidth="1"/>
    <col min="13" max="13" width="1.421875" style="0" customWidth="1"/>
  </cols>
  <sheetData>
    <row r="1" spans="1:12" ht="12.75">
      <c r="A1" s="61"/>
      <c r="L1" s="61"/>
    </row>
    <row r="2" spans="1:12" ht="12.75">
      <c r="A2" s="61"/>
      <c r="L2" s="61"/>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62"/>
      <c r="L19" s="62"/>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P111"/>
  <sheetViews>
    <sheetView zoomScale="110" zoomScaleNormal="110" zoomScalePageLayoutView="0" workbookViewId="0" topLeftCell="A1">
      <selection activeCell="O28" sqref="O28"/>
    </sheetView>
  </sheetViews>
  <sheetFormatPr defaultColWidth="9.140625" defaultRowHeight="12.75"/>
  <cols>
    <col min="1" max="4" width="2.7109375" style="0" customWidth="1"/>
    <col min="5" max="5" width="27.7109375" style="0" customWidth="1"/>
    <col min="6" max="6" width="11.28125" style="0" customWidth="1"/>
    <col min="7" max="7" width="13.7109375" style="0" customWidth="1"/>
    <col min="8" max="8" width="14.00390625" style="0" customWidth="1"/>
    <col min="9" max="9" width="8.00390625" style="0" customWidth="1"/>
    <col min="10" max="10" width="8.7109375" style="0" customWidth="1"/>
    <col min="11" max="11" width="12.7109375" style="0" customWidth="1"/>
    <col min="12" max="12" width="13.00390625" style="0" customWidth="1"/>
    <col min="13" max="13" width="15.7109375" style="223" customWidth="1"/>
    <col min="14" max="14" width="14.421875" style="0" customWidth="1"/>
    <col min="15" max="15" width="14.28125" style="0" bestFit="1" customWidth="1"/>
  </cols>
  <sheetData>
    <row r="1" spans="1:11" ht="15.75">
      <c r="A1" s="79" t="s">
        <v>736</v>
      </c>
      <c r="E1" s="29"/>
      <c r="F1" s="8"/>
      <c r="G1" s="8"/>
      <c r="H1" s="8"/>
      <c r="I1" s="8"/>
      <c r="J1" s="8"/>
      <c r="K1" s="103" t="s">
        <v>718</v>
      </c>
    </row>
    <row r="2" spans="5:12" ht="12.75">
      <c r="E2" s="60"/>
      <c r="F2" s="8"/>
      <c r="G2" s="8"/>
      <c r="H2" s="8"/>
      <c r="I2" s="8"/>
      <c r="J2" s="8"/>
      <c r="K2" s="8"/>
      <c r="L2" s="497" t="s">
        <v>727</v>
      </c>
    </row>
    <row r="3" spans="2:12" ht="18">
      <c r="B3" s="529" t="s">
        <v>702</v>
      </c>
      <c r="C3" s="530"/>
      <c r="D3" s="530"/>
      <c r="E3" s="530"/>
      <c r="F3" s="530"/>
      <c r="G3" s="530"/>
      <c r="H3" s="530"/>
      <c r="I3" s="530"/>
      <c r="J3" s="530"/>
      <c r="K3" s="531"/>
      <c r="L3" s="497" t="s">
        <v>728</v>
      </c>
    </row>
    <row r="4" spans="2:16" ht="25.5" customHeight="1">
      <c r="B4" s="496"/>
      <c r="E4" s="8"/>
      <c r="F4" s="8"/>
      <c r="G4" s="8"/>
      <c r="H4" s="8"/>
      <c r="I4" s="8"/>
      <c r="J4" s="8"/>
      <c r="N4" s="5"/>
      <c r="O4" s="5"/>
      <c r="P4" s="5"/>
    </row>
    <row r="5" spans="2:10" ht="12.75">
      <c r="B5" s="54" t="s">
        <v>40</v>
      </c>
      <c r="C5" s="28"/>
      <c r="D5" s="28"/>
      <c r="E5" s="40"/>
      <c r="F5" s="55" t="s">
        <v>361</v>
      </c>
      <c r="G5" s="8"/>
      <c r="H5" s="8"/>
      <c r="I5" s="8"/>
      <c r="J5" s="8"/>
    </row>
    <row r="6" spans="2:11" ht="12.75">
      <c r="B6" s="28"/>
      <c r="C6" s="28"/>
      <c r="D6" s="28"/>
      <c r="E6" s="101"/>
      <c r="F6" s="55" t="s">
        <v>360</v>
      </c>
      <c r="G6" s="8"/>
      <c r="H6" s="8"/>
      <c r="I6" s="8"/>
      <c r="J6" s="8"/>
      <c r="K6" s="8"/>
    </row>
    <row r="7" spans="2:11" ht="15">
      <c r="B7" s="28"/>
      <c r="C7" s="28"/>
      <c r="D7" s="28"/>
      <c r="E7" s="8"/>
      <c r="F7" s="55"/>
      <c r="G7" s="8"/>
      <c r="H7" s="8"/>
      <c r="I7" s="8"/>
      <c r="J7" s="8"/>
      <c r="K7" s="509"/>
    </row>
    <row r="8" spans="2:10" ht="12.75">
      <c r="B8" s="115"/>
      <c r="C8" s="28"/>
      <c r="D8" s="28"/>
      <c r="E8" s="8"/>
      <c r="F8" s="55"/>
      <c r="G8" s="8"/>
      <c r="I8" s="8"/>
      <c r="J8" s="8"/>
    </row>
    <row r="9" spans="2:13" s="5" customFormat="1" ht="12.75">
      <c r="B9" s="84" t="s">
        <v>0</v>
      </c>
      <c r="F9" s="11" t="str">
        <f>'2.Yhteenveto'!G11</f>
        <v>Akaa</v>
      </c>
      <c r="G9" s="87"/>
      <c r="H9" s="28"/>
      <c r="I9" s="28"/>
      <c r="M9" s="223"/>
    </row>
    <row r="10" spans="2:13" s="5" customFormat="1" ht="12.75">
      <c r="B10" s="84" t="str">
        <f>'2.Yhteenveto'!B12</f>
        <v>Asukasluku 31.12.2020:</v>
      </c>
      <c r="F10" s="147">
        <f>'2.Yhteenveto'!$H$12</f>
        <v>16391</v>
      </c>
      <c r="G10" s="87"/>
      <c r="H10" s="28"/>
      <c r="I10" s="28"/>
      <c r="M10" s="223"/>
    </row>
    <row r="11" spans="3:10" ht="12.75">
      <c r="C11" s="36" t="s">
        <v>409</v>
      </c>
      <c r="F11" s="169">
        <f>INDEX(okm_1,MATCH($F$9,kunta,0),1,1)</f>
        <v>4722</v>
      </c>
      <c r="G11" s="115"/>
      <c r="H11" s="28"/>
      <c r="I11" s="8"/>
      <c r="J11" s="8"/>
    </row>
    <row r="12" spans="3:10" ht="12.75">
      <c r="C12" s="36"/>
      <c r="F12" s="8"/>
      <c r="G12" s="115"/>
      <c r="H12" s="8"/>
      <c r="I12" s="8"/>
      <c r="J12" s="8"/>
    </row>
    <row r="13" spans="5:11" ht="12.75">
      <c r="E13" s="8"/>
      <c r="F13" s="9"/>
      <c r="G13" s="8"/>
      <c r="H13" s="8"/>
      <c r="I13" s="8"/>
      <c r="J13" s="8"/>
      <c r="K13" s="8"/>
    </row>
    <row r="14" spans="2:11" ht="12.75">
      <c r="B14" s="27" t="s">
        <v>410</v>
      </c>
      <c r="F14" s="8"/>
      <c r="G14" s="8"/>
      <c r="H14" s="8"/>
      <c r="I14" s="8"/>
      <c r="J14" s="8"/>
      <c r="K14" s="19"/>
    </row>
    <row r="15" spans="2:11" ht="12.75">
      <c r="B15" s="511"/>
      <c r="F15" s="8"/>
      <c r="G15" s="8"/>
      <c r="H15" s="8"/>
      <c r="I15" s="8"/>
      <c r="J15" s="8"/>
      <c r="K15" s="19"/>
    </row>
    <row r="16" spans="5:11" ht="12.75">
      <c r="E16" s="36"/>
      <c r="F16" s="59"/>
      <c r="G16" s="8"/>
      <c r="H16" s="72"/>
      <c r="I16" s="72"/>
      <c r="J16" s="8"/>
      <c r="K16" s="19"/>
    </row>
    <row r="17" spans="3:13" ht="15">
      <c r="C17" s="28" t="s">
        <v>53</v>
      </c>
      <c r="G17" s="71" t="s">
        <v>660</v>
      </c>
      <c r="J17" s="8"/>
      <c r="K17" s="336">
        <f>'9.Lukio'!J58</f>
        <v>0</v>
      </c>
      <c r="M17" s="509"/>
    </row>
    <row r="18" spans="3:13" ht="12.75">
      <c r="C18" s="28" t="s">
        <v>16</v>
      </c>
      <c r="F18" s="8"/>
      <c r="G18" s="71" t="s">
        <v>659</v>
      </c>
      <c r="J18" s="8"/>
      <c r="K18" s="30"/>
      <c r="M18" s="362"/>
    </row>
    <row r="19" spans="5:13" ht="12.75">
      <c r="E19" s="8"/>
      <c r="F19" s="8"/>
      <c r="G19" s="8"/>
      <c r="H19" s="8"/>
      <c r="I19" s="8"/>
      <c r="J19" s="8"/>
      <c r="K19" s="19"/>
      <c r="M19" s="362"/>
    </row>
    <row r="20" spans="2:13" ht="12.75">
      <c r="B20" s="116" t="s">
        <v>370</v>
      </c>
      <c r="C20" s="89"/>
      <c r="D20" s="89"/>
      <c r="E20" s="89"/>
      <c r="F20" s="112"/>
      <c r="G20" s="111"/>
      <c r="H20" s="130"/>
      <c r="I20" s="130"/>
      <c r="J20" s="111"/>
      <c r="K20" s="113">
        <f>SUM(K17:K18)</f>
        <v>0</v>
      </c>
      <c r="M20" s="362"/>
    </row>
    <row r="21" spans="5:13" ht="12.75">
      <c r="E21" s="8"/>
      <c r="F21" s="8"/>
      <c r="G21" s="8"/>
      <c r="H21" s="8"/>
      <c r="I21" s="8"/>
      <c r="J21" s="8"/>
      <c r="K21" s="19"/>
      <c r="M21" s="489"/>
    </row>
    <row r="22" spans="5:11" ht="12.75">
      <c r="E22" s="8"/>
      <c r="F22" s="8"/>
      <c r="G22" s="8"/>
      <c r="H22" s="8"/>
      <c r="I22" s="8"/>
      <c r="J22" s="8"/>
      <c r="K22" s="19"/>
    </row>
    <row r="23" spans="2:11" ht="12.75">
      <c r="B23" s="27" t="s">
        <v>658</v>
      </c>
      <c r="E23" s="8"/>
      <c r="F23" s="8"/>
      <c r="G23" s="8"/>
      <c r="H23" s="8"/>
      <c r="I23" s="8"/>
      <c r="J23" s="8"/>
      <c r="K23" s="19"/>
    </row>
    <row r="24" spans="2:11" ht="12.75">
      <c r="B24" s="27"/>
      <c r="E24" s="8"/>
      <c r="F24" s="8"/>
      <c r="G24" s="8"/>
      <c r="H24" s="8"/>
      <c r="I24" s="8"/>
      <c r="J24" s="8"/>
      <c r="K24" s="19"/>
    </row>
    <row r="25" spans="3:15" ht="12.75">
      <c r="C25" s="5" t="s">
        <v>655</v>
      </c>
      <c r="E25" s="8"/>
      <c r="F25" s="8"/>
      <c r="G25" s="495">
        <v>-90.27</v>
      </c>
      <c r="H25" s="49" t="s">
        <v>1</v>
      </c>
      <c r="I25" s="8"/>
      <c r="J25" s="19"/>
      <c r="K25" s="86">
        <f>G25*$F$10</f>
        <v>-1479615.5699999998</v>
      </c>
      <c r="O25" s="516">
        <v>-473629379.674028</v>
      </c>
    </row>
    <row r="26" spans="3:15" ht="12.75">
      <c r="C26" s="5" t="s">
        <v>656</v>
      </c>
      <c r="E26" s="8"/>
      <c r="F26" s="8"/>
      <c r="G26" s="495">
        <v>-186.42</v>
      </c>
      <c r="H26" s="49" t="s">
        <v>1</v>
      </c>
      <c r="I26" s="8"/>
      <c r="J26" s="19"/>
      <c r="K26" s="86">
        <f>G26*$F$10</f>
        <v>-3055610.2199999997</v>
      </c>
      <c r="O26" s="516">
        <v>-999989000</v>
      </c>
    </row>
    <row r="27" spans="2:15" s="5" customFormat="1" ht="12.75">
      <c r="B27" s="28"/>
      <c r="C27" s="65"/>
      <c r="G27" s="330"/>
      <c r="H27" s="28"/>
      <c r="I27" s="28"/>
      <c r="J27" s="86"/>
      <c r="K27" s="86"/>
      <c r="M27" s="223"/>
      <c r="O27" s="516">
        <v>5495408</v>
      </c>
    </row>
    <row r="28" spans="2:13" s="5" customFormat="1" ht="12.75">
      <c r="B28" s="116" t="s">
        <v>657</v>
      </c>
      <c r="C28" s="89"/>
      <c r="D28" s="89"/>
      <c r="E28" s="89"/>
      <c r="F28" s="112"/>
      <c r="G28" s="111"/>
      <c r="H28" s="525">
        <f>SUM(G25:G26)</f>
        <v>-276.69</v>
      </c>
      <c r="I28" s="337" t="s">
        <v>1</v>
      </c>
      <c r="J28" s="111"/>
      <c r="K28" s="113">
        <f>SUM(K25:K26)</f>
        <v>-4535225.789999999</v>
      </c>
      <c r="M28" s="223"/>
    </row>
    <row r="29" ht="14.25">
      <c r="E29" s="46"/>
    </row>
    <row r="30" ht="14.25">
      <c r="E30" s="46"/>
    </row>
    <row r="31" spans="2:11" ht="12.75">
      <c r="B31" s="27" t="s">
        <v>371</v>
      </c>
      <c r="F31" s="8"/>
      <c r="G31" s="8"/>
      <c r="H31" s="8"/>
      <c r="I31" s="8"/>
      <c r="J31" s="8"/>
      <c r="K31" s="33"/>
    </row>
    <row r="32" spans="5:11" ht="12.75">
      <c r="E32" s="8"/>
      <c r="F32" s="8"/>
      <c r="G32" s="8"/>
      <c r="H32" s="8"/>
      <c r="I32" s="226"/>
      <c r="J32" s="8"/>
      <c r="K32" s="19"/>
    </row>
    <row r="33" spans="5:11" ht="12.75">
      <c r="E33" s="28" t="s">
        <v>555</v>
      </c>
      <c r="F33" s="96">
        <v>7452.22</v>
      </c>
      <c r="G33" s="49"/>
      <c r="H33" s="507" t="s">
        <v>723</v>
      </c>
      <c r="I33" s="8"/>
      <c r="J33" s="8"/>
      <c r="K33" s="19"/>
    </row>
    <row r="34" spans="5:11" ht="13.5" thickBot="1">
      <c r="E34" s="105" t="s">
        <v>556</v>
      </c>
      <c r="F34" s="157">
        <f>-160.78-33.3-41.99-84.7</f>
        <v>-320.77</v>
      </c>
      <c r="G34" s="49"/>
      <c r="H34" s="8"/>
      <c r="I34" s="8"/>
      <c r="J34" s="8"/>
      <c r="K34" s="19"/>
    </row>
    <row r="35" spans="5:11" ht="13.5" thickTop="1">
      <c r="E35" s="28" t="s">
        <v>725</v>
      </c>
      <c r="F35" s="228">
        <f>F33+F34</f>
        <v>7131.450000000001</v>
      </c>
      <c r="G35" s="49"/>
      <c r="H35" s="8"/>
      <c r="I35" s="226"/>
      <c r="J35" s="8"/>
      <c r="K35" s="19"/>
    </row>
    <row r="36" spans="5:11" ht="12.75">
      <c r="E36" s="28" t="s">
        <v>594</v>
      </c>
      <c r="F36" s="227">
        <v>1.0098</v>
      </c>
      <c r="G36" s="49"/>
      <c r="H36" s="489"/>
      <c r="I36" s="8"/>
      <c r="J36" s="8"/>
      <c r="K36" s="19"/>
    </row>
    <row r="37" spans="5:11" ht="12.75">
      <c r="E37" s="8"/>
      <c r="F37" s="8"/>
      <c r="G37" s="8"/>
      <c r="H37" s="8"/>
      <c r="I37" s="8"/>
      <c r="J37" s="8"/>
      <c r="K37" s="19"/>
    </row>
    <row r="38" spans="3:11" ht="12.75">
      <c r="C38" s="2"/>
      <c r="D38" s="2"/>
      <c r="E38" s="49"/>
      <c r="F38" s="131" t="s">
        <v>374</v>
      </c>
      <c r="G38" s="104"/>
      <c r="H38" s="104"/>
      <c r="I38" s="131" t="s">
        <v>375</v>
      </c>
      <c r="J38" s="104"/>
      <c r="K38" s="132"/>
    </row>
    <row r="39" spans="3:11" ht="12.75">
      <c r="C39" s="2"/>
      <c r="D39" s="2"/>
      <c r="E39" s="49"/>
      <c r="F39" s="131" t="s">
        <v>4</v>
      </c>
      <c r="G39" s="104" t="s">
        <v>373</v>
      </c>
      <c r="H39" s="104"/>
      <c r="I39" s="131" t="s">
        <v>5</v>
      </c>
      <c r="J39" s="104" t="s">
        <v>6</v>
      </c>
      <c r="K39" s="104" t="s">
        <v>358</v>
      </c>
    </row>
    <row r="40" spans="5:11" ht="12.75">
      <c r="E40" s="8"/>
      <c r="F40" s="8"/>
      <c r="G40" s="65"/>
      <c r="J40" s="8"/>
      <c r="K40" s="19"/>
    </row>
    <row r="41" spans="3:13" ht="12.75">
      <c r="C41" s="27" t="s">
        <v>29</v>
      </c>
      <c r="F41" s="44">
        <f>$F$35</f>
        <v>7131.450000000001</v>
      </c>
      <c r="G41" s="115" t="s">
        <v>38</v>
      </c>
      <c r="I41" s="30"/>
      <c r="J41" s="8">
        <v>1.26</v>
      </c>
      <c r="K41" s="19">
        <f>F41*I41*J41*$F$36</f>
        <v>0</v>
      </c>
      <c r="L41" s="2"/>
      <c r="M41" s="517">
        <f>J41*F41*$F$36</f>
        <v>9073.6861446</v>
      </c>
    </row>
    <row r="42" spans="3:13" ht="12.75">
      <c r="C42" s="27"/>
      <c r="F42" s="44"/>
      <c r="G42" s="115"/>
      <c r="I42" s="8"/>
      <c r="J42" s="8"/>
      <c r="K42" s="19"/>
      <c r="L42" s="2"/>
      <c r="M42" s="517"/>
    </row>
    <row r="43" spans="3:13" ht="12.75">
      <c r="C43" s="27" t="s">
        <v>28</v>
      </c>
      <c r="F43" s="8"/>
      <c r="J43" s="8"/>
      <c r="K43" s="19"/>
      <c r="L43" s="2"/>
      <c r="M43" s="517"/>
    </row>
    <row r="44" spans="4:13" ht="12.75">
      <c r="D44" s="28" t="s">
        <v>558</v>
      </c>
      <c r="F44" s="44">
        <f>$F$35</f>
        <v>7131.450000000001</v>
      </c>
      <c r="G44" s="115" t="s">
        <v>38</v>
      </c>
      <c r="I44" s="30"/>
      <c r="J44" s="8">
        <v>4.76</v>
      </c>
      <c r="K44" s="19">
        <f>F44*I44*J44*$F$36</f>
        <v>0</v>
      </c>
      <c r="L44" s="2"/>
      <c r="M44" s="517">
        <f>J44*F44*$F$36</f>
        <v>34278.3698796</v>
      </c>
    </row>
    <row r="45" spans="4:13" ht="12.75">
      <c r="D45" s="28" t="s">
        <v>595</v>
      </c>
      <c r="F45" s="44">
        <f>$F$35</f>
        <v>7131.450000000001</v>
      </c>
      <c r="G45" s="115" t="s">
        <v>38</v>
      </c>
      <c r="I45" s="30"/>
      <c r="J45" s="8">
        <v>2.97</v>
      </c>
      <c r="K45" s="19">
        <f>F45*I45*J45*$F$36</f>
        <v>0</v>
      </c>
      <c r="L45" s="2"/>
      <c r="M45" s="517">
        <f>J45*F45*$F$36</f>
        <v>21387.974483700007</v>
      </c>
    </row>
    <row r="46" spans="5:13" ht="12.75">
      <c r="E46" s="8"/>
      <c r="F46" s="8"/>
      <c r="G46" s="65"/>
      <c r="J46" s="8"/>
      <c r="K46" s="19"/>
      <c r="L46" s="2"/>
      <c r="M46" s="517"/>
    </row>
    <row r="47" spans="3:13" ht="12.75">
      <c r="C47" s="27" t="s">
        <v>44</v>
      </c>
      <c r="F47" s="44">
        <f>$F$35</f>
        <v>7131.450000000001</v>
      </c>
      <c r="G47" s="115" t="s">
        <v>38</v>
      </c>
      <c r="I47" s="30"/>
      <c r="J47" s="8">
        <v>0.46</v>
      </c>
      <c r="K47" s="19">
        <f>F47*I47*J47*$F$36</f>
        <v>0</v>
      </c>
      <c r="L47" s="2"/>
      <c r="M47" s="517">
        <f>J47*F47*$F$36</f>
        <v>3312.6155766000006</v>
      </c>
    </row>
    <row r="48" spans="3:13" ht="12.75">
      <c r="C48" s="27" t="s">
        <v>557</v>
      </c>
      <c r="F48" s="44">
        <f>$F$35</f>
        <v>7131.450000000001</v>
      </c>
      <c r="G48" s="115" t="s">
        <v>38</v>
      </c>
      <c r="I48" s="30"/>
      <c r="J48" s="8">
        <v>1.86</v>
      </c>
      <c r="K48" s="19">
        <f>F48*I48*J48*$F$36</f>
        <v>0</v>
      </c>
      <c r="L48" s="2"/>
      <c r="M48" s="517">
        <f>J48*F48*$F$36*1.0382</f>
        <v>13906.158553096922</v>
      </c>
    </row>
    <row r="49" spans="5:13" ht="12.75">
      <c r="E49" s="27"/>
      <c r="F49" s="59"/>
      <c r="G49" s="115"/>
      <c r="I49" s="33"/>
      <c r="J49" s="8"/>
      <c r="K49" s="19"/>
      <c r="L49" s="2"/>
      <c r="M49" s="517"/>
    </row>
    <row r="50" spans="3:13" ht="12.75">
      <c r="C50" s="27" t="s">
        <v>30</v>
      </c>
      <c r="G50" s="65"/>
      <c r="K50" s="63"/>
      <c r="L50" s="2"/>
      <c r="M50" s="517"/>
    </row>
    <row r="51" spans="4:13" ht="12.75">
      <c r="D51" s="28" t="s">
        <v>578</v>
      </c>
      <c r="F51" s="44">
        <f>$F$33+$F$34</f>
        <v>7131.450000000001</v>
      </c>
      <c r="G51" s="115" t="s">
        <v>38</v>
      </c>
      <c r="I51" s="30"/>
      <c r="J51" s="8">
        <v>1.41</v>
      </c>
      <c r="K51" s="19">
        <f>F51*I51*J51*$F$36</f>
        <v>0</v>
      </c>
      <c r="L51" s="2"/>
      <c r="M51" s="517">
        <f>J51*F51</f>
        <v>10055.344500000001</v>
      </c>
    </row>
    <row r="52" spans="4:13" ht="12.75">
      <c r="D52" s="28"/>
      <c r="F52" s="44"/>
      <c r="G52" s="115"/>
      <c r="I52" s="229"/>
      <c r="J52" s="8"/>
      <c r="K52" s="19"/>
      <c r="L52" s="2"/>
      <c r="M52" s="517"/>
    </row>
    <row r="53" spans="4:13" ht="12.75">
      <c r="D53" s="28" t="s">
        <v>596</v>
      </c>
      <c r="F53" s="44">
        <f>$F$33+$F$34</f>
        <v>7131.450000000001</v>
      </c>
      <c r="G53" s="115" t="s">
        <v>38</v>
      </c>
      <c r="I53" s="30"/>
      <c r="J53" s="8">
        <v>0.046</v>
      </c>
      <c r="K53" s="19">
        <f>ROUND(F53*J53*$F$36,2)*I53</f>
        <v>0</v>
      </c>
      <c r="L53" s="2"/>
      <c r="M53" s="517">
        <f>ROUND(J53*F53*F36,2)</f>
        <v>331.26</v>
      </c>
    </row>
    <row r="54" spans="4:15" ht="14.25">
      <c r="D54" s="28" t="s">
        <v>597</v>
      </c>
      <c r="F54" s="493">
        <v>285.43</v>
      </c>
      <c r="G54" s="115" t="s">
        <v>690</v>
      </c>
      <c r="I54" s="30"/>
      <c r="J54" s="172"/>
      <c r="K54" s="19">
        <f>F54*I54</f>
        <v>0</v>
      </c>
      <c r="L54" s="2"/>
      <c r="M54" s="517">
        <f>F54</f>
        <v>285.43</v>
      </c>
      <c r="N54" s="362"/>
      <c r="O54" s="362"/>
    </row>
    <row r="55" spans="5:13" ht="12.75">
      <c r="E55" s="494"/>
      <c r="G55" s="115"/>
      <c r="I55" s="8"/>
      <c r="K55" s="19"/>
      <c r="L55" s="2"/>
      <c r="M55" s="517"/>
    </row>
    <row r="56" spans="2:13" ht="14.25">
      <c r="B56" s="133"/>
      <c r="K56" s="63"/>
      <c r="L56" s="2"/>
      <c r="M56" s="517"/>
    </row>
    <row r="57" spans="3:13" ht="12.75">
      <c r="C57" s="27" t="s">
        <v>42</v>
      </c>
      <c r="F57" s="59"/>
      <c r="G57" s="115"/>
      <c r="I57" s="33"/>
      <c r="J57" s="8"/>
      <c r="K57" s="19"/>
      <c r="L57" s="2"/>
      <c r="M57" s="517"/>
    </row>
    <row r="58" spans="4:13" ht="12.75">
      <c r="D58" s="27" t="s">
        <v>41</v>
      </c>
      <c r="F58" s="63">
        <v>2700.96</v>
      </c>
      <c r="G58" s="115" t="s">
        <v>43</v>
      </c>
      <c r="I58" s="30"/>
      <c r="J58" s="8"/>
      <c r="K58" s="19">
        <f>F58*I58</f>
        <v>0</v>
      </c>
      <c r="L58" s="2"/>
      <c r="M58" s="517">
        <v>3100</v>
      </c>
    </row>
    <row r="59" spans="3:12" ht="12.75">
      <c r="C59" s="27"/>
      <c r="F59" s="59"/>
      <c r="G59" s="115"/>
      <c r="I59" s="33"/>
      <c r="J59" s="8"/>
      <c r="K59" s="19"/>
      <c r="L59" s="2"/>
    </row>
    <row r="60" spans="3:12" ht="12.75">
      <c r="C60" s="27" t="s">
        <v>642</v>
      </c>
      <c r="G60" s="65"/>
      <c r="I60" s="115" t="s">
        <v>598</v>
      </c>
      <c r="K60" s="63"/>
      <c r="L60" s="2"/>
    </row>
    <row r="61" spans="4:12" ht="12.75">
      <c r="D61" s="27" t="s">
        <v>37</v>
      </c>
      <c r="F61" s="44">
        <f>$F$33+$F$34</f>
        <v>7131.450000000001</v>
      </c>
      <c r="G61" s="115" t="s">
        <v>38</v>
      </c>
      <c r="I61" s="30"/>
      <c r="J61" s="8">
        <v>0.186</v>
      </c>
      <c r="K61" s="19">
        <f>ROUND(F61*J61*$F$36,2)*I61</f>
        <v>0</v>
      </c>
      <c r="L61" s="2"/>
    </row>
    <row r="62" spans="4:12" ht="12.75">
      <c r="D62" s="28"/>
      <c r="F62" s="44"/>
      <c r="G62" s="115"/>
      <c r="J62" s="8"/>
      <c r="K62" s="19"/>
      <c r="L62" s="19"/>
    </row>
    <row r="63" spans="5:12" ht="12.75">
      <c r="E63" s="8"/>
      <c r="F63" s="8"/>
      <c r="G63" s="8"/>
      <c r="H63" s="8"/>
      <c r="I63" s="8"/>
      <c r="J63" s="8"/>
      <c r="K63" s="19"/>
      <c r="L63" s="19"/>
    </row>
    <row r="64" spans="2:11" ht="12.75">
      <c r="B64" s="88" t="s">
        <v>376</v>
      </c>
      <c r="C64" s="89"/>
      <c r="D64" s="89"/>
      <c r="E64" s="110"/>
      <c r="F64" s="111"/>
      <c r="G64" s="111"/>
      <c r="H64" s="111"/>
      <c r="I64" s="111"/>
      <c r="J64" s="111"/>
      <c r="K64" s="113">
        <f>SUM(K41:K62)</f>
        <v>0</v>
      </c>
    </row>
    <row r="65" spans="5:11" ht="12.75">
      <c r="E65" s="8"/>
      <c r="F65" s="8"/>
      <c r="G65" s="8"/>
      <c r="H65" s="8"/>
      <c r="I65" s="8"/>
      <c r="J65" s="8"/>
      <c r="K65" s="19"/>
    </row>
    <row r="66" spans="5:11" ht="14.25">
      <c r="E66" s="46"/>
      <c r="K66" s="63"/>
    </row>
    <row r="67" spans="5:11" ht="14.25">
      <c r="E67" s="46"/>
      <c r="K67" s="121" t="s">
        <v>383</v>
      </c>
    </row>
    <row r="68" spans="2:11" ht="12.75">
      <c r="B68" s="1" t="s">
        <v>372</v>
      </c>
      <c r="E68" s="27"/>
      <c r="F68" s="27"/>
      <c r="G68" s="8"/>
      <c r="H68" s="27"/>
      <c r="I68" s="27"/>
      <c r="J68" s="27"/>
      <c r="K68" s="19"/>
    </row>
    <row r="69" spans="5:11" ht="12.75">
      <c r="E69" s="8"/>
      <c r="F69" s="27"/>
      <c r="G69" s="8"/>
      <c r="H69" s="27"/>
      <c r="I69" s="27"/>
      <c r="J69" s="27"/>
      <c r="K69" s="19"/>
    </row>
    <row r="70" spans="3:11" ht="12.75">
      <c r="C70" s="2"/>
      <c r="D70" s="2"/>
      <c r="E70" s="49"/>
      <c r="F70" s="131" t="s">
        <v>374</v>
      </c>
      <c r="G70" s="131"/>
      <c r="H70" s="131" t="s">
        <v>377</v>
      </c>
      <c r="I70" s="131" t="s">
        <v>378</v>
      </c>
      <c r="J70" s="131" t="s">
        <v>380</v>
      </c>
      <c r="K70" s="218"/>
    </row>
    <row r="71" spans="3:11" ht="12.75">
      <c r="C71" s="2"/>
      <c r="D71" s="2"/>
      <c r="E71" s="49"/>
      <c r="F71" s="131" t="s">
        <v>4</v>
      </c>
      <c r="G71" s="131" t="s">
        <v>373</v>
      </c>
      <c r="H71" s="131" t="s">
        <v>5</v>
      </c>
      <c r="I71" s="131" t="s">
        <v>379</v>
      </c>
      <c r="J71" s="131" t="s">
        <v>6</v>
      </c>
      <c r="K71" s="218" t="s">
        <v>358</v>
      </c>
    </row>
    <row r="72" spans="5:11" ht="12.75">
      <c r="E72" s="8"/>
      <c r="F72" s="27"/>
      <c r="G72" s="8"/>
      <c r="H72" s="27"/>
      <c r="I72" s="27"/>
      <c r="J72" s="27"/>
      <c r="K72" s="19"/>
    </row>
    <row r="73" spans="3:11" ht="12.75">
      <c r="C73" s="27" t="s">
        <v>7</v>
      </c>
      <c r="F73" s="44">
        <v>26</v>
      </c>
      <c r="G73" s="115" t="s">
        <v>599</v>
      </c>
      <c r="H73" s="40"/>
      <c r="I73" s="32">
        <v>0.57</v>
      </c>
      <c r="J73" s="27"/>
      <c r="K73" s="19">
        <f>F73*H73*I73</f>
        <v>0</v>
      </c>
    </row>
    <row r="74" spans="5:11" ht="12.75">
      <c r="E74" s="28"/>
      <c r="F74" s="44"/>
      <c r="G74" s="115"/>
      <c r="H74" s="8"/>
      <c r="I74" s="8"/>
      <c r="J74" s="8"/>
      <c r="K74" s="19"/>
    </row>
    <row r="75" spans="3:11" ht="12.75">
      <c r="C75" s="27" t="s">
        <v>606</v>
      </c>
      <c r="F75" s="44"/>
      <c r="G75" s="115"/>
      <c r="H75" s="8"/>
      <c r="I75" s="8"/>
      <c r="J75" s="8"/>
      <c r="K75" s="19"/>
    </row>
    <row r="76" spans="4:11" ht="12.75">
      <c r="D76" s="28" t="s">
        <v>607</v>
      </c>
      <c r="F76" s="44">
        <v>83.96</v>
      </c>
      <c r="G76" s="115" t="s">
        <v>601</v>
      </c>
      <c r="H76" s="30"/>
      <c r="I76" s="34">
        <v>0.57</v>
      </c>
      <c r="J76" s="26"/>
      <c r="K76" s="19">
        <f>F76*H76*I76</f>
        <v>0</v>
      </c>
    </row>
    <row r="77" spans="4:11" ht="12.75">
      <c r="D77" s="8"/>
      <c r="F77" s="44"/>
      <c r="G77" s="115"/>
      <c r="H77" s="115"/>
      <c r="I77" s="34"/>
      <c r="J77" s="26"/>
      <c r="K77" s="19"/>
    </row>
    <row r="78" spans="3:13" ht="12.75">
      <c r="C78" s="27" t="s">
        <v>8</v>
      </c>
      <c r="F78" s="44">
        <v>89.48</v>
      </c>
      <c r="G78" s="115" t="s">
        <v>601</v>
      </c>
      <c r="H78" s="30"/>
      <c r="I78" s="34">
        <v>0.57</v>
      </c>
      <c r="J78" s="8"/>
      <c r="K78" s="19">
        <f>F78*H78*I78</f>
        <v>0</v>
      </c>
      <c r="M78" s="413"/>
    </row>
    <row r="79" spans="3:13" ht="12.75">
      <c r="C79" s="27"/>
      <c r="F79" s="44">
        <v>89.48</v>
      </c>
      <c r="G79" s="115" t="s">
        <v>601</v>
      </c>
      <c r="H79" s="30"/>
      <c r="I79" s="34">
        <v>1</v>
      </c>
      <c r="J79" s="8"/>
      <c r="K79" s="19">
        <f>F79*H79*I79</f>
        <v>0</v>
      </c>
      <c r="L79" s="526" t="s">
        <v>731</v>
      </c>
      <c r="M79" s="413"/>
    </row>
    <row r="80" spans="3:13" ht="12.75">
      <c r="C80" s="27"/>
      <c r="G80" s="115"/>
      <c r="H80" s="425"/>
      <c r="J80" s="8"/>
      <c r="K80" s="19"/>
      <c r="L80" s="5"/>
      <c r="M80" s="413"/>
    </row>
    <row r="81" spans="4:12" ht="12.75">
      <c r="D81" s="28"/>
      <c r="F81" s="492"/>
      <c r="L81" s="5"/>
    </row>
    <row r="82" spans="3:12" ht="12.75">
      <c r="C82" s="27" t="s">
        <v>600</v>
      </c>
      <c r="F82" s="493">
        <v>297.48</v>
      </c>
      <c r="G82" s="229" t="s">
        <v>602</v>
      </c>
      <c r="H82" s="30"/>
      <c r="I82" s="34">
        <v>0.57</v>
      </c>
      <c r="J82" s="8"/>
      <c r="K82" s="19">
        <f>F82*H82*I82</f>
        <v>0</v>
      </c>
      <c r="L82" s="526" t="s">
        <v>732</v>
      </c>
    </row>
    <row r="83" spans="3:13" ht="12.75">
      <c r="C83" s="27"/>
      <c r="F83" s="493">
        <v>297.48</v>
      </c>
      <c r="G83" s="229" t="s">
        <v>602</v>
      </c>
      <c r="H83" s="30"/>
      <c r="I83" s="34">
        <v>1</v>
      </c>
      <c r="J83" s="8"/>
      <c r="K83" s="19">
        <f>F83*H83*I83</f>
        <v>0</v>
      </c>
      <c r="L83" s="526" t="s">
        <v>731</v>
      </c>
      <c r="M83" s="492"/>
    </row>
    <row r="84" spans="3:13" ht="12.75">
      <c r="C84" s="27"/>
      <c r="F84" s="493">
        <v>297.48</v>
      </c>
      <c r="G84" s="229" t="s">
        <v>602</v>
      </c>
      <c r="H84" s="30"/>
      <c r="I84" s="34">
        <v>1</v>
      </c>
      <c r="J84" s="8"/>
      <c r="K84" s="19"/>
      <c r="L84" s="526" t="s">
        <v>733</v>
      </c>
      <c r="M84" s="492"/>
    </row>
    <row r="85" spans="3:13" ht="12.75">
      <c r="C85" s="27"/>
      <c r="G85" s="229"/>
      <c r="H85" s="34"/>
      <c r="I85" s="34"/>
      <c r="J85" s="8"/>
      <c r="K85" s="19"/>
      <c r="L85" s="5"/>
      <c r="M85" s="492"/>
    </row>
    <row r="86" spans="5:12" ht="12.75">
      <c r="E86" s="8"/>
      <c r="F86" s="44"/>
      <c r="G86" s="115"/>
      <c r="H86" s="8"/>
      <c r="I86" s="8"/>
      <c r="J86" s="8"/>
      <c r="K86" s="19"/>
      <c r="L86" s="5"/>
    </row>
    <row r="87" spans="3:12" ht="12.75">
      <c r="C87" s="27" t="s">
        <v>603</v>
      </c>
      <c r="F87" s="44">
        <v>156.94</v>
      </c>
      <c r="G87" s="115" t="s">
        <v>601</v>
      </c>
      <c r="H87" s="30"/>
      <c r="I87" s="34">
        <v>0.57</v>
      </c>
      <c r="J87" s="8"/>
      <c r="K87" s="19">
        <f>F87*H87*I87</f>
        <v>0</v>
      </c>
      <c r="L87" s="5"/>
    </row>
    <row r="88" spans="3:12" ht="12.75">
      <c r="C88" s="27"/>
      <c r="F88" s="44">
        <v>156.94</v>
      </c>
      <c r="G88" s="115" t="s">
        <v>601</v>
      </c>
      <c r="H88" s="30"/>
      <c r="I88" s="34">
        <v>1</v>
      </c>
      <c r="J88" s="8"/>
      <c r="K88" s="19">
        <f>F88*H88*I88</f>
        <v>0</v>
      </c>
      <c r="L88" s="526" t="s">
        <v>731</v>
      </c>
    </row>
    <row r="89" spans="5:11" ht="12.75">
      <c r="E89" s="8"/>
      <c r="F89" s="44"/>
      <c r="G89" s="115"/>
      <c r="H89" s="8"/>
      <c r="I89" s="8"/>
      <c r="J89" s="8"/>
      <c r="K89" s="19"/>
    </row>
    <row r="90" spans="3:11" ht="12.75">
      <c r="C90" s="27" t="s">
        <v>604</v>
      </c>
      <c r="F90" s="413">
        <v>88.64</v>
      </c>
      <c r="G90" s="115" t="s">
        <v>605</v>
      </c>
      <c r="H90" s="30"/>
      <c r="I90" s="34">
        <v>0.65</v>
      </c>
      <c r="J90" s="8"/>
      <c r="K90" s="19">
        <f>F90*H90*I90</f>
        <v>0</v>
      </c>
    </row>
    <row r="91" spans="5:11" ht="12.75">
      <c r="E91" s="8"/>
      <c r="F91" s="44"/>
      <c r="G91" s="115"/>
      <c r="H91" s="8"/>
      <c r="I91" s="8"/>
      <c r="J91" s="8"/>
      <c r="K91" s="19"/>
    </row>
    <row r="92" spans="3:11" ht="12.75">
      <c r="C92" s="27" t="s">
        <v>9</v>
      </c>
      <c r="F92" s="44">
        <v>12</v>
      </c>
      <c r="G92" s="115" t="s">
        <v>1</v>
      </c>
      <c r="H92" s="19">
        <f>F10</f>
        <v>16391</v>
      </c>
      <c r="I92" s="35">
        <v>0.297</v>
      </c>
      <c r="J92" s="26"/>
      <c r="K92" s="19">
        <f>F92*H92*I92</f>
        <v>58417.524</v>
      </c>
    </row>
    <row r="93" spans="3:11" ht="12.75">
      <c r="C93" s="8"/>
      <c r="F93" s="44"/>
      <c r="G93" s="115"/>
      <c r="H93" s="8"/>
      <c r="I93" s="8"/>
      <c r="J93" s="26"/>
      <c r="K93" s="19"/>
    </row>
    <row r="94" spans="3:11" ht="12.75">
      <c r="C94" s="27" t="s">
        <v>10</v>
      </c>
      <c r="F94" s="44">
        <v>15</v>
      </c>
      <c r="G94" s="115" t="s">
        <v>11</v>
      </c>
      <c r="H94" s="33">
        <f>F11</f>
        <v>4722</v>
      </c>
      <c r="I94" s="35">
        <v>0.297</v>
      </c>
      <c r="J94" s="26"/>
      <c r="K94" s="19">
        <f>F94*H94*I94</f>
        <v>21036.51</v>
      </c>
    </row>
    <row r="95" spans="3:11" ht="12.75">
      <c r="C95" s="8"/>
      <c r="F95" s="44"/>
      <c r="G95" s="115"/>
      <c r="H95" s="8"/>
      <c r="I95" s="8"/>
      <c r="J95" s="26"/>
      <c r="K95" s="19"/>
    </row>
    <row r="96" spans="3:11" ht="12.75">
      <c r="C96" s="27" t="s">
        <v>12</v>
      </c>
      <c r="F96" s="213">
        <v>79185</v>
      </c>
      <c r="G96" s="115" t="s">
        <v>13</v>
      </c>
      <c r="H96" s="30"/>
      <c r="I96" s="34">
        <v>0.37</v>
      </c>
      <c r="J96" s="26"/>
      <c r="K96" s="19">
        <f>F96*H96*I96</f>
        <v>0</v>
      </c>
    </row>
    <row r="97" spans="3:11" ht="12.75">
      <c r="C97" s="8"/>
      <c r="F97" s="213"/>
      <c r="G97" s="115"/>
      <c r="H97" s="19"/>
      <c r="I97" s="8"/>
      <c r="J97" s="26"/>
      <c r="K97" s="19"/>
    </row>
    <row r="98" spans="3:11" ht="12.75">
      <c r="C98" s="27" t="s">
        <v>14</v>
      </c>
      <c r="F98" s="213">
        <v>62254</v>
      </c>
      <c r="G98" s="115" t="s">
        <v>13</v>
      </c>
      <c r="H98" s="30"/>
      <c r="I98" s="34">
        <v>0.37</v>
      </c>
      <c r="J98" s="26"/>
      <c r="K98" s="19">
        <f>F98*H98*I98</f>
        <v>0</v>
      </c>
    </row>
    <row r="99" spans="3:11" ht="12.75">
      <c r="C99" s="8"/>
      <c r="F99" s="213"/>
      <c r="G99" s="115"/>
      <c r="H99" s="19"/>
      <c r="I99" s="8"/>
      <c r="J99" s="26"/>
      <c r="K99" s="19"/>
    </row>
    <row r="100" spans="3:11" ht="12.75">
      <c r="C100" s="27" t="s">
        <v>15</v>
      </c>
      <c r="F100" s="213">
        <v>54321</v>
      </c>
      <c r="G100" s="115" t="s">
        <v>13</v>
      </c>
      <c r="H100" s="30"/>
      <c r="I100" s="34">
        <v>0.37</v>
      </c>
      <c r="J100" s="26"/>
      <c r="K100" s="19">
        <f>F100*H100*I100</f>
        <v>0</v>
      </c>
    </row>
    <row r="101" spans="5:11" ht="12.75">
      <c r="E101" s="8"/>
      <c r="F101" s="8"/>
      <c r="G101" s="115"/>
      <c r="H101" s="8"/>
      <c r="I101" s="8"/>
      <c r="J101" s="8"/>
      <c r="K101" s="19"/>
    </row>
    <row r="102" spans="2:11" ht="12.75">
      <c r="B102" s="88" t="s">
        <v>382</v>
      </c>
      <c r="C102" s="89"/>
      <c r="D102" s="89"/>
      <c r="E102" s="110"/>
      <c r="F102" s="111"/>
      <c r="G102" s="111"/>
      <c r="H102" s="111"/>
      <c r="I102" s="111"/>
      <c r="J102" s="111"/>
      <c r="K102" s="113">
        <f>SUM(K73:K101)</f>
        <v>79454.034</v>
      </c>
    </row>
    <row r="103" spans="5:11" ht="12.75">
      <c r="E103" s="8"/>
      <c r="F103" s="8"/>
      <c r="G103" s="8"/>
      <c r="H103" s="8"/>
      <c r="I103" s="8"/>
      <c r="J103" s="8"/>
      <c r="K103" s="19"/>
    </row>
    <row r="104" spans="5:11" ht="12.75">
      <c r="E104" s="8"/>
      <c r="F104" s="8"/>
      <c r="G104" s="8"/>
      <c r="H104" s="8"/>
      <c r="I104" s="8"/>
      <c r="J104" s="8"/>
      <c r="K104" s="19"/>
    </row>
    <row r="105" spans="2:11" ht="12.75">
      <c r="B105" s="91" t="s">
        <v>381</v>
      </c>
      <c r="C105" s="82"/>
      <c r="D105" s="82"/>
      <c r="E105" s="92"/>
      <c r="F105" s="129"/>
      <c r="G105" s="129"/>
      <c r="H105" s="129"/>
      <c r="I105" s="129"/>
      <c r="J105" s="129"/>
      <c r="K105" s="98">
        <f>K20+K28+K64+K102</f>
        <v>-4455771.755999999</v>
      </c>
    </row>
    <row r="106" spans="2:11" ht="12.75">
      <c r="B106" s="338" t="s">
        <v>661</v>
      </c>
      <c r="C106" s="171"/>
      <c r="D106" s="171"/>
      <c r="E106" s="171"/>
      <c r="F106" s="171"/>
      <c r="G106" s="171"/>
      <c r="H106" s="171"/>
      <c r="I106" s="171"/>
      <c r="J106" s="171"/>
      <c r="K106" s="203">
        <f>K20</f>
        <v>0</v>
      </c>
    </row>
    <row r="107" spans="2:11" ht="12.75">
      <c r="B107" s="338" t="s">
        <v>662</v>
      </c>
      <c r="C107" s="171"/>
      <c r="D107" s="171"/>
      <c r="E107" s="171"/>
      <c r="F107" s="171"/>
      <c r="G107" s="171"/>
      <c r="H107" s="171"/>
      <c r="I107" s="171"/>
      <c r="J107" s="171"/>
      <c r="K107" s="203">
        <f>K64</f>
        <v>0</v>
      </c>
    </row>
    <row r="108" spans="2:11" ht="12.75">
      <c r="B108" s="340" t="s">
        <v>663</v>
      </c>
      <c r="C108" s="341"/>
      <c r="D108" s="341"/>
      <c r="E108" s="341"/>
      <c r="F108" s="341"/>
      <c r="G108" s="341"/>
      <c r="H108" s="341"/>
      <c r="I108" s="341"/>
      <c r="J108" s="341"/>
      <c r="K108" s="342">
        <f>K102</f>
        <v>79454.034</v>
      </c>
    </row>
    <row r="109" spans="2:11" ht="12.75">
      <c r="B109" s="338" t="s">
        <v>666</v>
      </c>
      <c r="C109" s="171"/>
      <c r="D109" s="171"/>
      <c r="E109" s="171"/>
      <c r="F109" s="171"/>
      <c r="G109" s="171"/>
      <c r="H109" s="171"/>
      <c r="I109" s="171"/>
      <c r="J109" s="171"/>
      <c r="K109" s="203">
        <f>SUM(K106:K108)</f>
        <v>79454.034</v>
      </c>
    </row>
    <row r="110" spans="2:11" ht="12.75">
      <c r="B110" s="339" t="s">
        <v>664</v>
      </c>
      <c r="C110" s="171"/>
      <c r="D110" s="171"/>
      <c r="E110" s="171"/>
      <c r="F110" s="171"/>
      <c r="G110" s="171"/>
      <c r="H110" s="171"/>
      <c r="I110" s="171"/>
      <c r="J110" s="171"/>
      <c r="K110" s="203">
        <f>K25</f>
        <v>-1479615.5699999998</v>
      </c>
    </row>
    <row r="111" spans="2:11" ht="12.75">
      <c r="B111" s="339" t="s">
        <v>665</v>
      </c>
      <c r="C111" s="171"/>
      <c r="D111" s="171"/>
      <c r="E111" s="171"/>
      <c r="F111" s="171"/>
      <c r="G111" s="171"/>
      <c r="H111" s="171"/>
      <c r="I111" s="171"/>
      <c r="J111" s="171"/>
      <c r="K111" s="203">
        <f>K26</f>
        <v>-3055610.2199999997</v>
      </c>
    </row>
  </sheetData>
  <sheetProtection/>
  <protectedRanges>
    <protectedRange sqref="J82:J85 J90 J78:J80 J87:J88" name="Alue9_1"/>
    <protectedRange sqref="H73:H76 H78:H80 H86:H100 H82:H84" name="Alue8_1"/>
    <protectedRange sqref="F73:F76 L82 F78:F79 F86:F100 F82:F84" name="Alue7_1"/>
    <protectedRange sqref="I53:I54 I57:I59 I40:I41 I61:I62 I44:I51 K18" name="Alue5_1"/>
    <protectedRange sqref="F33:F36 F46 F49 F57 F59 F40" name="Alue4_1"/>
    <protectedRange sqref="G25:G26" name="Alue3_1"/>
    <protectedRange sqref="F11:F12" name="Alue1_1"/>
  </protectedRanges>
  <mergeCells count="1">
    <mergeCell ref="B3:K3"/>
  </mergeCells>
  <hyperlinks>
    <hyperlink ref="H33" r:id="rId1" display="Yksikköhinnat"/>
  </hyperlinks>
  <printOptions/>
  <pageMargins left="0.75" right="0.75" top="1" bottom="1" header="0.4921259845" footer="0.4921259845"/>
  <pageSetup fitToHeight="0" fitToWidth="1" horizontalDpi="600" verticalDpi="600" orientation="portrait" paperSize="9" scale="86" r:id="rId5"/>
  <rowBreaks count="1" manualBreakCount="1">
    <brk id="67" max="10" man="1"/>
  </rowBreaks>
  <drawing r:id="rId4"/>
  <legacyDrawing r:id="rId3"/>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L59"/>
  <sheetViews>
    <sheetView zoomScalePageLayoutView="0" workbookViewId="0" topLeftCell="A1">
      <selection activeCell="A1" sqref="A1"/>
    </sheetView>
  </sheetViews>
  <sheetFormatPr defaultColWidth="9.140625" defaultRowHeight="12.75"/>
  <cols>
    <col min="1" max="4" width="3.00390625" style="0" customWidth="1"/>
    <col min="5" max="5" width="11.7109375" style="0" customWidth="1"/>
    <col min="6" max="7" width="10.00390625" style="0" customWidth="1"/>
    <col min="8" max="8" width="14.28125" style="0" customWidth="1"/>
    <col min="9" max="9" width="12.421875" style="0" customWidth="1"/>
    <col min="10" max="11" width="11.7109375" style="0" customWidth="1"/>
    <col min="12" max="12" width="13.421875" style="0" customWidth="1"/>
  </cols>
  <sheetData>
    <row r="1" spans="1:12" ht="17.25">
      <c r="A1" s="79" t="s">
        <v>730</v>
      </c>
      <c r="E1" s="37"/>
      <c r="L1" s="103" t="s">
        <v>717</v>
      </c>
    </row>
    <row r="2" ht="12.75">
      <c r="E2" s="60"/>
    </row>
    <row r="3" spans="2:10" ht="17.25">
      <c r="B3" s="529" t="s">
        <v>703</v>
      </c>
      <c r="C3" s="530"/>
      <c r="D3" s="530"/>
      <c r="E3" s="530"/>
      <c r="F3" s="530"/>
      <c r="G3" s="530"/>
      <c r="H3" s="530"/>
      <c r="I3" s="530"/>
      <c r="J3" s="531"/>
    </row>
    <row r="4" spans="2:12" ht="12.75">
      <c r="B4" s="498"/>
      <c r="L4" s="497" t="s">
        <v>727</v>
      </c>
    </row>
    <row r="5" spans="2:12" ht="12.75">
      <c r="B5" s="54" t="s">
        <v>40</v>
      </c>
      <c r="C5" s="28"/>
      <c r="D5" s="28"/>
      <c r="E5" s="40"/>
      <c r="F5" s="55" t="s">
        <v>361</v>
      </c>
      <c r="L5" s="497" t="s">
        <v>728</v>
      </c>
    </row>
    <row r="6" spans="2:6" ht="12.75">
      <c r="B6" s="28"/>
      <c r="C6" s="28"/>
      <c r="D6" s="28"/>
      <c r="E6" s="101"/>
      <c r="F6" s="55" t="s">
        <v>360</v>
      </c>
    </row>
    <row r="8" spans="2:9" s="5" customFormat="1" ht="12.75">
      <c r="B8" s="84" t="s">
        <v>0</v>
      </c>
      <c r="F8" s="11" t="str">
        <f>'2.Yhteenveto'!G11</f>
        <v>Akaa</v>
      </c>
      <c r="G8" s="87"/>
      <c r="H8" s="231"/>
      <c r="I8" s="28"/>
    </row>
    <row r="9" spans="2:9" s="5" customFormat="1" ht="12.75">
      <c r="B9" s="84" t="str">
        <f>'2.Yhteenveto'!B12</f>
        <v>Asukasluku 31.12.2020:</v>
      </c>
      <c r="F9" s="147">
        <f>'2.Yhteenveto'!$H$12</f>
        <v>16391</v>
      </c>
      <c r="G9" s="87"/>
      <c r="H9" s="231"/>
      <c r="I9" s="28"/>
    </row>
    <row r="10" ht="12.75">
      <c r="H10" s="231"/>
    </row>
    <row r="11" spans="2:10" ht="15">
      <c r="B11" s="1" t="s">
        <v>384</v>
      </c>
      <c r="E11" s="4"/>
      <c r="J11" s="44"/>
    </row>
    <row r="12" spans="3:10" ht="12.75">
      <c r="C12" s="2"/>
      <c r="E12" s="2"/>
      <c r="F12" s="38"/>
      <c r="G12" s="2"/>
      <c r="H12" s="2"/>
      <c r="J12" s="329"/>
    </row>
    <row r="13" spans="3:11" ht="12.75">
      <c r="C13" s="5" t="s">
        <v>17</v>
      </c>
      <c r="F13" s="2"/>
      <c r="G13" s="2"/>
      <c r="H13" s="96">
        <v>7157.74</v>
      </c>
      <c r="I13" s="514"/>
      <c r="J13" s="2"/>
      <c r="K13" s="2"/>
    </row>
    <row r="14" spans="3:12" ht="12.75">
      <c r="C14" s="5" t="s">
        <v>18</v>
      </c>
      <c r="F14" s="2"/>
      <c r="G14" s="2"/>
      <c r="H14" s="415">
        <v>0.9455642</v>
      </c>
      <c r="I14" s="514"/>
      <c r="J14" s="2"/>
      <c r="K14" s="2"/>
      <c r="L14" s="65"/>
    </row>
    <row r="15" spans="5:11" ht="12.75">
      <c r="E15" s="2"/>
      <c r="F15" s="2"/>
      <c r="G15" s="2"/>
      <c r="H15" s="39"/>
      <c r="I15" s="2"/>
      <c r="J15" s="2"/>
      <c r="K15" s="2"/>
    </row>
    <row r="16" spans="5:11" ht="12.75">
      <c r="E16" s="2"/>
      <c r="F16" s="2"/>
      <c r="G16" s="2"/>
      <c r="I16" s="143" t="s">
        <v>643</v>
      </c>
      <c r="K16" s="2"/>
    </row>
    <row r="17" spans="5:11" ht="12.75">
      <c r="E17" s="2"/>
      <c r="F17" s="2"/>
      <c r="G17" s="2"/>
      <c r="I17" s="143" t="s">
        <v>20</v>
      </c>
      <c r="J17" s="144" t="s">
        <v>19</v>
      </c>
      <c r="K17" s="2"/>
    </row>
    <row r="18" spans="4:11" ht="12.75">
      <c r="D18" s="170" t="s">
        <v>704</v>
      </c>
      <c r="F18" s="2"/>
      <c r="G18" s="2"/>
      <c r="I18" s="40"/>
      <c r="J18" s="2">
        <f>IF(I18=0,0,IF(I18&lt;40,206,IF(I18&lt;60,100+0.4*(200-I18)+2.1*(60-I18),IF(I18&lt;200,100+0.4*(200-I18),IF(I18&gt;199,100)))))</f>
        <v>0</v>
      </c>
      <c r="K18" s="2"/>
    </row>
    <row r="19" spans="4:11" ht="12.75">
      <c r="D19" s="170" t="s">
        <v>705</v>
      </c>
      <c r="F19" s="2"/>
      <c r="G19" s="2"/>
      <c r="I19" s="40"/>
      <c r="J19" s="2">
        <f>IF(I19=0,0,IF(I19&lt;40,206,IF(I19&lt;60,100+0.4*(200-I19)+2.1*(60-I19),IF(I19&lt;200,100+0.4*(200-I19),IF(I19&gt;199,100)))))</f>
        <v>0</v>
      </c>
      <c r="K19" s="2"/>
    </row>
    <row r="20" spans="3:11" ht="12.75">
      <c r="C20" s="2" t="s">
        <v>3</v>
      </c>
      <c r="F20" s="2"/>
      <c r="G20" s="2"/>
      <c r="I20" s="41">
        <f>I18+I19</f>
        <v>0</v>
      </c>
      <c r="J20" s="2"/>
      <c r="K20" s="2"/>
    </row>
    <row r="21" spans="6:11" ht="12.75">
      <c r="F21" s="2"/>
      <c r="G21" s="2"/>
      <c r="H21" s="39"/>
      <c r="I21" s="2"/>
      <c r="J21" s="2"/>
      <c r="K21" s="2"/>
    </row>
    <row r="22" spans="3:11" ht="12.75">
      <c r="C22" s="2" t="s">
        <v>21</v>
      </c>
      <c r="F22" s="2"/>
      <c r="G22" s="2"/>
      <c r="H22" s="39"/>
      <c r="I22" s="2"/>
      <c r="J22" s="42">
        <f>IF(I20=0,100,((I18*J18+I19*J19)/I20))</f>
        <v>100</v>
      </c>
      <c r="K22" s="2"/>
    </row>
    <row r="23" spans="6:11" ht="12.75">
      <c r="F23" s="2"/>
      <c r="G23" s="2"/>
      <c r="H23" s="39"/>
      <c r="I23" s="2"/>
      <c r="J23" s="2"/>
      <c r="K23" s="2"/>
    </row>
    <row r="24" spans="3:11" ht="12.75">
      <c r="C24" s="5" t="s">
        <v>387</v>
      </c>
      <c r="F24" s="2"/>
      <c r="G24" s="2"/>
      <c r="H24" s="39"/>
      <c r="I24" s="2"/>
      <c r="J24" s="43">
        <f>IF(I20=0,H13*H14,H13*H14*J22/100)</f>
        <v>6768.102696907999</v>
      </c>
      <c r="K24" s="2"/>
    </row>
    <row r="25" spans="6:11" ht="12.75">
      <c r="F25" s="2"/>
      <c r="G25" s="2"/>
      <c r="H25" s="39"/>
      <c r="I25" s="2"/>
      <c r="J25" s="2"/>
      <c r="K25" s="2"/>
    </row>
    <row r="26" spans="3:11" ht="12.75">
      <c r="C26" s="5" t="s">
        <v>726</v>
      </c>
      <c r="F26" s="2"/>
      <c r="G26" s="2"/>
      <c r="H26" s="39"/>
      <c r="I26" s="2"/>
      <c r="J26" s="31">
        <v>0</v>
      </c>
      <c r="K26" s="527" t="s">
        <v>734</v>
      </c>
    </row>
    <row r="27" spans="6:11" ht="12.75">
      <c r="F27" s="2"/>
      <c r="G27" s="2"/>
      <c r="H27" s="39"/>
      <c r="I27" s="2"/>
      <c r="J27" s="2"/>
      <c r="K27" s="2"/>
    </row>
    <row r="28" spans="2:11" ht="12.75">
      <c r="B28" s="135" t="s">
        <v>414</v>
      </c>
      <c r="C28" s="136"/>
      <c r="D28" s="136"/>
      <c r="E28" s="136"/>
      <c r="F28" s="136"/>
      <c r="G28" s="136"/>
      <c r="H28" s="512"/>
      <c r="I28" s="137">
        <f>ROUND(J24+(J24*J26/100),2)</f>
        <v>6768.1</v>
      </c>
      <c r="J28" s="138" t="s">
        <v>646</v>
      </c>
      <c r="K28" s="2"/>
    </row>
    <row r="29" spans="2:11" ht="12.75">
      <c r="B29" s="139" t="s">
        <v>644</v>
      </c>
      <c r="C29" s="140"/>
      <c r="D29" s="140"/>
      <c r="E29" s="140"/>
      <c r="F29" s="140"/>
      <c r="G29" s="140"/>
      <c r="H29" s="513"/>
      <c r="I29" s="141">
        <f>ROUND(0.633*I28,2)</f>
        <v>4284.21</v>
      </c>
      <c r="J29" s="142" t="s">
        <v>646</v>
      </c>
      <c r="K29" s="2"/>
    </row>
    <row r="30" spans="6:11" ht="12.75">
      <c r="F30" s="2"/>
      <c r="G30" s="2"/>
      <c r="H30" s="39"/>
      <c r="I30" s="2"/>
      <c r="J30" s="2"/>
      <c r="K30" s="2"/>
    </row>
    <row r="31" spans="2:11" ht="12.75">
      <c r="B31" s="54" t="s">
        <v>645</v>
      </c>
      <c r="F31" s="2"/>
      <c r="G31" s="2"/>
      <c r="H31" s="39"/>
      <c r="I31" s="2"/>
      <c r="J31" s="2"/>
      <c r="K31" s="2"/>
    </row>
    <row r="32" spans="6:11" ht="12.75">
      <c r="F32" s="2"/>
      <c r="G32" s="2"/>
      <c r="H32" s="39"/>
      <c r="I32" s="2"/>
      <c r="J32" s="2"/>
      <c r="K32" s="2"/>
    </row>
    <row r="33" spans="2:11" ht="15">
      <c r="B33" s="1" t="s">
        <v>385</v>
      </c>
      <c r="E33" s="4"/>
      <c r="F33" s="2"/>
      <c r="G33" s="2"/>
      <c r="H33" s="39"/>
      <c r="I33" s="2"/>
      <c r="J33" s="2"/>
      <c r="K33" s="2"/>
    </row>
    <row r="34" spans="6:11" ht="12.75">
      <c r="F34" s="2"/>
      <c r="G34" s="2"/>
      <c r="H34" s="39"/>
      <c r="I34" s="2"/>
      <c r="J34" s="2"/>
      <c r="K34" s="2"/>
    </row>
    <row r="35" spans="6:11" ht="12.75">
      <c r="F35" s="2"/>
      <c r="G35" s="2"/>
      <c r="H35" s="143" t="s">
        <v>643</v>
      </c>
      <c r="I35" s="144" t="s">
        <v>22</v>
      </c>
      <c r="J35" s="2"/>
      <c r="K35" s="2"/>
    </row>
    <row r="36" spans="6:11" ht="12.75">
      <c r="F36" s="2"/>
      <c r="G36" s="2"/>
      <c r="H36" s="143" t="s">
        <v>5</v>
      </c>
      <c r="I36" s="144" t="s">
        <v>647</v>
      </c>
      <c r="J36" s="2"/>
      <c r="K36" s="2"/>
    </row>
    <row r="37" spans="4:11" ht="12.75">
      <c r="D37" s="5" t="s">
        <v>706</v>
      </c>
      <c r="F37" s="2"/>
      <c r="G37" s="2"/>
      <c r="H37" s="508"/>
      <c r="I37" s="31"/>
      <c r="J37" s="9"/>
      <c r="K37" s="2"/>
    </row>
    <row r="38" spans="4:11" ht="12.75">
      <c r="D38" s="5" t="s">
        <v>707</v>
      </c>
      <c r="F38" s="2"/>
      <c r="G38" s="2"/>
      <c r="H38" s="508"/>
      <c r="I38" s="31"/>
      <c r="J38" s="9"/>
      <c r="K38" s="2"/>
    </row>
    <row r="39" spans="3:11" ht="12.75">
      <c r="C39" s="5" t="s">
        <v>648</v>
      </c>
      <c r="F39" s="2"/>
      <c r="G39" s="2"/>
      <c r="H39" s="510">
        <f>(H37*7/12)+(H38*5/12)</f>
        <v>0</v>
      </c>
      <c r="I39" s="510">
        <f>(I37*7/12)+(I38*5/12)</f>
        <v>0</v>
      </c>
      <c r="J39" s="510"/>
      <c r="K39" s="2"/>
    </row>
    <row r="40" spans="6:11" ht="12.75">
      <c r="F40" s="2"/>
      <c r="G40" s="2"/>
      <c r="H40" s="39"/>
      <c r="I40" s="2"/>
      <c r="J40" s="2"/>
      <c r="K40" s="2"/>
    </row>
    <row r="41" spans="3:11" ht="12.75">
      <c r="C41" t="s">
        <v>23</v>
      </c>
      <c r="F41" s="2"/>
      <c r="G41" s="2"/>
      <c r="H41" s="39"/>
      <c r="I41" s="2"/>
      <c r="J41" s="31"/>
      <c r="K41" s="2"/>
    </row>
    <row r="42" spans="6:11" ht="12.75">
      <c r="F42" s="2"/>
      <c r="G42" s="2"/>
      <c r="H42" s="39"/>
      <c r="I42" s="2"/>
      <c r="J42" s="2"/>
      <c r="K42" s="2"/>
    </row>
    <row r="43" spans="6:11" ht="12.75">
      <c r="F43" s="2"/>
      <c r="G43" s="2"/>
      <c r="H43" s="39"/>
      <c r="I43" s="2"/>
      <c r="J43" s="2"/>
      <c r="K43" s="2"/>
    </row>
    <row r="44" spans="3:11" ht="12.75">
      <c r="C44" s="5" t="s">
        <v>24</v>
      </c>
      <c r="F44" s="2"/>
      <c r="G44" s="2"/>
      <c r="H44" s="39"/>
      <c r="I44" s="2"/>
      <c r="J44" s="45">
        <f>I28*(H37*7/12+H38*5/12)</f>
        <v>0</v>
      </c>
      <c r="K44" s="2"/>
    </row>
    <row r="45" spans="3:11" ht="12.75">
      <c r="C45" s="5" t="s">
        <v>653</v>
      </c>
      <c r="F45" s="2"/>
      <c r="G45" s="2"/>
      <c r="H45" s="39"/>
      <c r="I45" s="2"/>
      <c r="J45" s="45">
        <f>I29*(I37*7/12+I38*5/12)</f>
        <v>0</v>
      </c>
      <c r="K45" s="2"/>
    </row>
    <row r="46" spans="3:11" ht="12.75">
      <c r="C46" s="5" t="s">
        <v>25</v>
      </c>
      <c r="F46" s="2"/>
      <c r="G46" s="2"/>
      <c r="H46" s="39"/>
      <c r="J46" s="45">
        <f>I29*J41</f>
        <v>0</v>
      </c>
      <c r="K46" s="2"/>
    </row>
    <row r="47" spans="3:11" ht="12.75">
      <c r="C47" s="5"/>
      <c r="F47" s="2"/>
      <c r="G47" s="2"/>
      <c r="H47" s="39"/>
      <c r="J47" s="45"/>
      <c r="K47" s="2"/>
    </row>
    <row r="48" spans="2:11" ht="12.75">
      <c r="B48" s="1" t="s">
        <v>649</v>
      </c>
      <c r="C48" s="5"/>
      <c r="F48" s="2"/>
      <c r="G48" s="2"/>
      <c r="H48" s="3"/>
      <c r="I48" s="143" t="s">
        <v>643</v>
      </c>
      <c r="J48" s="45"/>
      <c r="K48" s="2"/>
    </row>
    <row r="49" spans="3:11" ht="12.75">
      <c r="C49" s="5"/>
      <c r="F49" s="2"/>
      <c r="G49" s="2"/>
      <c r="H49" s="143" t="s">
        <v>43</v>
      </c>
      <c r="I49" s="143" t="s">
        <v>5</v>
      </c>
      <c r="J49" s="45"/>
      <c r="K49" s="2"/>
    </row>
    <row r="50" spans="3:11" ht="12.75">
      <c r="C50" s="5" t="s">
        <v>650</v>
      </c>
      <c r="F50" s="2"/>
      <c r="G50" s="2"/>
      <c r="H50" s="43">
        <v>8660.87</v>
      </c>
      <c r="I50" s="31"/>
      <c r="J50" s="45">
        <f>H50*I50</f>
        <v>0</v>
      </c>
      <c r="K50" s="2"/>
    </row>
    <row r="51" spans="3:11" ht="12.75">
      <c r="C51" s="5" t="s">
        <v>651</v>
      </c>
      <c r="F51" s="2"/>
      <c r="G51" s="2"/>
      <c r="H51" s="43">
        <f>H50*0.633</f>
        <v>5482.33071</v>
      </c>
      <c r="I51" s="31"/>
      <c r="J51" s="45">
        <f>H51*I51</f>
        <v>0</v>
      </c>
      <c r="K51" s="2"/>
    </row>
    <row r="52" spans="3:11" ht="13.5">
      <c r="C52" s="5" t="s">
        <v>652</v>
      </c>
      <c r="F52" s="2"/>
      <c r="G52" s="2"/>
      <c r="H52" s="43">
        <v>11667.12</v>
      </c>
      <c r="I52" s="31"/>
      <c r="J52" s="45">
        <f>H52*I52</f>
        <v>0</v>
      </c>
      <c r="K52" s="528"/>
    </row>
    <row r="53" spans="3:11" ht="12.75">
      <c r="C53" s="5"/>
      <c r="F53" s="2"/>
      <c r="G53" s="2"/>
      <c r="H53" s="39"/>
      <c r="I53" s="2"/>
      <c r="J53" s="45"/>
      <c r="K53" s="2"/>
    </row>
    <row r="54" ht="12.75">
      <c r="B54" s="54" t="s">
        <v>26</v>
      </c>
    </row>
    <row r="55" ht="12.75">
      <c r="B55" s="54" t="s">
        <v>52</v>
      </c>
    </row>
    <row r="56" ht="12.75">
      <c r="B56" s="54" t="s">
        <v>27</v>
      </c>
    </row>
    <row r="57" spans="3:11" ht="12.75">
      <c r="C57" s="5"/>
      <c r="F57" s="2"/>
      <c r="G57" s="2"/>
      <c r="H57" s="39"/>
      <c r="I57" s="2"/>
      <c r="J57" s="45"/>
      <c r="K57" s="2"/>
    </row>
    <row r="58" spans="2:11" ht="12.75">
      <c r="B58" s="81" t="s">
        <v>386</v>
      </c>
      <c r="C58" s="82"/>
      <c r="D58" s="82"/>
      <c r="E58" s="100"/>
      <c r="F58" s="82"/>
      <c r="G58" s="82"/>
      <c r="H58" s="145"/>
      <c r="I58" s="82"/>
      <c r="J58" s="83">
        <f>SUM(J44:J52)</f>
        <v>0</v>
      </c>
      <c r="K58" s="2"/>
    </row>
    <row r="59" spans="6:10" ht="12.75">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scale="48" r:id="rId1"/>
</worksheet>
</file>

<file path=xl/worksheets/sheet12.xml><?xml version="1.0" encoding="utf-8"?>
<worksheet xmlns="http://schemas.openxmlformats.org/spreadsheetml/2006/main" xmlns:r="http://schemas.openxmlformats.org/officeDocument/2006/relationships">
  <dimension ref="A1:CR297"/>
  <sheetViews>
    <sheetView zoomScale="130" zoomScaleNormal="130" zoomScalePageLayoutView="0" workbookViewId="0" topLeftCell="A1">
      <pane ySplit="1" topLeftCell="A2" activePane="bottomLeft" state="frozen"/>
      <selection pane="topLeft" activeCell="A1" sqref="A1"/>
      <selection pane="bottomLeft" activeCell="E3" sqref="E3"/>
    </sheetView>
  </sheetViews>
  <sheetFormatPr defaultColWidth="6.00390625" defaultRowHeight="12.75"/>
  <cols>
    <col min="1" max="1" width="7.00390625" style="171" bestFit="1" customWidth="1"/>
    <col min="2" max="2" width="13.421875" style="171" bestFit="1" customWidth="1"/>
    <col min="3" max="3" width="7.7109375" style="420" bestFit="1" customWidth="1"/>
    <col min="4" max="4" width="11.7109375" style="418" bestFit="1" customWidth="1"/>
    <col min="5" max="6" width="10.7109375" style="418" bestFit="1" customWidth="1"/>
    <col min="7" max="7" width="11.7109375" style="418" bestFit="1" customWidth="1"/>
    <col min="8" max="8" width="7.7109375" style="420" bestFit="1" customWidth="1"/>
    <col min="9" max="9" width="11.7109375" style="418" bestFit="1" customWidth="1"/>
    <col min="10" max="10" width="10.7109375" style="418" bestFit="1" customWidth="1"/>
    <col min="11" max="11" width="10.57421875" style="418" bestFit="1" customWidth="1"/>
    <col min="12" max="13" width="11.28125" style="418" bestFit="1" customWidth="1"/>
    <col min="14" max="14" width="10.7109375" style="418" bestFit="1" customWidth="1"/>
    <col min="15" max="16" width="11.28125" style="418" bestFit="1" customWidth="1"/>
    <col min="17" max="25" width="7.7109375" style="420" bestFit="1" customWidth="1"/>
    <col min="26" max="28" width="7.7109375" style="418" bestFit="1" customWidth="1"/>
    <col min="29" max="29" width="8.28125" style="418" bestFit="1" customWidth="1"/>
    <col min="30" max="30" width="7.7109375" style="418" bestFit="1" customWidth="1"/>
    <col min="31" max="31" width="7.7109375" style="420" customWidth="1"/>
    <col min="32" max="32" width="9.28125" style="420" customWidth="1"/>
    <col min="33" max="34" width="7.7109375" style="420" bestFit="1" customWidth="1"/>
    <col min="35" max="35" width="10.57421875" style="418" bestFit="1" customWidth="1"/>
    <col min="36" max="36" width="7.7109375" style="420" bestFit="1" customWidth="1"/>
    <col min="37" max="37" width="10.57421875" style="420" bestFit="1" customWidth="1"/>
    <col min="38" max="38" width="10.57421875" style="418" bestFit="1" customWidth="1"/>
    <col min="39" max="40" width="7.7109375" style="420" bestFit="1" customWidth="1"/>
    <col min="41" max="41" width="7.7109375" style="418" bestFit="1" customWidth="1"/>
    <col min="42" max="42" width="8.28125" style="420" bestFit="1" customWidth="1"/>
    <col min="43" max="43" width="8.28125" style="420" customWidth="1"/>
    <col min="44" max="44" width="8.28125" style="420" bestFit="1" customWidth="1"/>
    <col min="45" max="46" width="10.57421875" style="418" bestFit="1" customWidth="1"/>
    <col min="47" max="48" width="8.28125" style="420" bestFit="1" customWidth="1"/>
    <col min="49" max="49" width="10.57421875" style="420" bestFit="1" customWidth="1"/>
    <col min="50" max="50" width="10.57421875" style="418" bestFit="1" customWidth="1"/>
    <col min="51" max="51" width="10.57421875" style="420" bestFit="1" customWidth="1"/>
    <col min="52" max="53" width="7.7109375" style="420" bestFit="1" customWidth="1"/>
    <col min="54" max="54" width="10.57421875" style="420" bestFit="1" customWidth="1"/>
    <col min="55" max="55" width="10.57421875" style="418" bestFit="1" customWidth="1"/>
    <col min="56" max="57" width="7.7109375" style="420" bestFit="1" customWidth="1"/>
    <col min="58" max="59" width="9.57421875" style="420" bestFit="1" customWidth="1"/>
    <col min="60" max="60" width="9.57421875" style="418" bestFit="1" customWidth="1"/>
    <col min="61" max="61" width="9.57421875" style="420" bestFit="1" customWidth="1"/>
    <col min="62" max="62" width="10.421875" style="418" bestFit="1" customWidth="1"/>
    <col min="63" max="63" width="8.57421875" style="420" bestFit="1" customWidth="1"/>
    <col min="64" max="64" width="8.28125" style="420" bestFit="1" customWidth="1"/>
    <col min="65" max="65" width="9.8515625" style="420" customWidth="1"/>
    <col min="66" max="66" width="7.7109375" style="418" customWidth="1"/>
    <col min="67" max="67" width="11.28125" style="420" bestFit="1" customWidth="1"/>
    <col min="68" max="69" width="8.7109375" style="420" bestFit="1" customWidth="1"/>
    <col min="70" max="70" width="10.57421875" style="420" bestFit="1" customWidth="1"/>
    <col min="71" max="73" width="11.28125" style="420" bestFit="1" customWidth="1"/>
    <col min="74" max="77" width="11.28125" style="420" customWidth="1"/>
    <col min="78" max="78" width="8.28125" style="418" bestFit="1" customWidth="1"/>
    <col min="79" max="79" width="11.28125" style="420" bestFit="1" customWidth="1"/>
    <col min="80" max="81" width="11.28125" style="418" bestFit="1" customWidth="1"/>
    <col min="82" max="82" width="11.28125" style="418" customWidth="1"/>
    <col min="83" max="86" width="11.28125" style="420" customWidth="1"/>
    <col min="87" max="87" width="9.28125" style="418" customWidth="1"/>
    <col min="88" max="88" width="10.7109375" style="420" customWidth="1"/>
    <col min="89" max="89" width="8.57421875" style="420" bestFit="1" customWidth="1"/>
    <col min="90" max="92" width="8.57421875" style="420" customWidth="1"/>
    <col min="93" max="93" width="8.7109375" style="418" customWidth="1"/>
    <col min="94" max="94" width="10.28125" style="418" bestFit="1" customWidth="1"/>
    <col min="95" max="95" width="9.7109375" style="418" bestFit="1" customWidth="1"/>
    <col min="96" max="16384" width="6.00390625" style="171" customWidth="1"/>
  </cols>
  <sheetData>
    <row r="1" spans="1:96" ht="9.75">
      <c r="A1" s="171" t="s">
        <v>579</v>
      </c>
      <c r="B1" s="171" t="s">
        <v>580</v>
      </c>
      <c r="C1" s="505" t="s">
        <v>415</v>
      </c>
      <c r="D1" s="418" t="s">
        <v>416</v>
      </c>
      <c r="E1" s="418" t="s">
        <v>417</v>
      </c>
      <c r="F1" s="418" t="s">
        <v>418</v>
      </c>
      <c r="G1" s="418" t="s">
        <v>419</v>
      </c>
      <c r="H1" s="505" t="s">
        <v>420</v>
      </c>
      <c r="I1" s="418" t="s">
        <v>421</v>
      </c>
      <c r="J1" s="418" t="s">
        <v>422</v>
      </c>
      <c r="K1" s="418" t="s">
        <v>423</v>
      </c>
      <c r="L1" s="418" t="s">
        <v>424</v>
      </c>
      <c r="M1" s="418" t="s">
        <v>425</v>
      </c>
      <c r="N1" s="418" t="s">
        <v>426</v>
      </c>
      <c r="O1" s="418" t="s">
        <v>427</v>
      </c>
      <c r="P1" s="418" t="s">
        <v>428</v>
      </c>
      <c r="Q1" s="505" t="s">
        <v>429</v>
      </c>
      <c r="R1" s="505" t="s">
        <v>430</v>
      </c>
      <c r="S1" s="505" t="s">
        <v>431</v>
      </c>
      <c r="T1" s="505" t="s">
        <v>432</v>
      </c>
      <c r="U1" s="505" t="s">
        <v>433</v>
      </c>
      <c r="V1" s="505" t="s">
        <v>434</v>
      </c>
      <c r="W1" s="505" t="s">
        <v>435</v>
      </c>
      <c r="X1" s="505" t="s">
        <v>436</v>
      </c>
      <c r="Y1" s="505" t="s">
        <v>437</v>
      </c>
      <c r="Z1" s="418" t="s">
        <v>438</v>
      </c>
      <c r="AA1" s="418" t="s">
        <v>439</v>
      </c>
      <c r="AB1" s="418" t="s">
        <v>440</v>
      </c>
      <c r="AC1" s="418" t="s">
        <v>441</v>
      </c>
      <c r="AD1" s="418" t="s">
        <v>442</v>
      </c>
      <c r="AE1" s="505" t="s">
        <v>567</v>
      </c>
      <c r="AF1" s="505" t="s">
        <v>489</v>
      </c>
      <c r="AG1" s="505" t="s">
        <v>443</v>
      </c>
      <c r="AH1" s="505" t="s">
        <v>444</v>
      </c>
      <c r="AI1" s="418" t="s">
        <v>445</v>
      </c>
      <c r="AJ1" s="505" t="s">
        <v>446</v>
      </c>
      <c r="AK1" s="505" t="s">
        <v>447</v>
      </c>
      <c r="AL1" s="418" t="s">
        <v>448</v>
      </c>
      <c r="AM1" s="505" t="s">
        <v>449</v>
      </c>
      <c r="AN1" s="505" t="s">
        <v>450</v>
      </c>
      <c r="AO1" s="418" t="s">
        <v>451</v>
      </c>
      <c r="AP1" s="505" t="s">
        <v>452</v>
      </c>
      <c r="AQ1" s="505" t="s">
        <v>572</v>
      </c>
      <c r="AR1" s="505" t="s">
        <v>453</v>
      </c>
      <c r="AS1" s="418" t="s">
        <v>454</v>
      </c>
      <c r="AT1" s="418" t="s">
        <v>455</v>
      </c>
      <c r="AU1" s="505" t="s">
        <v>456</v>
      </c>
      <c r="AV1" s="505" t="s">
        <v>457</v>
      </c>
      <c r="AW1" s="505" t="s">
        <v>458</v>
      </c>
      <c r="AX1" s="418" t="s">
        <v>459</v>
      </c>
      <c r="AY1" s="505" t="s">
        <v>460</v>
      </c>
      <c r="AZ1" s="505" t="s">
        <v>461</v>
      </c>
      <c r="BA1" s="505" t="s">
        <v>462</v>
      </c>
      <c r="BB1" s="505" t="s">
        <v>463</v>
      </c>
      <c r="BC1" s="418" t="s">
        <v>464</v>
      </c>
      <c r="BD1" s="505" t="s">
        <v>465</v>
      </c>
      <c r="BE1" s="505" t="s">
        <v>466</v>
      </c>
      <c r="BF1" s="420" t="s">
        <v>468</v>
      </c>
      <c r="BG1" s="420" t="s">
        <v>469</v>
      </c>
      <c r="BH1" s="418" t="s">
        <v>470</v>
      </c>
      <c r="BI1" s="420" t="s">
        <v>471</v>
      </c>
      <c r="BJ1" s="418" t="s">
        <v>472</v>
      </c>
      <c r="BK1" s="420" t="s">
        <v>473</v>
      </c>
      <c r="BL1" s="420" t="s">
        <v>474</v>
      </c>
      <c r="BM1" s="420" t="s">
        <v>574</v>
      </c>
      <c r="BN1" s="418" t="s">
        <v>575</v>
      </c>
      <c r="BO1" s="420" t="s">
        <v>475</v>
      </c>
      <c r="BP1" s="420" t="s">
        <v>476</v>
      </c>
      <c r="BQ1" s="420" t="s">
        <v>477</v>
      </c>
      <c r="BR1" s="420" t="s">
        <v>478</v>
      </c>
      <c r="BS1" s="420" t="s">
        <v>479</v>
      </c>
      <c r="BT1" s="420" t="s">
        <v>480</v>
      </c>
      <c r="BU1" s="420" t="s">
        <v>481</v>
      </c>
      <c r="BV1" s="420" t="s">
        <v>561</v>
      </c>
      <c r="BW1" s="420" t="s">
        <v>577</v>
      </c>
      <c r="BX1" s="420" t="s">
        <v>590</v>
      </c>
      <c r="BY1" s="420" t="s">
        <v>632</v>
      </c>
      <c r="BZ1" s="418" t="s">
        <v>482</v>
      </c>
      <c r="CA1" s="420" t="s">
        <v>483</v>
      </c>
      <c r="CB1" s="418" t="s">
        <v>490</v>
      </c>
      <c r="CC1" s="418" t="s">
        <v>491</v>
      </c>
      <c r="CD1" s="418" t="s">
        <v>673</v>
      </c>
      <c r="CE1" s="420" t="s">
        <v>674</v>
      </c>
      <c r="CF1" s="420" t="s">
        <v>683</v>
      </c>
      <c r="CG1" s="420" t="s">
        <v>684</v>
      </c>
      <c r="CH1" s="420" t="s">
        <v>685</v>
      </c>
      <c r="CI1" s="418" t="s">
        <v>467</v>
      </c>
      <c r="CJ1" s="420" t="s">
        <v>484</v>
      </c>
      <c r="CK1" s="505" t="s">
        <v>548</v>
      </c>
      <c r="CL1" s="420" t="s">
        <v>638</v>
      </c>
      <c r="CM1" s="420" t="s">
        <v>639</v>
      </c>
      <c r="CN1" s="420" t="s">
        <v>554</v>
      </c>
      <c r="CO1" s="418" t="s">
        <v>583</v>
      </c>
      <c r="CP1" s="418" t="s">
        <v>640</v>
      </c>
      <c r="CQ1" s="418" t="s">
        <v>581</v>
      </c>
      <c r="CR1" s="171" t="s">
        <v>724</v>
      </c>
    </row>
    <row r="2" spans="1:96" ht="9.75">
      <c r="A2" s="203">
        <v>20</v>
      </c>
      <c r="B2" s="203" t="s">
        <v>58</v>
      </c>
      <c r="C2" s="421">
        <v>16391</v>
      </c>
      <c r="D2" s="419"/>
      <c r="E2" s="419"/>
      <c r="F2" s="419"/>
      <c r="G2" s="419"/>
      <c r="H2" s="500">
        <v>4291.05</v>
      </c>
      <c r="I2" s="419"/>
      <c r="J2" s="419"/>
      <c r="K2" s="419"/>
      <c r="L2" s="419"/>
      <c r="M2" s="419"/>
      <c r="N2" s="419"/>
      <c r="O2" s="419"/>
      <c r="P2" s="419"/>
      <c r="Q2" s="421">
        <v>816</v>
      </c>
      <c r="R2" s="421">
        <v>176</v>
      </c>
      <c r="S2" s="421">
        <v>1262</v>
      </c>
      <c r="T2" s="421">
        <v>698</v>
      </c>
      <c r="U2" s="421">
        <v>604</v>
      </c>
      <c r="V2" s="421">
        <v>8875</v>
      </c>
      <c r="W2" s="421">
        <v>2331</v>
      </c>
      <c r="X2" s="421">
        <v>1148</v>
      </c>
      <c r="Y2" s="421">
        <v>481</v>
      </c>
      <c r="Z2" s="419"/>
      <c r="AA2" s="419"/>
      <c r="AB2" s="419"/>
      <c r="AC2" s="419"/>
      <c r="AD2" s="419"/>
      <c r="AE2" s="422">
        <v>0.9580966659236342</v>
      </c>
      <c r="AF2" s="421">
        <v>20880569.200137716</v>
      </c>
      <c r="AG2" s="420">
        <v>827</v>
      </c>
      <c r="AH2" s="420">
        <v>7607</v>
      </c>
      <c r="AJ2" s="420">
        <v>392</v>
      </c>
      <c r="AK2" s="420">
        <v>0.023915563418949425</v>
      </c>
      <c r="AM2" s="420">
        <v>0</v>
      </c>
      <c r="AN2" s="420">
        <v>31</v>
      </c>
      <c r="AP2" s="420">
        <v>0</v>
      </c>
      <c r="AQ2" s="420">
        <v>0</v>
      </c>
      <c r="AR2" s="420">
        <v>293.26</v>
      </c>
      <c r="AU2" s="420">
        <v>658</v>
      </c>
      <c r="AV2" s="420">
        <v>5350</v>
      </c>
      <c r="AW2" s="420">
        <v>0.12299065420560748</v>
      </c>
      <c r="AY2" s="420">
        <v>0</v>
      </c>
      <c r="AZ2" s="421">
        <v>4857</v>
      </c>
      <c r="BA2" s="420">
        <v>6897</v>
      </c>
      <c r="BB2" s="420">
        <v>0.7042192257503262</v>
      </c>
      <c r="BD2" s="420">
        <v>0</v>
      </c>
      <c r="BE2" s="420">
        <v>0</v>
      </c>
      <c r="BF2" s="421">
        <v>0</v>
      </c>
      <c r="BG2" s="421">
        <v>0</v>
      </c>
      <c r="BH2" s="419"/>
      <c r="BI2" s="421">
        <v>0</v>
      </c>
      <c r="BJ2" s="419"/>
      <c r="BK2" s="421">
        <v>5900.76</v>
      </c>
      <c r="BL2" s="421">
        <v>140004</v>
      </c>
      <c r="BM2" s="421">
        <v>-999936.605</v>
      </c>
      <c r="BN2" s="419"/>
      <c r="BO2" s="421">
        <v>-115745.45612722076</v>
      </c>
      <c r="BP2" s="421">
        <v>1334279</v>
      </c>
      <c r="BQ2" s="421">
        <v>410543</v>
      </c>
      <c r="BR2" s="421">
        <v>897394.9424826249</v>
      </c>
      <c r="BS2" s="421">
        <v>27428.68789498369</v>
      </c>
      <c r="BT2" s="421">
        <v>125948.33979683967</v>
      </c>
      <c r="BU2" s="421">
        <v>413526.2233831386</v>
      </c>
      <c r="BV2" s="421">
        <v>833777.015607583</v>
      </c>
      <c r="BW2" s="421">
        <v>1346679.5531167898</v>
      </c>
      <c r="BX2" s="421">
        <v>355892.2472376277</v>
      </c>
      <c r="BY2" s="421">
        <v>697081.5574756723</v>
      </c>
      <c r="BZ2" s="419"/>
      <c r="CA2" s="421">
        <v>149281.52027416526</v>
      </c>
      <c r="CB2" s="419"/>
      <c r="CC2" s="419"/>
      <c r="CD2" s="419"/>
      <c r="CE2" s="421">
        <v>881263.9025903177</v>
      </c>
      <c r="CF2" s="421">
        <v>552531.8486549061</v>
      </c>
      <c r="CG2" s="421">
        <v>713642.6813002726</v>
      </c>
      <c r="CH2" s="421">
        <v>-75065.44174165497</v>
      </c>
      <c r="CI2" s="419"/>
      <c r="CJ2" s="421">
        <v>9364451.803376857</v>
      </c>
      <c r="CK2" s="421">
        <v>-2659976</v>
      </c>
      <c r="CL2" s="421">
        <v>365456.8688</v>
      </c>
      <c r="CM2" s="421">
        <v>1084283.10556</v>
      </c>
      <c r="CN2" s="421">
        <v>-718826.23676</v>
      </c>
      <c r="CO2" s="419"/>
      <c r="CP2" s="419"/>
      <c r="CQ2" s="419"/>
      <c r="CR2" s="171">
        <v>4722</v>
      </c>
    </row>
    <row r="3" spans="1:96" ht="9.75">
      <c r="A3" s="203">
        <v>5</v>
      </c>
      <c r="B3" s="203" t="s">
        <v>59</v>
      </c>
      <c r="C3" s="421">
        <v>9419</v>
      </c>
      <c r="D3" s="419"/>
      <c r="E3" s="419"/>
      <c r="F3" s="419"/>
      <c r="G3" s="419"/>
      <c r="H3" s="500">
        <v>4291.05</v>
      </c>
      <c r="I3" s="419"/>
      <c r="J3" s="419"/>
      <c r="K3" s="419"/>
      <c r="L3" s="419"/>
      <c r="M3" s="419"/>
      <c r="N3" s="419"/>
      <c r="O3" s="419"/>
      <c r="P3" s="419"/>
      <c r="Q3" s="421">
        <v>537</v>
      </c>
      <c r="R3" s="421">
        <v>106</v>
      </c>
      <c r="S3" s="421">
        <v>737</v>
      </c>
      <c r="T3" s="421">
        <v>372</v>
      </c>
      <c r="U3" s="421">
        <v>348</v>
      </c>
      <c r="V3" s="421">
        <v>4652</v>
      </c>
      <c r="W3" s="421">
        <v>1493</v>
      </c>
      <c r="X3" s="421">
        <v>799</v>
      </c>
      <c r="Y3" s="421">
        <v>375</v>
      </c>
      <c r="Z3" s="419"/>
      <c r="AA3" s="419"/>
      <c r="AB3" s="419"/>
      <c r="AC3" s="419"/>
      <c r="AD3" s="419"/>
      <c r="AE3" s="422">
        <v>1.3529861007988133</v>
      </c>
      <c r="AF3" s="421">
        <v>16944380.064418085</v>
      </c>
      <c r="AG3" s="420">
        <v>408</v>
      </c>
      <c r="AH3" s="420">
        <v>3886</v>
      </c>
      <c r="AJ3" s="420">
        <v>287</v>
      </c>
      <c r="AK3" s="420">
        <v>0.03047032593693598</v>
      </c>
      <c r="AM3" s="420">
        <v>0</v>
      </c>
      <c r="AN3" s="420">
        <v>13</v>
      </c>
      <c r="AP3" s="420">
        <v>0</v>
      </c>
      <c r="AQ3" s="420">
        <v>0</v>
      </c>
      <c r="AR3" s="420">
        <v>1008.85</v>
      </c>
      <c r="AU3" s="420">
        <v>292</v>
      </c>
      <c r="AV3" s="420">
        <v>2340</v>
      </c>
      <c r="AW3" s="420">
        <v>0.12478632478632479</v>
      </c>
      <c r="AY3" s="420">
        <v>0</v>
      </c>
      <c r="AZ3" s="421">
        <v>3462</v>
      </c>
      <c r="BA3" s="420">
        <v>3459</v>
      </c>
      <c r="BB3" s="420">
        <v>1.0008673026886383</v>
      </c>
      <c r="BD3" s="420">
        <v>0</v>
      </c>
      <c r="BE3" s="420">
        <v>0</v>
      </c>
      <c r="BF3" s="421">
        <v>0</v>
      </c>
      <c r="BG3" s="421">
        <v>0</v>
      </c>
      <c r="BH3" s="419"/>
      <c r="BI3" s="421">
        <v>0</v>
      </c>
      <c r="BJ3" s="419"/>
      <c r="BK3" s="421">
        <v>3390.8399999999997</v>
      </c>
      <c r="BL3" s="421">
        <v>-188872</v>
      </c>
      <c r="BM3" s="421">
        <v>-265562.0925</v>
      </c>
      <c r="BN3" s="419"/>
      <c r="BO3" s="421">
        <v>191146.63372095674</v>
      </c>
      <c r="BP3" s="421">
        <v>982443</v>
      </c>
      <c r="BQ3" s="421">
        <v>316760</v>
      </c>
      <c r="BR3" s="421">
        <v>854672.9711615616</v>
      </c>
      <c r="BS3" s="421">
        <v>45846.99735082741</v>
      </c>
      <c r="BT3" s="421">
        <v>104017.12567895393</v>
      </c>
      <c r="BU3" s="421">
        <v>405909.5598663371</v>
      </c>
      <c r="BV3" s="421">
        <v>595879.924617515</v>
      </c>
      <c r="BW3" s="421">
        <v>855777.1993154305</v>
      </c>
      <c r="BX3" s="421">
        <v>259567.6986035869</v>
      </c>
      <c r="BY3" s="421">
        <v>482826.7417279208</v>
      </c>
      <c r="BZ3" s="419"/>
      <c r="CA3" s="421">
        <v>-11106.588389629876</v>
      </c>
      <c r="CB3" s="419"/>
      <c r="CC3" s="419"/>
      <c r="CD3" s="419"/>
      <c r="CE3" s="421">
        <v>672045.295851167</v>
      </c>
      <c r="CF3" s="421">
        <v>355929.39023934794</v>
      </c>
      <c r="CG3" s="421">
        <v>427977.7687490699</v>
      </c>
      <c r="CH3" s="421">
        <v>-33672.13664719227</v>
      </c>
      <c r="CI3" s="419"/>
      <c r="CJ3" s="421">
        <v>10154598.437353287</v>
      </c>
      <c r="CK3" s="421">
        <v>1473494</v>
      </c>
      <c r="CL3" s="421">
        <v>3172335.5318</v>
      </c>
      <c r="CM3" s="421">
        <v>548483.3920000001</v>
      </c>
      <c r="CN3" s="421">
        <v>2623852.1398</v>
      </c>
      <c r="CO3" s="419"/>
      <c r="CP3" s="419"/>
      <c r="CQ3" s="419"/>
      <c r="CR3" s="171">
        <v>2843</v>
      </c>
    </row>
    <row r="4" spans="1:96" ht="9.75">
      <c r="A4" s="203">
        <v>9</v>
      </c>
      <c r="B4" s="203" t="s">
        <v>60</v>
      </c>
      <c r="C4" s="421">
        <v>2517</v>
      </c>
      <c r="D4" s="419"/>
      <c r="E4" s="419"/>
      <c r="F4" s="419"/>
      <c r="G4" s="419"/>
      <c r="H4" s="500">
        <v>4291.05</v>
      </c>
      <c r="I4" s="419"/>
      <c r="J4" s="419"/>
      <c r="K4" s="419"/>
      <c r="L4" s="419"/>
      <c r="M4" s="419"/>
      <c r="N4" s="419"/>
      <c r="O4" s="419"/>
      <c r="P4" s="419"/>
      <c r="Q4" s="421">
        <v>156</v>
      </c>
      <c r="R4" s="421">
        <v>39</v>
      </c>
      <c r="S4" s="421">
        <v>222</v>
      </c>
      <c r="T4" s="421">
        <v>106</v>
      </c>
      <c r="U4" s="421">
        <v>99</v>
      </c>
      <c r="V4" s="421">
        <v>1269</v>
      </c>
      <c r="W4" s="421">
        <v>328</v>
      </c>
      <c r="X4" s="421">
        <v>199</v>
      </c>
      <c r="Y4" s="421">
        <v>99</v>
      </c>
      <c r="Z4" s="419"/>
      <c r="AA4" s="419"/>
      <c r="AB4" s="419"/>
      <c r="AC4" s="419"/>
      <c r="AD4" s="419"/>
      <c r="AE4" s="422">
        <v>1.5834573075785774</v>
      </c>
      <c r="AF4" s="421">
        <v>5299283.145198545</v>
      </c>
      <c r="AG4" s="420">
        <v>115</v>
      </c>
      <c r="AH4" s="420">
        <v>1110</v>
      </c>
      <c r="AJ4" s="420">
        <v>20</v>
      </c>
      <c r="AK4" s="420">
        <v>0.007945967421533572</v>
      </c>
      <c r="AM4" s="420">
        <v>0</v>
      </c>
      <c r="AN4" s="420">
        <v>5</v>
      </c>
      <c r="AP4" s="420">
        <v>0</v>
      </c>
      <c r="AQ4" s="420">
        <v>0</v>
      </c>
      <c r="AR4" s="420">
        <v>251.5</v>
      </c>
      <c r="AU4" s="420">
        <v>79</v>
      </c>
      <c r="AV4" s="420">
        <v>653</v>
      </c>
      <c r="AW4" s="420">
        <v>0.12098009188361408</v>
      </c>
      <c r="AY4" s="420">
        <v>0</v>
      </c>
      <c r="AZ4" s="421">
        <v>710</v>
      </c>
      <c r="BA4" s="420">
        <v>981</v>
      </c>
      <c r="BB4" s="420">
        <v>0.7237512742099899</v>
      </c>
      <c r="BD4" s="420">
        <v>0</v>
      </c>
      <c r="BE4" s="420">
        <v>0</v>
      </c>
      <c r="BF4" s="421">
        <v>0</v>
      </c>
      <c r="BG4" s="421">
        <v>0</v>
      </c>
      <c r="BH4" s="419"/>
      <c r="BI4" s="421">
        <v>0</v>
      </c>
      <c r="BJ4" s="419"/>
      <c r="BK4" s="421">
        <v>906.12</v>
      </c>
      <c r="BL4" s="421">
        <v>8706</v>
      </c>
      <c r="BM4" s="421">
        <v>-51328.915</v>
      </c>
      <c r="BN4" s="419"/>
      <c r="BO4" s="421">
        <v>-17372.005542550236</v>
      </c>
      <c r="BP4" s="421">
        <v>269616</v>
      </c>
      <c r="BQ4" s="421">
        <v>76861</v>
      </c>
      <c r="BR4" s="421">
        <v>208942.05469652946</v>
      </c>
      <c r="BS4" s="421">
        <v>11331.87612350449</v>
      </c>
      <c r="BT4" s="421">
        <v>20677.75817964038</v>
      </c>
      <c r="BU4" s="421">
        <v>98339.24119116721</v>
      </c>
      <c r="BV4" s="421">
        <v>155628.8025438553</v>
      </c>
      <c r="BW4" s="421">
        <v>249305.43506665138</v>
      </c>
      <c r="BX4" s="421">
        <v>62436.342574807924</v>
      </c>
      <c r="BY4" s="421">
        <v>126039.71635671791</v>
      </c>
      <c r="BZ4" s="419"/>
      <c r="CA4" s="421">
        <v>24611.014362801172</v>
      </c>
      <c r="CB4" s="419"/>
      <c r="CC4" s="419"/>
      <c r="CD4" s="419"/>
      <c r="CE4" s="421">
        <v>175698.08871728778</v>
      </c>
      <c r="CF4" s="421">
        <v>100722.98439812243</v>
      </c>
      <c r="CG4" s="421">
        <v>117707.14409767067</v>
      </c>
      <c r="CH4" s="421">
        <v>-9152.208430468001</v>
      </c>
      <c r="CI4" s="419"/>
      <c r="CJ4" s="421">
        <v>2892791.6359827667</v>
      </c>
      <c r="CK4" s="421">
        <v>-539829</v>
      </c>
      <c r="CL4" s="421">
        <v>143157.14620000002</v>
      </c>
      <c r="CM4" s="421">
        <v>31299.324</v>
      </c>
      <c r="CN4" s="421">
        <v>111857.82220000002</v>
      </c>
      <c r="CO4" s="419"/>
      <c r="CP4" s="419"/>
      <c r="CQ4" s="419"/>
      <c r="CR4" s="171">
        <v>845</v>
      </c>
    </row>
    <row r="5" spans="1:96" ht="9.75">
      <c r="A5" s="203">
        <v>10</v>
      </c>
      <c r="B5" s="203" t="s">
        <v>61</v>
      </c>
      <c r="C5" s="421">
        <v>11332</v>
      </c>
      <c r="D5" s="419"/>
      <c r="E5" s="419"/>
      <c r="F5" s="419"/>
      <c r="G5" s="419"/>
      <c r="H5" s="500">
        <v>4291.05</v>
      </c>
      <c r="I5" s="419"/>
      <c r="J5" s="419"/>
      <c r="K5" s="419"/>
      <c r="L5" s="419"/>
      <c r="M5" s="419"/>
      <c r="N5" s="419"/>
      <c r="O5" s="419"/>
      <c r="P5" s="419"/>
      <c r="Q5" s="421">
        <v>660</v>
      </c>
      <c r="R5" s="421">
        <v>139</v>
      </c>
      <c r="S5" s="421">
        <v>800</v>
      </c>
      <c r="T5" s="421">
        <v>464</v>
      </c>
      <c r="U5" s="421">
        <v>372</v>
      </c>
      <c r="V5" s="421">
        <v>5642</v>
      </c>
      <c r="W5" s="421">
        <v>1779</v>
      </c>
      <c r="X5" s="421">
        <v>1043</v>
      </c>
      <c r="Y5" s="421">
        <v>433</v>
      </c>
      <c r="Z5" s="419"/>
      <c r="AA5" s="419"/>
      <c r="AB5" s="419"/>
      <c r="AC5" s="419"/>
      <c r="AD5" s="419"/>
      <c r="AE5" s="422">
        <v>1.4430748694667228</v>
      </c>
      <c r="AF5" s="421">
        <v>21743176.002388775</v>
      </c>
      <c r="AG5" s="420">
        <v>441</v>
      </c>
      <c r="AH5" s="420">
        <v>4779</v>
      </c>
      <c r="AJ5" s="420">
        <v>186</v>
      </c>
      <c r="AK5" s="420">
        <v>0.016413695728909283</v>
      </c>
      <c r="AM5" s="420">
        <v>0</v>
      </c>
      <c r="AN5" s="420">
        <v>8</v>
      </c>
      <c r="AP5" s="420">
        <v>0</v>
      </c>
      <c r="AQ5" s="420">
        <v>0</v>
      </c>
      <c r="AR5" s="420">
        <v>1087.24</v>
      </c>
      <c r="AU5" s="420">
        <v>389</v>
      </c>
      <c r="AV5" s="420">
        <v>2966</v>
      </c>
      <c r="AW5" s="420">
        <v>0.13115306810519217</v>
      </c>
      <c r="AY5" s="420">
        <v>0</v>
      </c>
      <c r="AZ5" s="421">
        <v>4295</v>
      </c>
      <c r="BA5" s="420">
        <v>4319</v>
      </c>
      <c r="BB5" s="420">
        <v>0.994443158138458</v>
      </c>
      <c r="BD5" s="420">
        <v>0</v>
      </c>
      <c r="BE5" s="420">
        <v>1</v>
      </c>
      <c r="BF5" s="421">
        <v>0</v>
      </c>
      <c r="BG5" s="421">
        <v>0</v>
      </c>
      <c r="BH5" s="419"/>
      <c r="BI5" s="421">
        <v>0</v>
      </c>
      <c r="BJ5" s="419"/>
      <c r="BK5" s="421">
        <v>4079.52</v>
      </c>
      <c r="BL5" s="421">
        <v>-11550</v>
      </c>
      <c r="BM5" s="421">
        <v>-414217.789</v>
      </c>
      <c r="BN5" s="419"/>
      <c r="BO5" s="421">
        <v>-158146.872291727</v>
      </c>
      <c r="BP5" s="421">
        <v>1196258</v>
      </c>
      <c r="BQ5" s="421">
        <v>389828</v>
      </c>
      <c r="BR5" s="421">
        <v>994223.9405232423</v>
      </c>
      <c r="BS5" s="421">
        <v>46805.49325746627</v>
      </c>
      <c r="BT5" s="421">
        <v>102562.06916084253</v>
      </c>
      <c r="BU5" s="421">
        <v>466334.08575838123</v>
      </c>
      <c r="BV5" s="421">
        <v>749068.4935681962</v>
      </c>
      <c r="BW5" s="421">
        <v>1066515.1689976272</v>
      </c>
      <c r="BX5" s="421">
        <v>322351.75372613425</v>
      </c>
      <c r="BY5" s="421">
        <v>594111.2951684942</v>
      </c>
      <c r="BZ5" s="419"/>
      <c r="CA5" s="421">
        <v>-7948.667523332493</v>
      </c>
      <c r="CB5" s="419"/>
      <c r="CC5" s="419"/>
      <c r="CD5" s="419"/>
      <c r="CE5" s="421">
        <v>803688.2311298419</v>
      </c>
      <c r="CF5" s="421">
        <v>455921.26399358484</v>
      </c>
      <c r="CG5" s="421">
        <v>556224.2355437365</v>
      </c>
      <c r="CH5" s="421">
        <v>-40246.4100936451</v>
      </c>
      <c r="CI5" s="419"/>
      <c r="CJ5" s="421">
        <v>12205934.163942546</v>
      </c>
      <c r="CK5" s="421">
        <v>-700212</v>
      </c>
      <c r="CL5" s="421">
        <v>166929.728</v>
      </c>
      <c r="CM5" s="421">
        <v>294467.02108000003</v>
      </c>
      <c r="CN5" s="421">
        <v>-127537.29308000003</v>
      </c>
      <c r="CO5" s="419"/>
      <c r="CP5" s="419"/>
      <c r="CQ5" s="419"/>
      <c r="CR5" s="171">
        <v>3371</v>
      </c>
    </row>
    <row r="6" spans="1:96" ht="9.75">
      <c r="A6" s="203">
        <v>16</v>
      </c>
      <c r="B6" s="203" t="s">
        <v>62</v>
      </c>
      <c r="C6" s="421">
        <v>8059</v>
      </c>
      <c r="D6" s="419"/>
      <c r="E6" s="419"/>
      <c r="F6" s="419"/>
      <c r="G6" s="419"/>
      <c r="H6" s="500">
        <v>4291.05</v>
      </c>
      <c r="I6" s="419"/>
      <c r="J6" s="419"/>
      <c r="K6" s="419"/>
      <c r="L6" s="419"/>
      <c r="M6" s="419"/>
      <c r="N6" s="419"/>
      <c r="O6" s="419"/>
      <c r="P6" s="419"/>
      <c r="Q6" s="421">
        <v>325</v>
      </c>
      <c r="R6" s="421">
        <v>67</v>
      </c>
      <c r="S6" s="421">
        <v>491</v>
      </c>
      <c r="T6" s="421">
        <v>279</v>
      </c>
      <c r="U6" s="421">
        <v>237</v>
      </c>
      <c r="V6" s="421">
        <v>3917</v>
      </c>
      <c r="W6" s="421">
        <v>1581</v>
      </c>
      <c r="X6" s="421">
        <v>846</v>
      </c>
      <c r="Y6" s="421">
        <v>316</v>
      </c>
      <c r="Z6" s="419"/>
      <c r="AA6" s="419"/>
      <c r="AB6" s="419"/>
      <c r="AC6" s="419"/>
      <c r="AD6" s="419"/>
      <c r="AE6" s="422">
        <v>1.2371964882647377</v>
      </c>
      <c r="AF6" s="421">
        <v>13257065.048784582</v>
      </c>
      <c r="AG6" s="420">
        <v>402</v>
      </c>
      <c r="AH6" s="420">
        <v>3332</v>
      </c>
      <c r="AJ6" s="420">
        <v>192</v>
      </c>
      <c r="AK6" s="420">
        <v>0.023824295818339745</v>
      </c>
      <c r="AM6" s="420">
        <v>0</v>
      </c>
      <c r="AN6" s="420">
        <v>16</v>
      </c>
      <c r="AP6" s="420">
        <v>3</v>
      </c>
      <c r="AQ6" s="420">
        <v>474</v>
      </c>
      <c r="AR6" s="420">
        <v>563.34</v>
      </c>
      <c r="AU6" s="420">
        <v>330</v>
      </c>
      <c r="AV6" s="420">
        <v>2182</v>
      </c>
      <c r="AW6" s="420">
        <v>0.15123739688359303</v>
      </c>
      <c r="AY6" s="420">
        <v>0</v>
      </c>
      <c r="AZ6" s="421">
        <v>2237</v>
      </c>
      <c r="BA6" s="420">
        <v>2966</v>
      </c>
      <c r="BB6" s="420">
        <v>0.7542144302090358</v>
      </c>
      <c r="BD6" s="420">
        <v>0</v>
      </c>
      <c r="BE6" s="420">
        <v>2</v>
      </c>
      <c r="BF6" s="421">
        <v>0</v>
      </c>
      <c r="BG6" s="421">
        <v>0</v>
      </c>
      <c r="BH6" s="419"/>
      <c r="BI6" s="421">
        <v>0</v>
      </c>
      <c r="BJ6" s="419"/>
      <c r="BK6" s="421">
        <v>2901.24</v>
      </c>
      <c r="BL6" s="421">
        <v>198106</v>
      </c>
      <c r="BM6" s="421">
        <v>-272260.9</v>
      </c>
      <c r="BN6" s="419"/>
      <c r="BO6" s="421">
        <v>98970.00168253854</v>
      </c>
      <c r="BP6" s="421">
        <v>734044</v>
      </c>
      <c r="BQ6" s="421">
        <v>234966</v>
      </c>
      <c r="BR6" s="421">
        <v>499428.03132371634</v>
      </c>
      <c r="BS6" s="421">
        <v>23164.14885330807</v>
      </c>
      <c r="BT6" s="421">
        <v>5375.026859721413</v>
      </c>
      <c r="BU6" s="421">
        <v>239081.0739268699</v>
      </c>
      <c r="BV6" s="421">
        <v>418755.6805136163</v>
      </c>
      <c r="BW6" s="421">
        <v>701338.6127065108</v>
      </c>
      <c r="BX6" s="421">
        <v>207166.79425464023</v>
      </c>
      <c r="BY6" s="421">
        <v>358437.5608125639</v>
      </c>
      <c r="BZ6" s="419"/>
      <c r="CA6" s="421">
        <v>-3079.3416647349222</v>
      </c>
      <c r="CB6" s="419"/>
      <c r="CC6" s="419"/>
      <c r="CD6" s="419"/>
      <c r="CE6" s="421">
        <v>467110.2259958058</v>
      </c>
      <c r="CF6" s="421">
        <v>270454.4068504124</v>
      </c>
      <c r="CG6" s="421">
        <v>333301.8403724211</v>
      </c>
      <c r="CH6" s="421">
        <v>-35442.15797542678</v>
      </c>
      <c r="CI6" s="419"/>
      <c r="CJ6" s="421">
        <v>4141700.8018253017</v>
      </c>
      <c r="CK6" s="421">
        <v>-571243</v>
      </c>
      <c r="CL6" s="421">
        <v>1146300.4804000002</v>
      </c>
      <c r="CM6" s="421">
        <v>205860.12528</v>
      </c>
      <c r="CN6" s="421">
        <v>940440.3551200002</v>
      </c>
      <c r="CO6" s="419"/>
      <c r="CP6" s="419"/>
      <c r="CQ6" s="419"/>
      <c r="CR6" s="171">
        <v>1850</v>
      </c>
    </row>
    <row r="7" spans="1:96" ht="9.75">
      <c r="A7" s="203">
        <v>18</v>
      </c>
      <c r="B7" s="203" t="s">
        <v>63</v>
      </c>
      <c r="C7" s="421">
        <v>4878</v>
      </c>
      <c r="D7" s="419"/>
      <c r="E7" s="419"/>
      <c r="F7" s="419"/>
      <c r="G7" s="419"/>
      <c r="H7" s="500">
        <v>4291.05</v>
      </c>
      <c r="I7" s="419"/>
      <c r="J7" s="419"/>
      <c r="K7" s="419"/>
      <c r="L7" s="419"/>
      <c r="M7" s="419"/>
      <c r="N7" s="419"/>
      <c r="O7" s="419"/>
      <c r="P7" s="419"/>
      <c r="Q7" s="421">
        <v>292</v>
      </c>
      <c r="R7" s="421">
        <v>62</v>
      </c>
      <c r="S7" s="421">
        <v>427</v>
      </c>
      <c r="T7" s="421">
        <v>200</v>
      </c>
      <c r="U7" s="421">
        <v>194</v>
      </c>
      <c r="V7" s="421">
        <v>2716</v>
      </c>
      <c r="W7" s="421">
        <v>601</v>
      </c>
      <c r="X7" s="421">
        <v>289</v>
      </c>
      <c r="Y7" s="421">
        <v>97</v>
      </c>
      <c r="Z7" s="419"/>
      <c r="AA7" s="419"/>
      <c r="AB7" s="419"/>
      <c r="AC7" s="419"/>
      <c r="AD7" s="419"/>
      <c r="AE7" s="422">
        <v>0.781145198427256</v>
      </c>
      <c r="AF7" s="421">
        <v>5066419.153156628</v>
      </c>
      <c r="AG7" s="420">
        <v>229</v>
      </c>
      <c r="AH7" s="420">
        <v>2405</v>
      </c>
      <c r="AJ7" s="420">
        <v>140</v>
      </c>
      <c r="AK7" s="420">
        <v>0.02870028700287003</v>
      </c>
      <c r="AM7" s="420">
        <v>0</v>
      </c>
      <c r="AN7" s="420">
        <v>167</v>
      </c>
      <c r="AP7" s="420">
        <v>0</v>
      </c>
      <c r="AQ7" s="420">
        <v>0</v>
      </c>
      <c r="AR7" s="420">
        <v>212.44</v>
      </c>
      <c r="AU7" s="420">
        <v>242</v>
      </c>
      <c r="AV7" s="420">
        <v>1594</v>
      </c>
      <c r="AW7" s="420">
        <v>0.15181932245922208</v>
      </c>
      <c r="AY7" s="420">
        <v>0</v>
      </c>
      <c r="AZ7" s="421">
        <v>1390</v>
      </c>
      <c r="BA7" s="420">
        <v>2242</v>
      </c>
      <c r="BB7" s="420">
        <v>0.6199821587867975</v>
      </c>
      <c r="BD7" s="420">
        <v>0</v>
      </c>
      <c r="BE7" s="420">
        <v>0</v>
      </c>
      <c r="BF7" s="421">
        <v>0</v>
      </c>
      <c r="BG7" s="421">
        <v>0</v>
      </c>
      <c r="BH7" s="419"/>
      <c r="BI7" s="421">
        <v>0</v>
      </c>
      <c r="BJ7" s="419"/>
      <c r="BK7" s="421">
        <v>1756.08</v>
      </c>
      <c r="BL7" s="421">
        <v>4308</v>
      </c>
      <c r="BM7" s="421">
        <v>-147153.945</v>
      </c>
      <c r="BN7" s="419"/>
      <c r="BO7" s="421">
        <v>113498.53809232544</v>
      </c>
      <c r="BP7" s="421">
        <v>390010</v>
      </c>
      <c r="BQ7" s="421">
        <v>130963</v>
      </c>
      <c r="BR7" s="421">
        <v>277568.86861187575</v>
      </c>
      <c r="BS7" s="421">
        <v>5685.533134850141</v>
      </c>
      <c r="BT7" s="421">
        <v>18260.159979551037</v>
      </c>
      <c r="BU7" s="421">
        <v>78444.9405121629</v>
      </c>
      <c r="BV7" s="421">
        <v>268579.92814660154</v>
      </c>
      <c r="BW7" s="421">
        <v>394468.0167573563</v>
      </c>
      <c r="BX7" s="421">
        <v>106452.60858936342</v>
      </c>
      <c r="BY7" s="421">
        <v>194995.58547290025</v>
      </c>
      <c r="BZ7" s="419"/>
      <c r="CA7" s="421">
        <v>-11102.15071258101</v>
      </c>
      <c r="CB7" s="419"/>
      <c r="CC7" s="419"/>
      <c r="CD7" s="419"/>
      <c r="CE7" s="421">
        <v>257965.4829036925</v>
      </c>
      <c r="CF7" s="421">
        <v>159699.93272014483</v>
      </c>
      <c r="CG7" s="421">
        <v>208373.8543295913</v>
      </c>
      <c r="CH7" s="421">
        <v>-23624.613202346052</v>
      </c>
      <c r="CI7" s="419"/>
      <c r="CJ7" s="421">
        <v>1494742.6245326537</v>
      </c>
      <c r="CK7" s="421">
        <v>-122335</v>
      </c>
      <c r="CL7" s="421">
        <v>872058.7844000001</v>
      </c>
      <c r="CM7" s="421">
        <v>331266.08344</v>
      </c>
      <c r="CN7" s="421">
        <v>540792.70096</v>
      </c>
      <c r="CO7" s="419"/>
      <c r="CP7" s="419"/>
      <c r="CQ7" s="419"/>
      <c r="CR7" s="171">
        <v>1565</v>
      </c>
    </row>
    <row r="8" spans="1:96" ht="9.75">
      <c r="A8" s="203">
        <v>19</v>
      </c>
      <c r="B8" s="203" t="s">
        <v>64</v>
      </c>
      <c r="C8" s="421">
        <v>3959</v>
      </c>
      <c r="D8" s="419"/>
      <c r="E8" s="419"/>
      <c r="F8" s="419"/>
      <c r="G8" s="419"/>
      <c r="H8" s="500">
        <v>4291.05</v>
      </c>
      <c r="I8" s="419"/>
      <c r="J8" s="419"/>
      <c r="K8" s="419"/>
      <c r="L8" s="419"/>
      <c r="M8" s="419"/>
      <c r="N8" s="419"/>
      <c r="O8" s="419"/>
      <c r="P8" s="419"/>
      <c r="Q8" s="421">
        <v>283</v>
      </c>
      <c r="R8" s="421">
        <v>45</v>
      </c>
      <c r="S8" s="421">
        <v>319</v>
      </c>
      <c r="T8" s="421">
        <v>165</v>
      </c>
      <c r="U8" s="421">
        <v>130</v>
      </c>
      <c r="V8" s="421">
        <v>2194</v>
      </c>
      <c r="W8" s="421">
        <v>499</v>
      </c>
      <c r="X8" s="421">
        <v>243</v>
      </c>
      <c r="Y8" s="421">
        <v>81</v>
      </c>
      <c r="Z8" s="419"/>
      <c r="AA8" s="419"/>
      <c r="AB8" s="419"/>
      <c r="AC8" s="419"/>
      <c r="AD8" s="419"/>
      <c r="AE8" s="422">
        <v>0.867576770130385</v>
      </c>
      <c r="AF8" s="421">
        <v>4566894.409027228</v>
      </c>
      <c r="AG8" s="420">
        <v>163</v>
      </c>
      <c r="AH8" s="420">
        <v>1980</v>
      </c>
      <c r="AJ8" s="420">
        <v>103</v>
      </c>
      <c r="AK8" s="420">
        <v>0.02601667087648396</v>
      </c>
      <c r="AM8" s="420">
        <v>0</v>
      </c>
      <c r="AN8" s="420">
        <v>25</v>
      </c>
      <c r="AP8" s="420">
        <v>0</v>
      </c>
      <c r="AQ8" s="420">
        <v>0</v>
      </c>
      <c r="AR8" s="420">
        <v>95.01</v>
      </c>
      <c r="AU8" s="420">
        <v>192</v>
      </c>
      <c r="AV8" s="420">
        <v>1325</v>
      </c>
      <c r="AW8" s="420">
        <v>0.1449056603773585</v>
      </c>
      <c r="AY8" s="420">
        <v>0</v>
      </c>
      <c r="AZ8" s="421">
        <v>1198</v>
      </c>
      <c r="BA8" s="420">
        <v>1831</v>
      </c>
      <c r="BB8" s="420">
        <v>0.6542872747132714</v>
      </c>
      <c r="BD8" s="420">
        <v>0</v>
      </c>
      <c r="BE8" s="420">
        <v>0</v>
      </c>
      <c r="BF8" s="421">
        <v>0</v>
      </c>
      <c r="BG8" s="421">
        <v>0</v>
      </c>
      <c r="BH8" s="419"/>
      <c r="BI8" s="421">
        <v>0</v>
      </c>
      <c r="BJ8" s="419"/>
      <c r="BK8" s="421">
        <v>1425.24</v>
      </c>
      <c r="BL8" s="421">
        <v>-66508</v>
      </c>
      <c r="BM8" s="421">
        <v>-111807.135</v>
      </c>
      <c r="BN8" s="419"/>
      <c r="BO8" s="421">
        <v>-55272.213284444064</v>
      </c>
      <c r="BP8" s="421">
        <v>304849</v>
      </c>
      <c r="BQ8" s="421">
        <v>99381</v>
      </c>
      <c r="BR8" s="421">
        <v>201671.6672826829</v>
      </c>
      <c r="BS8" s="421">
        <v>3174.9392171713553</v>
      </c>
      <c r="BT8" s="421">
        <v>16950.500800257825</v>
      </c>
      <c r="BU8" s="421">
        <v>78918.645847082</v>
      </c>
      <c r="BV8" s="421">
        <v>205320.91818612782</v>
      </c>
      <c r="BW8" s="421">
        <v>357272.2399105509</v>
      </c>
      <c r="BX8" s="421">
        <v>93136.486716834</v>
      </c>
      <c r="BY8" s="421">
        <v>166118.60393671633</v>
      </c>
      <c r="BZ8" s="419"/>
      <c r="CA8" s="421">
        <v>6284.139892957548</v>
      </c>
      <c r="CB8" s="419"/>
      <c r="CC8" s="419"/>
      <c r="CD8" s="419"/>
      <c r="CE8" s="421">
        <v>224982.56761189338</v>
      </c>
      <c r="CF8" s="421">
        <v>141266.33328408713</v>
      </c>
      <c r="CG8" s="421">
        <v>180117.09989620218</v>
      </c>
      <c r="CH8" s="421">
        <v>-17424.497690650795</v>
      </c>
      <c r="CI8" s="419"/>
      <c r="CJ8" s="421">
        <v>1910270.1376301055</v>
      </c>
      <c r="CK8" s="421">
        <v>-74210</v>
      </c>
      <c r="CL8" s="421">
        <v>180492.7684</v>
      </c>
      <c r="CM8" s="421">
        <v>221181.88960000002</v>
      </c>
      <c r="CN8" s="421">
        <v>-40689.12120000002</v>
      </c>
      <c r="CO8" s="419"/>
      <c r="CP8" s="419"/>
      <c r="CQ8" s="419"/>
      <c r="CR8" s="171">
        <v>1260</v>
      </c>
    </row>
    <row r="9" spans="1:96" ht="9.75">
      <c r="A9" s="203">
        <v>46</v>
      </c>
      <c r="B9" s="203" t="s">
        <v>65</v>
      </c>
      <c r="C9" s="421">
        <v>1369</v>
      </c>
      <c r="D9" s="419"/>
      <c r="E9" s="419"/>
      <c r="F9" s="419"/>
      <c r="G9" s="419"/>
      <c r="H9" s="500">
        <v>4291.05</v>
      </c>
      <c r="I9" s="419"/>
      <c r="J9" s="419"/>
      <c r="K9" s="419"/>
      <c r="L9" s="419"/>
      <c r="M9" s="419"/>
      <c r="N9" s="419"/>
      <c r="O9" s="419"/>
      <c r="P9" s="419"/>
      <c r="Q9" s="421">
        <v>51</v>
      </c>
      <c r="R9" s="421">
        <v>10</v>
      </c>
      <c r="S9" s="421">
        <v>80</v>
      </c>
      <c r="T9" s="421">
        <v>27</v>
      </c>
      <c r="U9" s="421">
        <v>35</v>
      </c>
      <c r="V9" s="421">
        <v>639</v>
      </c>
      <c r="W9" s="421">
        <v>273</v>
      </c>
      <c r="X9" s="421">
        <v>172</v>
      </c>
      <c r="Y9" s="421">
        <v>82</v>
      </c>
      <c r="Z9" s="419"/>
      <c r="AA9" s="419"/>
      <c r="AB9" s="419"/>
      <c r="AC9" s="419"/>
      <c r="AD9" s="419"/>
      <c r="AE9" s="422">
        <v>1.4440649716900351</v>
      </c>
      <c r="AF9" s="421">
        <v>2628559.031655067</v>
      </c>
      <c r="AG9" s="420">
        <v>71</v>
      </c>
      <c r="AH9" s="420">
        <v>553</v>
      </c>
      <c r="AJ9" s="420">
        <v>43</v>
      </c>
      <c r="AK9" s="420">
        <v>0.031409788166544925</v>
      </c>
      <c r="AM9" s="420">
        <v>0</v>
      </c>
      <c r="AN9" s="420">
        <v>2</v>
      </c>
      <c r="AP9" s="420">
        <v>1</v>
      </c>
      <c r="AQ9" s="420">
        <v>0</v>
      </c>
      <c r="AR9" s="420">
        <v>305.55</v>
      </c>
      <c r="AU9" s="420">
        <v>42</v>
      </c>
      <c r="AV9" s="420">
        <v>324</v>
      </c>
      <c r="AW9" s="420">
        <v>0.12962962962962962</v>
      </c>
      <c r="AY9" s="420">
        <v>0.2377</v>
      </c>
      <c r="AZ9" s="421">
        <v>365</v>
      </c>
      <c r="BA9" s="420">
        <v>457</v>
      </c>
      <c r="BB9" s="420">
        <v>0.7986870897155361</v>
      </c>
      <c r="BD9" s="420">
        <v>0</v>
      </c>
      <c r="BE9" s="420">
        <v>0</v>
      </c>
      <c r="BF9" s="421">
        <v>0</v>
      </c>
      <c r="BG9" s="421">
        <v>0</v>
      </c>
      <c r="BH9" s="419"/>
      <c r="BI9" s="421">
        <v>0</v>
      </c>
      <c r="BJ9" s="419"/>
      <c r="BK9" s="421">
        <v>492.84</v>
      </c>
      <c r="BL9" s="421">
        <v>30511</v>
      </c>
      <c r="BM9" s="421">
        <v>-33018.85</v>
      </c>
      <c r="BN9" s="419"/>
      <c r="BO9" s="421">
        <v>129093.88504570909</v>
      </c>
      <c r="BP9" s="421">
        <v>170795</v>
      </c>
      <c r="BQ9" s="421">
        <v>51004</v>
      </c>
      <c r="BR9" s="421">
        <v>132057.32919923117</v>
      </c>
      <c r="BS9" s="421">
        <v>6623.632441935772</v>
      </c>
      <c r="BT9" s="421">
        <v>5672.3970182429675</v>
      </c>
      <c r="BU9" s="421">
        <v>61209.4471838827</v>
      </c>
      <c r="BV9" s="421">
        <v>88357.1907931275</v>
      </c>
      <c r="BW9" s="421">
        <v>132007.98019348277</v>
      </c>
      <c r="BX9" s="421">
        <v>36934.000312073</v>
      </c>
      <c r="BY9" s="421">
        <v>69106.6379195624</v>
      </c>
      <c r="BZ9" s="419"/>
      <c r="CA9" s="421">
        <v>-6938.808319913951</v>
      </c>
      <c r="CB9" s="419"/>
      <c r="CC9" s="419"/>
      <c r="CD9" s="419"/>
      <c r="CE9" s="421">
        <v>99245.46610141851</v>
      </c>
      <c r="CF9" s="421">
        <v>51260.45016234137</v>
      </c>
      <c r="CG9" s="421">
        <v>61926.53278208962</v>
      </c>
      <c r="CH9" s="421">
        <v>-5389.768285199325</v>
      </c>
      <c r="CI9" s="419"/>
      <c r="CJ9" s="421">
        <v>1146884.0447686769</v>
      </c>
      <c r="CK9" s="421">
        <v>-336729</v>
      </c>
      <c r="CL9" s="421">
        <v>251959.5582</v>
      </c>
      <c r="CM9" s="421">
        <v>31299.324000000004</v>
      </c>
      <c r="CN9" s="421">
        <v>220660.2342</v>
      </c>
      <c r="CO9" s="419"/>
      <c r="CP9" s="419"/>
      <c r="CQ9" s="419"/>
      <c r="CR9" s="171">
        <v>275</v>
      </c>
    </row>
    <row r="10" spans="1:96" ht="9.75">
      <c r="A10" s="203">
        <v>47</v>
      </c>
      <c r="B10" s="203" t="s">
        <v>66</v>
      </c>
      <c r="C10" s="421">
        <v>1808</v>
      </c>
      <c r="D10" s="419"/>
      <c r="E10" s="419"/>
      <c r="F10" s="419"/>
      <c r="G10" s="419"/>
      <c r="H10" s="500">
        <v>4291.05</v>
      </c>
      <c r="I10" s="419"/>
      <c r="J10" s="419"/>
      <c r="K10" s="419"/>
      <c r="L10" s="419"/>
      <c r="M10" s="419"/>
      <c r="N10" s="419"/>
      <c r="O10" s="419"/>
      <c r="P10" s="419"/>
      <c r="Q10" s="421">
        <v>67</v>
      </c>
      <c r="R10" s="421">
        <v>11</v>
      </c>
      <c r="S10" s="421">
        <v>113</v>
      </c>
      <c r="T10" s="421">
        <v>49</v>
      </c>
      <c r="U10" s="421">
        <v>43</v>
      </c>
      <c r="V10" s="421">
        <v>997</v>
      </c>
      <c r="W10" s="421">
        <v>349</v>
      </c>
      <c r="X10" s="421">
        <v>137</v>
      </c>
      <c r="Y10" s="421">
        <v>42</v>
      </c>
      <c r="Z10" s="419"/>
      <c r="AA10" s="419"/>
      <c r="AB10" s="419"/>
      <c r="AC10" s="419"/>
      <c r="AD10" s="419"/>
      <c r="AE10" s="422">
        <v>1.245186773769891</v>
      </c>
      <c r="AF10" s="421">
        <v>2993370.5279771253</v>
      </c>
      <c r="AG10" s="420">
        <v>164</v>
      </c>
      <c r="AH10" s="420">
        <v>859</v>
      </c>
      <c r="AJ10" s="420">
        <v>41</v>
      </c>
      <c r="AK10" s="420">
        <v>0.02267699115044248</v>
      </c>
      <c r="AM10" s="420">
        <v>0</v>
      </c>
      <c r="AN10" s="420">
        <v>14</v>
      </c>
      <c r="AP10" s="420">
        <v>0</v>
      </c>
      <c r="AQ10" s="420">
        <v>0</v>
      </c>
      <c r="AR10" s="420">
        <v>7952.59</v>
      </c>
      <c r="AU10" s="420">
        <v>76</v>
      </c>
      <c r="AV10" s="420">
        <v>533</v>
      </c>
      <c r="AW10" s="420">
        <v>0.1425891181988743</v>
      </c>
      <c r="AY10" s="420">
        <v>1.9083</v>
      </c>
      <c r="AZ10" s="421">
        <v>648</v>
      </c>
      <c r="BA10" s="420">
        <v>737</v>
      </c>
      <c r="BB10" s="420">
        <v>0.8792401628222524</v>
      </c>
      <c r="BD10" s="420">
        <v>1</v>
      </c>
      <c r="BE10" s="420">
        <v>183</v>
      </c>
      <c r="BF10" s="421">
        <v>0</v>
      </c>
      <c r="BG10" s="421">
        <v>0</v>
      </c>
      <c r="BH10" s="419"/>
      <c r="BI10" s="421">
        <v>0</v>
      </c>
      <c r="BJ10" s="419"/>
      <c r="BK10" s="421">
        <v>650.88</v>
      </c>
      <c r="BL10" s="421">
        <v>95738</v>
      </c>
      <c r="BM10" s="421">
        <v>-47652.87</v>
      </c>
      <c r="BN10" s="419"/>
      <c r="BO10" s="421">
        <v>358000.4534871001</v>
      </c>
      <c r="BP10" s="421">
        <v>173397</v>
      </c>
      <c r="BQ10" s="421">
        <v>59946</v>
      </c>
      <c r="BR10" s="421">
        <v>172394.94870718927</v>
      </c>
      <c r="BS10" s="421">
        <v>9669.362924982988</v>
      </c>
      <c r="BT10" s="421">
        <v>17796.73113292622</v>
      </c>
      <c r="BU10" s="421">
        <v>66470.25845941098</v>
      </c>
      <c r="BV10" s="421">
        <v>120347.25272450408</v>
      </c>
      <c r="BW10" s="421">
        <v>149976.14331376436</v>
      </c>
      <c r="BX10" s="421">
        <v>66511.29198030259</v>
      </c>
      <c r="BY10" s="421">
        <v>106033.8413544209</v>
      </c>
      <c r="BZ10" s="419"/>
      <c r="CA10" s="421">
        <v>12918.564900160985</v>
      </c>
      <c r="CB10" s="419"/>
      <c r="CC10" s="419"/>
      <c r="CD10" s="419"/>
      <c r="CE10" s="421">
        <v>134198.8657340237</v>
      </c>
      <c r="CF10" s="421">
        <v>74342.40090522391</v>
      </c>
      <c r="CG10" s="421">
        <v>87153.67195197972</v>
      </c>
      <c r="CH10" s="421">
        <v>-7480.50595072744</v>
      </c>
      <c r="CI10" s="419"/>
      <c r="CJ10" s="421">
        <v>1632795.4341419926</v>
      </c>
      <c r="CK10" s="421">
        <v>-36544</v>
      </c>
      <c r="CL10" s="421">
        <v>14904.44</v>
      </c>
      <c r="CM10" s="421">
        <v>70125.3902</v>
      </c>
      <c r="CN10" s="421">
        <v>-55220.95019999999</v>
      </c>
      <c r="CO10" s="419"/>
      <c r="CP10" s="419"/>
      <c r="CQ10" s="419"/>
      <c r="CR10" s="171">
        <v>407</v>
      </c>
    </row>
    <row r="11" spans="1:96" ht="9.75">
      <c r="A11" s="203">
        <v>49</v>
      </c>
      <c r="B11" s="203" t="s">
        <v>67</v>
      </c>
      <c r="C11" s="421">
        <v>292796</v>
      </c>
      <c r="D11" s="419"/>
      <c r="E11" s="419"/>
      <c r="F11" s="419"/>
      <c r="G11" s="419"/>
      <c r="H11" s="500">
        <v>4291.05</v>
      </c>
      <c r="I11" s="419"/>
      <c r="J11" s="419"/>
      <c r="K11" s="419"/>
      <c r="L11" s="419"/>
      <c r="M11" s="419"/>
      <c r="N11" s="419"/>
      <c r="O11" s="419"/>
      <c r="P11" s="419"/>
      <c r="Q11" s="421">
        <v>20082</v>
      </c>
      <c r="R11" s="421">
        <v>3870</v>
      </c>
      <c r="S11" s="421">
        <v>23359</v>
      </c>
      <c r="T11" s="421">
        <v>11154</v>
      </c>
      <c r="U11" s="421">
        <v>10210</v>
      </c>
      <c r="V11" s="421">
        <v>180082</v>
      </c>
      <c r="W11" s="421">
        <v>25563</v>
      </c>
      <c r="X11" s="421">
        <v>14035</v>
      </c>
      <c r="Y11" s="421">
        <v>4441</v>
      </c>
      <c r="Z11" s="419"/>
      <c r="AA11" s="419"/>
      <c r="AB11" s="419"/>
      <c r="AC11" s="419"/>
      <c r="AD11" s="419"/>
      <c r="AE11" s="422">
        <v>0.6312226398851346</v>
      </c>
      <c r="AF11" s="421">
        <v>245739663.9016846</v>
      </c>
      <c r="AG11" s="420">
        <v>17680</v>
      </c>
      <c r="AH11" s="420">
        <v>146436</v>
      </c>
      <c r="AJ11" s="420">
        <v>55624</v>
      </c>
      <c r="AK11" s="420">
        <v>0.1899752728862416</v>
      </c>
      <c r="AM11" s="420">
        <v>1</v>
      </c>
      <c r="AN11" s="420">
        <v>19970</v>
      </c>
      <c r="AP11" s="420">
        <v>3</v>
      </c>
      <c r="AQ11" s="420">
        <v>647</v>
      </c>
      <c r="AR11" s="420">
        <v>312.33</v>
      </c>
      <c r="AU11" s="420">
        <v>16908</v>
      </c>
      <c r="AV11" s="420">
        <v>106659</v>
      </c>
      <c r="AW11" s="420">
        <v>0.15852389390487442</v>
      </c>
      <c r="AY11" s="420">
        <v>0</v>
      </c>
      <c r="AZ11" s="421">
        <v>126820</v>
      </c>
      <c r="BA11" s="420">
        <v>138470</v>
      </c>
      <c r="BB11" s="420">
        <v>0.9158662526178956</v>
      </c>
      <c r="BD11" s="420">
        <v>0</v>
      </c>
      <c r="BE11" s="420">
        <v>15</v>
      </c>
      <c r="BF11" s="421">
        <v>0</v>
      </c>
      <c r="BG11" s="421">
        <v>0</v>
      </c>
      <c r="BH11" s="419"/>
      <c r="BI11" s="421">
        <v>0</v>
      </c>
      <c r="BJ11" s="419"/>
      <c r="BK11" s="421">
        <v>105406.56</v>
      </c>
      <c r="BL11" s="421">
        <v>-2408909</v>
      </c>
      <c r="BM11" s="421">
        <v>-23384242.83295</v>
      </c>
      <c r="BN11" s="419"/>
      <c r="BO11" s="421">
        <v>-266216.5658850074</v>
      </c>
      <c r="BP11" s="421">
        <v>12227998</v>
      </c>
      <c r="BQ11" s="421">
        <v>4741059</v>
      </c>
      <c r="BR11" s="421">
        <v>9930861.540707117</v>
      </c>
      <c r="BS11" s="421">
        <v>158476.05074123334</v>
      </c>
      <c r="BT11" s="421">
        <v>-3216643.810550721</v>
      </c>
      <c r="BU11" s="421">
        <v>3590217.8977544284</v>
      </c>
      <c r="BV11" s="421">
        <v>10354449.592781734</v>
      </c>
      <c r="BW11" s="421">
        <v>14030211.993497528</v>
      </c>
      <c r="BX11" s="421">
        <v>5368588.6363894185</v>
      </c>
      <c r="BY11" s="421">
        <v>8687348.306144333</v>
      </c>
      <c r="BZ11" s="419"/>
      <c r="CA11" s="421">
        <v>-3741837.619272322</v>
      </c>
      <c r="CB11" s="419"/>
      <c r="CC11" s="419"/>
      <c r="CD11" s="419"/>
      <c r="CE11" s="421">
        <v>12313128.11738625</v>
      </c>
      <c r="CF11" s="421">
        <v>7930571.940388696</v>
      </c>
      <c r="CG11" s="421">
        <v>9707026.850185584</v>
      </c>
      <c r="CH11" s="421">
        <v>-1829292.3131113523</v>
      </c>
      <c r="CI11" s="419"/>
      <c r="CJ11" s="421">
        <v>-176241584.98857743</v>
      </c>
      <c r="CK11" s="421">
        <v>-77253</v>
      </c>
      <c r="CL11" s="421">
        <v>3677148.9146</v>
      </c>
      <c r="CM11" s="421">
        <v>18891310.63002</v>
      </c>
      <c r="CN11" s="421">
        <v>-15214161.71542</v>
      </c>
      <c r="CO11" s="419"/>
      <c r="CP11" s="419"/>
      <c r="CQ11" s="419"/>
      <c r="CR11" s="171">
        <v>105704</v>
      </c>
    </row>
    <row r="12" spans="1:96" ht="9.75">
      <c r="A12" s="203">
        <v>50</v>
      </c>
      <c r="B12" s="203" t="s">
        <v>68</v>
      </c>
      <c r="C12" s="421">
        <v>11483</v>
      </c>
      <c r="D12" s="419"/>
      <c r="E12" s="419"/>
      <c r="F12" s="419"/>
      <c r="G12" s="419"/>
      <c r="H12" s="500">
        <v>4291.05</v>
      </c>
      <c r="I12" s="419"/>
      <c r="J12" s="419"/>
      <c r="K12" s="419"/>
      <c r="L12" s="419"/>
      <c r="M12" s="419"/>
      <c r="N12" s="419"/>
      <c r="O12" s="419"/>
      <c r="P12" s="419"/>
      <c r="Q12" s="421">
        <v>571</v>
      </c>
      <c r="R12" s="421">
        <v>131</v>
      </c>
      <c r="S12" s="421">
        <v>782</v>
      </c>
      <c r="T12" s="421">
        <v>408</v>
      </c>
      <c r="U12" s="421">
        <v>405</v>
      </c>
      <c r="V12" s="421">
        <v>5925</v>
      </c>
      <c r="W12" s="421">
        <v>1798</v>
      </c>
      <c r="X12" s="421">
        <v>1017</v>
      </c>
      <c r="Y12" s="421">
        <v>446</v>
      </c>
      <c r="Z12" s="419"/>
      <c r="AA12" s="419"/>
      <c r="AB12" s="419"/>
      <c r="AC12" s="419"/>
      <c r="AD12" s="419"/>
      <c r="AE12" s="422">
        <v>1.0034427354716997</v>
      </c>
      <c r="AF12" s="421">
        <v>15320590.75090793</v>
      </c>
      <c r="AG12" s="420">
        <v>471</v>
      </c>
      <c r="AH12" s="420">
        <v>5181</v>
      </c>
      <c r="AJ12" s="420">
        <v>389</v>
      </c>
      <c r="AK12" s="420">
        <v>0.033876164765305236</v>
      </c>
      <c r="AM12" s="420">
        <v>0</v>
      </c>
      <c r="AN12" s="420">
        <v>21</v>
      </c>
      <c r="AP12" s="420">
        <v>0</v>
      </c>
      <c r="AQ12" s="420">
        <v>0</v>
      </c>
      <c r="AR12" s="420">
        <v>578.81</v>
      </c>
      <c r="AU12" s="420">
        <v>525</v>
      </c>
      <c r="AV12" s="420">
        <v>3277</v>
      </c>
      <c r="AW12" s="420">
        <v>0.16020750686603602</v>
      </c>
      <c r="AY12" s="420">
        <v>0</v>
      </c>
      <c r="AZ12" s="421">
        <v>4208</v>
      </c>
      <c r="BA12" s="420">
        <v>4746</v>
      </c>
      <c r="BB12" s="420">
        <v>0.8866413822166035</v>
      </c>
      <c r="BD12" s="420">
        <v>0</v>
      </c>
      <c r="BE12" s="420">
        <v>0</v>
      </c>
      <c r="BF12" s="421">
        <v>0</v>
      </c>
      <c r="BG12" s="421">
        <v>0</v>
      </c>
      <c r="BH12" s="419"/>
      <c r="BI12" s="421">
        <v>0</v>
      </c>
      <c r="BJ12" s="419"/>
      <c r="BK12" s="421">
        <v>4133.88</v>
      </c>
      <c r="BL12" s="421">
        <v>-119829</v>
      </c>
      <c r="BM12" s="421">
        <v>-300373.5075</v>
      </c>
      <c r="BN12" s="419"/>
      <c r="BO12" s="421">
        <v>147021.0045784153</v>
      </c>
      <c r="BP12" s="421">
        <v>930471</v>
      </c>
      <c r="BQ12" s="421">
        <v>326226</v>
      </c>
      <c r="BR12" s="421">
        <v>755979.6991818466</v>
      </c>
      <c r="BS12" s="421">
        <v>35805.37842070008</v>
      </c>
      <c r="BT12" s="421">
        <v>118088.13599981995</v>
      </c>
      <c r="BU12" s="421">
        <v>359583.83389071794</v>
      </c>
      <c r="BV12" s="421">
        <v>592840.1409151391</v>
      </c>
      <c r="BW12" s="421">
        <v>1045132.1657653033</v>
      </c>
      <c r="BX12" s="421">
        <v>278567.27786175744</v>
      </c>
      <c r="BY12" s="421">
        <v>485946.3758917351</v>
      </c>
      <c r="BZ12" s="419"/>
      <c r="CA12" s="421">
        <v>-29772.788956303324</v>
      </c>
      <c r="CB12" s="419"/>
      <c r="CC12" s="419"/>
      <c r="CD12" s="419"/>
      <c r="CE12" s="421">
        <v>624197.3872832172</v>
      </c>
      <c r="CF12" s="421">
        <v>381138.5414404625</v>
      </c>
      <c r="CG12" s="421">
        <v>479653.20793004235</v>
      </c>
      <c r="CH12" s="421">
        <v>-53482.17404736553</v>
      </c>
      <c r="CI12" s="419"/>
      <c r="CJ12" s="421">
        <v>4477083.406145452</v>
      </c>
      <c r="CK12" s="421">
        <v>-1324551</v>
      </c>
      <c r="CL12" s="421">
        <v>314707.2506</v>
      </c>
      <c r="CM12" s="421">
        <v>214176.80280000003</v>
      </c>
      <c r="CN12" s="421">
        <v>100530.4478</v>
      </c>
      <c r="CO12" s="419"/>
      <c r="CP12" s="419"/>
      <c r="CQ12" s="419"/>
      <c r="CR12" s="171">
        <v>3198</v>
      </c>
    </row>
    <row r="13" spans="1:96" ht="9.75">
      <c r="A13" s="203">
        <v>51</v>
      </c>
      <c r="B13" s="203" t="s">
        <v>69</v>
      </c>
      <c r="C13" s="421">
        <v>9452</v>
      </c>
      <c r="D13" s="419"/>
      <c r="E13" s="419"/>
      <c r="F13" s="419"/>
      <c r="G13" s="419"/>
      <c r="H13" s="500">
        <v>4291.05</v>
      </c>
      <c r="I13" s="419"/>
      <c r="J13" s="419"/>
      <c r="K13" s="419"/>
      <c r="L13" s="419"/>
      <c r="M13" s="419"/>
      <c r="N13" s="419"/>
      <c r="O13" s="419"/>
      <c r="P13" s="419"/>
      <c r="Q13" s="421">
        <v>526</v>
      </c>
      <c r="R13" s="421">
        <v>104</v>
      </c>
      <c r="S13" s="421">
        <v>730</v>
      </c>
      <c r="T13" s="421">
        <v>366</v>
      </c>
      <c r="U13" s="421">
        <v>326</v>
      </c>
      <c r="V13" s="421">
        <v>4924</v>
      </c>
      <c r="W13" s="421">
        <v>1464</v>
      </c>
      <c r="X13" s="421">
        <v>760</v>
      </c>
      <c r="Y13" s="421">
        <v>252</v>
      </c>
      <c r="Z13" s="419"/>
      <c r="AA13" s="419"/>
      <c r="AB13" s="419"/>
      <c r="AC13" s="419"/>
      <c r="AD13" s="419"/>
      <c r="AE13" s="422">
        <v>0.8683592252537731</v>
      </c>
      <c r="AF13" s="421">
        <v>10912931.526672915</v>
      </c>
      <c r="AG13" s="420">
        <v>362</v>
      </c>
      <c r="AH13" s="420">
        <v>4322</v>
      </c>
      <c r="AJ13" s="420">
        <v>343</v>
      </c>
      <c r="AK13" s="420">
        <v>0.03628861616589082</v>
      </c>
      <c r="AM13" s="420">
        <v>0</v>
      </c>
      <c r="AN13" s="420">
        <v>34</v>
      </c>
      <c r="AP13" s="420">
        <v>0</v>
      </c>
      <c r="AQ13" s="420">
        <v>0</v>
      </c>
      <c r="AR13" s="420">
        <v>514.8</v>
      </c>
      <c r="AU13" s="420">
        <v>415</v>
      </c>
      <c r="AV13" s="420">
        <v>2929</v>
      </c>
      <c r="AW13" s="420">
        <v>0.14168658245134857</v>
      </c>
      <c r="AY13" s="420">
        <v>0</v>
      </c>
      <c r="AZ13" s="421">
        <v>3728</v>
      </c>
      <c r="BA13" s="420">
        <v>3932</v>
      </c>
      <c r="BB13" s="420">
        <v>0.948118006103764</v>
      </c>
      <c r="BD13" s="420">
        <v>0</v>
      </c>
      <c r="BE13" s="420">
        <v>0</v>
      </c>
      <c r="BF13" s="421">
        <v>0</v>
      </c>
      <c r="BG13" s="421">
        <v>0</v>
      </c>
      <c r="BH13" s="419"/>
      <c r="BI13" s="421">
        <v>0</v>
      </c>
      <c r="BJ13" s="419"/>
      <c r="BK13" s="421">
        <v>3402.72</v>
      </c>
      <c r="BL13" s="421">
        <v>166456</v>
      </c>
      <c r="BM13" s="421">
        <v>-179303.98</v>
      </c>
      <c r="BN13" s="419"/>
      <c r="BO13" s="421">
        <v>531912.2649731943</v>
      </c>
      <c r="BP13" s="421">
        <v>825213</v>
      </c>
      <c r="BQ13" s="421">
        <v>332930</v>
      </c>
      <c r="BR13" s="421">
        <v>852349.3838743449</v>
      </c>
      <c r="BS13" s="421">
        <v>38149.05709767528</v>
      </c>
      <c r="BT13" s="421">
        <v>81094.72168116856</v>
      </c>
      <c r="BU13" s="421">
        <v>261660.24010085664</v>
      </c>
      <c r="BV13" s="421">
        <v>497056.58265767223</v>
      </c>
      <c r="BW13" s="421">
        <v>700972.9043078987</v>
      </c>
      <c r="BX13" s="421">
        <v>275408.68621278135</v>
      </c>
      <c r="BY13" s="421">
        <v>436241.2523208853</v>
      </c>
      <c r="BZ13" s="419"/>
      <c r="CA13" s="421">
        <v>-151311.67856672432</v>
      </c>
      <c r="CB13" s="419"/>
      <c r="CC13" s="419"/>
      <c r="CD13" s="419"/>
      <c r="CE13" s="421">
        <v>594485.7224765329</v>
      </c>
      <c r="CF13" s="421">
        <v>300086.711958742</v>
      </c>
      <c r="CG13" s="421">
        <v>376763.1182916872</v>
      </c>
      <c r="CH13" s="421">
        <v>-60850.3027040783</v>
      </c>
      <c r="CI13" s="419"/>
      <c r="CJ13" s="421">
        <v>-2610991.615055803</v>
      </c>
      <c r="CK13" s="421">
        <v>-914679</v>
      </c>
      <c r="CL13" s="421">
        <v>311502.79600000003</v>
      </c>
      <c r="CM13" s="421">
        <v>515704.05710800004</v>
      </c>
      <c r="CN13" s="421">
        <v>-204201.261108</v>
      </c>
      <c r="CO13" s="419"/>
      <c r="CP13" s="419"/>
      <c r="CQ13" s="419"/>
      <c r="CR13" s="171">
        <v>2735</v>
      </c>
    </row>
    <row r="14" spans="1:96" ht="9.75">
      <c r="A14" s="203">
        <v>52</v>
      </c>
      <c r="B14" s="203" t="s">
        <v>70</v>
      </c>
      <c r="C14" s="421">
        <v>2408</v>
      </c>
      <c r="D14" s="419"/>
      <c r="E14" s="419"/>
      <c r="F14" s="419"/>
      <c r="G14" s="419"/>
      <c r="H14" s="500">
        <v>4291.05</v>
      </c>
      <c r="I14" s="419"/>
      <c r="J14" s="419"/>
      <c r="K14" s="419"/>
      <c r="L14" s="419"/>
      <c r="M14" s="419"/>
      <c r="N14" s="419"/>
      <c r="O14" s="419"/>
      <c r="P14" s="419"/>
      <c r="Q14" s="421">
        <v>124</v>
      </c>
      <c r="R14" s="421">
        <v>14</v>
      </c>
      <c r="S14" s="421">
        <v>193</v>
      </c>
      <c r="T14" s="421">
        <v>82</v>
      </c>
      <c r="U14" s="421">
        <v>87</v>
      </c>
      <c r="V14" s="421">
        <v>1196</v>
      </c>
      <c r="W14" s="421">
        <v>370</v>
      </c>
      <c r="X14" s="421">
        <v>243</v>
      </c>
      <c r="Y14" s="421">
        <v>99</v>
      </c>
      <c r="Z14" s="419"/>
      <c r="AA14" s="419"/>
      <c r="AB14" s="419"/>
      <c r="AC14" s="419"/>
      <c r="AD14" s="419"/>
      <c r="AE14" s="422">
        <v>1.5195810973794395</v>
      </c>
      <c r="AF14" s="421">
        <v>4865280.881969674</v>
      </c>
      <c r="AG14" s="420">
        <v>72</v>
      </c>
      <c r="AH14" s="420">
        <v>1072</v>
      </c>
      <c r="AJ14" s="420">
        <v>78</v>
      </c>
      <c r="AK14" s="420">
        <v>0.03239202657807309</v>
      </c>
      <c r="AM14" s="420">
        <v>0</v>
      </c>
      <c r="AN14" s="420">
        <v>46</v>
      </c>
      <c r="AP14" s="420">
        <v>0</v>
      </c>
      <c r="AQ14" s="420">
        <v>0</v>
      </c>
      <c r="AR14" s="420">
        <v>354.16</v>
      </c>
      <c r="AU14" s="420">
        <v>97</v>
      </c>
      <c r="AV14" s="420">
        <v>661</v>
      </c>
      <c r="AW14" s="420">
        <v>0.14674735249621784</v>
      </c>
      <c r="AY14" s="420">
        <v>0</v>
      </c>
      <c r="AZ14" s="421">
        <v>854</v>
      </c>
      <c r="BA14" s="420">
        <v>967</v>
      </c>
      <c r="BB14" s="420">
        <v>0.8831437435367114</v>
      </c>
      <c r="BD14" s="420">
        <v>0</v>
      </c>
      <c r="BE14" s="420">
        <v>0</v>
      </c>
      <c r="BF14" s="421">
        <v>0</v>
      </c>
      <c r="BG14" s="421">
        <v>0</v>
      </c>
      <c r="BH14" s="419"/>
      <c r="BI14" s="421">
        <v>0</v>
      </c>
      <c r="BJ14" s="419"/>
      <c r="BK14" s="421">
        <v>866.88</v>
      </c>
      <c r="BL14" s="421">
        <v>-100747</v>
      </c>
      <c r="BM14" s="421">
        <v>-31602.535</v>
      </c>
      <c r="BN14" s="419"/>
      <c r="BO14" s="421">
        <v>216915.193710112</v>
      </c>
      <c r="BP14" s="421">
        <v>268330</v>
      </c>
      <c r="BQ14" s="421">
        <v>90507</v>
      </c>
      <c r="BR14" s="421">
        <v>236019.7094316398</v>
      </c>
      <c r="BS14" s="421">
        <v>12785.587300546524</v>
      </c>
      <c r="BT14" s="421">
        <v>13972.667475937424</v>
      </c>
      <c r="BU14" s="421">
        <v>91029.97670731465</v>
      </c>
      <c r="BV14" s="421">
        <v>159125.99451754062</v>
      </c>
      <c r="BW14" s="421">
        <v>262773.8022734692</v>
      </c>
      <c r="BX14" s="421">
        <v>75899.24402966545</v>
      </c>
      <c r="BY14" s="421">
        <v>127170.54683329606</v>
      </c>
      <c r="BZ14" s="419"/>
      <c r="CA14" s="421">
        <v>-34768.76638072978</v>
      </c>
      <c r="CB14" s="419"/>
      <c r="CC14" s="419"/>
      <c r="CD14" s="419"/>
      <c r="CE14" s="421">
        <v>179164.50400443864</v>
      </c>
      <c r="CF14" s="421">
        <v>98257.60697972756</v>
      </c>
      <c r="CG14" s="421">
        <v>114438.61180471723</v>
      </c>
      <c r="CH14" s="421">
        <v>-9286.23398003871</v>
      </c>
      <c r="CI14" s="419"/>
      <c r="CJ14" s="421">
        <v>2258559.2674485035</v>
      </c>
      <c r="CK14" s="421">
        <v>148576</v>
      </c>
      <c r="CL14" s="421">
        <v>50824.140400000004</v>
      </c>
      <c r="CM14" s="421">
        <v>41732.432</v>
      </c>
      <c r="CN14" s="421">
        <v>9091.708400000003</v>
      </c>
      <c r="CO14" s="419"/>
      <c r="CP14" s="419"/>
      <c r="CQ14" s="419"/>
      <c r="CR14" s="171">
        <v>668</v>
      </c>
    </row>
    <row r="15" spans="1:96" ht="9.75">
      <c r="A15" s="203">
        <v>61</v>
      </c>
      <c r="B15" s="203" t="s">
        <v>71</v>
      </c>
      <c r="C15" s="421">
        <v>16800</v>
      </c>
      <c r="D15" s="419"/>
      <c r="E15" s="419"/>
      <c r="F15" s="419"/>
      <c r="G15" s="419"/>
      <c r="H15" s="500">
        <v>4291.05</v>
      </c>
      <c r="I15" s="419"/>
      <c r="J15" s="419"/>
      <c r="K15" s="419"/>
      <c r="L15" s="419"/>
      <c r="M15" s="419"/>
      <c r="N15" s="419"/>
      <c r="O15" s="419"/>
      <c r="P15" s="419"/>
      <c r="Q15" s="421">
        <v>673</v>
      </c>
      <c r="R15" s="421">
        <v>119</v>
      </c>
      <c r="S15" s="421">
        <v>890</v>
      </c>
      <c r="T15" s="421">
        <v>496</v>
      </c>
      <c r="U15" s="421">
        <v>512</v>
      </c>
      <c r="V15" s="421">
        <v>8810</v>
      </c>
      <c r="W15" s="421">
        <v>2915</v>
      </c>
      <c r="X15" s="421">
        <v>1711</v>
      </c>
      <c r="Y15" s="421">
        <v>674</v>
      </c>
      <c r="Z15" s="419"/>
      <c r="AA15" s="419"/>
      <c r="AB15" s="419"/>
      <c r="AC15" s="419"/>
      <c r="AD15" s="419"/>
      <c r="AE15" s="422">
        <v>1.2660133959629711</v>
      </c>
      <c r="AF15" s="421">
        <v>28279722.01549858</v>
      </c>
      <c r="AG15" s="420">
        <v>941</v>
      </c>
      <c r="AH15" s="420">
        <v>7271</v>
      </c>
      <c r="AJ15" s="420">
        <v>965</v>
      </c>
      <c r="AK15" s="420">
        <v>0.05744047619047619</v>
      </c>
      <c r="AM15" s="420">
        <v>0</v>
      </c>
      <c r="AN15" s="420">
        <v>42</v>
      </c>
      <c r="AP15" s="420">
        <v>0</v>
      </c>
      <c r="AQ15" s="420">
        <v>0</v>
      </c>
      <c r="AR15" s="420">
        <v>248.76</v>
      </c>
      <c r="AU15" s="420">
        <v>870</v>
      </c>
      <c r="AV15" s="420">
        <v>4512</v>
      </c>
      <c r="AW15" s="420">
        <v>0.19281914893617022</v>
      </c>
      <c r="AY15" s="420">
        <v>0</v>
      </c>
      <c r="AZ15" s="421">
        <v>8061</v>
      </c>
      <c r="BA15" s="420">
        <v>6295</v>
      </c>
      <c r="BB15" s="420">
        <v>1.2805401111993646</v>
      </c>
      <c r="BD15" s="420">
        <v>0</v>
      </c>
      <c r="BE15" s="420">
        <v>0</v>
      </c>
      <c r="BF15" s="421">
        <v>0</v>
      </c>
      <c r="BG15" s="421">
        <v>0</v>
      </c>
      <c r="BH15" s="419"/>
      <c r="BI15" s="421">
        <v>0</v>
      </c>
      <c r="BJ15" s="419"/>
      <c r="BK15" s="421">
        <v>6048</v>
      </c>
      <c r="BL15" s="421">
        <v>482824</v>
      </c>
      <c r="BM15" s="421">
        <v>-1157152.25925</v>
      </c>
      <c r="BN15" s="419"/>
      <c r="BO15" s="421">
        <v>86203.58749876171</v>
      </c>
      <c r="BP15" s="421">
        <v>1410670</v>
      </c>
      <c r="BQ15" s="421">
        <v>454609</v>
      </c>
      <c r="BR15" s="421">
        <v>1074037.505485831</v>
      </c>
      <c r="BS15" s="421">
        <v>51148.73329094706</v>
      </c>
      <c r="BT15" s="421">
        <v>150656.3595286791</v>
      </c>
      <c r="BU15" s="421">
        <v>556585.7054233298</v>
      </c>
      <c r="BV15" s="421">
        <v>915212.8959526116</v>
      </c>
      <c r="BW15" s="421">
        <v>1382738.1902656096</v>
      </c>
      <c r="BX15" s="421">
        <v>451111.4276717849</v>
      </c>
      <c r="BY15" s="421">
        <v>771945.669483833</v>
      </c>
      <c r="BZ15" s="419"/>
      <c r="CA15" s="421">
        <v>174267.8604379583</v>
      </c>
      <c r="CB15" s="419"/>
      <c r="CC15" s="419"/>
      <c r="CD15" s="419"/>
      <c r="CE15" s="421">
        <v>964068.3356861084</v>
      </c>
      <c r="CF15" s="421">
        <v>573716.4453862826</v>
      </c>
      <c r="CG15" s="421">
        <v>731580.1354419221</v>
      </c>
      <c r="CH15" s="421">
        <v>-72700.8965314461</v>
      </c>
      <c r="CI15" s="419"/>
      <c r="CJ15" s="421">
        <v>10035476.15354927</v>
      </c>
      <c r="CK15" s="421">
        <v>966312</v>
      </c>
      <c r="CL15" s="421">
        <v>641114.4866</v>
      </c>
      <c r="CM15" s="421">
        <v>423420.2359599999</v>
      </c>
      <c r="CN15" s="421">
        <v>217694.25064000004</v>
      </c>
      <c r="CO15" s="419"/>
      <c r="CP15" s="419"/>
      <c r="CQ15" s="419"/>
      <c r="CR15" s="171">
        <v>4360</v>
      </c>
    </row>
    <row r="16" spans="1:96" ht="9.75">
      <c r="A16" s="203">
        <v>69</v>
      </c>
      <c r="B16" s="203" t="s">
        <v>72</v>
      </c>
      <c r="C16" s="421">
        <v>6896</v>
      </c>
      <c r="D16" s="419"/>
      <c r="E16" s="419"/>
      <c r="F16" s="419"/>
      <c r="G16" s="419"/>
      <c r="H16" s="500">
        <v>4291.05</v>
      </c>
      <c r="I16" s="419"/>
      <c r="J16" s="419"/>
      <c r="K16" s="419"/>
      <c r="L16" s="419"/>
      <c r="M16" s="419"/>
      <c r="N16" s="419"/>
      <c r="O16" s="419"/>
      <c r="P16" s="419"/>
      <c r="Q16" s="421">
        <v>427</v>
      </c>
      <c r="R16" s="421">
        <v>91</v>
      </c>
      <c r="S16" s="421">
        <v>536</v>
      </c>
      <c r="T16" s="421">
        <v>308</v>
      </c>
      <c r="U16" s="421">
        <v>281</v>
      </c>
      <c r="V16" s="421">
        <v>3502</v>
      </c>
      <c r="W16" s="421">
        <v>1016</v>
      </c>
      <c r="X16" s="421">
        <v>509</v>
      </c>
      <c r="Y16" s="421">
        <v>226</v>
      </c>
      <c r="Z16" s="419"/>
      <c r="AA16" s="419"/>
      <c r="AB16" s="419"/>
      <c r="AC16" s="419"/>
      <c r="AD16" s="419"/>
      <c r="AE16" s="422">
        <v>1.3783298808689366</v>
      </c>
      <c r="AF16" s="421">
        <v>12637989.10028041</v>
      </c>
      <c r="AG16" s="420">
        <v>312</v>
      </c>
      <c r="AH16" s="420">
        <v>2921</v>
      </c>
      <c r="AJ16" s="420">
        <v>96</v>
      </c>
      <c r="AK16" s="420">
        <v>0.013921113689095127</v>
      </c>
      <c r="AM16" s="420">
        <v>0</v>
      </c>
      <c r="AN16" s="420">
        <v>5</v>
      </c>
      <c r="AP16" s="420">
        <v>0</v>
      </c>
      <c r="AQ16" s="420">
        <v>0</v>
      </c>
      <c r="AR16" s="420">
        <v>766.38</v>
      </c>
      <c r="AU16" s="420">
        <v>246</v>
      </c>
      <c r="AV16" s="420">
        <v>1781</v>
      </c>
      <c r="AW16" s="420">
        <v>0.13812464907355418</v>
      </c>
      <c r="AY16" s="420">
        <v>0.2168</v>
      </c>
      <c r="AZ16" s="421">
        <v>2823</v>
      </c>
      <c r="BA16" s="420">
        <v>2646</v>
      </c>
      <c r="BB16" s="420">
        <v>1.066893424036281</v>
      </c>
      <c r="BD16" s="420">
        <v>0</v>
      </c>
      <c r="BE16" s="420">
        <v>0</v>
      </c>
      <c r="BF16" s="421">
        <v>0</v>
      </c>
      <c r="BG16" s="421">
        <v>0</v>
      </c>
      <c r="BH16" s="419"/>
      <c r="BI16" s="421">
        <v>0</v>
      </c>
      <c r="BJ16" s="419"/>
      <c r="BK16" s="421">
        <v>2482.56</v>
      </c>
      <c r="BL16" s="421">
        <v>4482</v>
      </c>
      <c r="BM16" s="421">
        <v>-199013.955</v>
      </c>
      <c r="BN16" s="419"/>
      <c r="BO16" s="421">
        <v>-113460.30353241414</v>
      </c>
      <c r="BP16" s="421">
        <v>673244</v>
      </c>
      <c r="BQ16" s="421">
        <v>206380</v>
      </c>
      <c r="BR16" s="421">
        <v>508460.5721752701</v>
      </c>
      <c r="BS16" s="421">
        <v>25606.347000850088</v>
      </c>
      <c r="BT16" s="421">
        <v>17551.09041727703</v>
      </c>
      <c r="BU16" s="421">
        <v>266734.2517578432</v>
      </c>
      <c r="BV16" s="421">
        <v>405559.0589041466</v>
      </c>
      <c r="BW16" s="421">
        <v>652159.7036758711</v>
      </c>
      <c r="BX16" s="421">
        <v>173760.4940445491</v>
      </c>
      <c r="BY16" s="421">
        <v>335303.7363628708</v>
      </c>
      <c r="BZ16" s="419"/>
      <c r="CA16" s="421">
        <v>4625.103546274266</v>
      </c>
      <c r="CB16" s="419"/>
      <c r="CC16" s="419"/>
      <c r="CD16" s="419"/>
      <c r="CE16" s="421">
        <v>468130.4467721238</v>
      </c>
      <c r="CF16" s="421">
        <v>254387.78599422338</v>
      </c>
      <c r="CG16" s="421">
        <v>310913.4407620947</v>
      </c>
      <c r="CH16" s="421">
        <v>-27630.36325589364</v>
      </c>
      <c r="CI16" s="419"/>
      <c r="CJ16" s="421">
        <v>6793468.444960972</v>
      </c>
      <c r="CK16" s="421">
        <v>834691</v>
      </c>
      <c r="CL16" s="421">
        <v>326481.7582000001</v>
      </c>
      <c r="CM16" s="421">
        <v>175156.97888</v>
      </c>
      <c r="CN16" s="421">
        <v>151324.7793200001</v>
      </c>
      <c r="CO16" s="419"/>
      <c r="CP16" s="419"/>
      <c r="CQ16" s="419"/>
      <c r="CR16" s="171">
        <v>2256</v>
      </c>
    </row>
    <row r="17" spans="1:96" ht="9.75">
      <c r="A17" s="203">
        <v>71</v>
      </c>
      <c r="B17" s="203" t="s">
        <v>73</v>
      </c>
      <c r="C17" s="421">
        <v>6667</v>
      </c>
      <c r="D17" s="419"/>
      <c r="E17" s="419"/>
      <c r="F17" s="419"/>
      <c r="G17" s="419"/>
      <c r="H17" s="500">
        <v>4291.05</v>
      </c>
      <c r="I17" s="419"/>
      <c r="J17" s="419"/>
      <c r="K17" s="419"/>
      <c r="L17" s="419"/>
      <c r="M17" s="419"/>
      <c r="N17" s="419"/>
      <c r="O17" s="419"/>
      <c r="P17" s="419"/>
      <c r="Q17" s="421">
        <v>439</v>
      </c>
      <c r="R17" s="421">
        <v>111</v>
      </c>
      <c r="S17" s="421">
        <v>579</v>
      </c>
      <c r="T17" s="421">
        <v>302</v>
      </c>
      <c r="U17" s="421">
        <v>315</v>
      </c>
      <c r="V17" s="421">
        <v>3304</v>
      </c>
      <c r="W17" s="421">
        <v>931</v>
      </c>
      <c r="X17" s="421">
        <v>476</v>
      </c>
      <c r="Y17" s="421">
        <v>210</v>
      </c>
      <c r="Z17" s="419"/>
      <c r="AA17" s="419"/>
      <c r="AB17" s="419"/>
      <c r="AC17" s="419"/>
      <c r="AD17" s="419"/>
      <c r="AE17" s="422">
        <v>1.4564183645616178</v>
      </c>
      <c r="AF17" s="421">
        <v>12910532.433539672</v>
      </c>
      <c r="AG17" s="420">
        <v>312</v>
      </c>
      <c r="AH17" s="420">
        <v>2793</v>
      </c>
      <c r="AJ17" s="420">
        <v>117</v>
      </c>
      <c r="AK17" s="420">
        <v>0.017549122543872805</v>
      </c>
      <c r="AM17" s="420">
        <v>0</v>
      </c>
      <c r="AN17" s="420">
        <v>1</v>
      </c>
      <c r="AP17" s="420">
        <v>0</v>
      </c>
      <c r="AQ17" s="420">
        <v>0</v>
      </c>
      <c r="AR17" s="420">
        <v>1050.41</v>
      </c>
      <c r="AU17" s="420">
        <v>211</v>
      </c>
      <c r="AV17" s="420">
        <v>1810</v>
      </c>
      <c r="AW17" s="420">
        <v>0.11657458563535912</v>
      </c>
      <c r="AY17" s="420">
        <v>0.3278</v>
      </c>
      <c r="AZ17" s="421">
        <v>2651</v>
      </c>
      <c r="BA17" s="420">
        <v>2525</v>
      </c>
      <c r="BB17" s="420">
        <v>1.04990099009901</v>
      </c>
      <c r="BD17" s="420">
        <v>0</v>
      </c>
      <c r="BE17" s="420">
        <v>2</v>
      </c>
      <c r="BF17" s="421">
        <v>0</v>
      </c>
      <c r="BG17" s="421">
        <v>0</v>
      </c>
      <c r="BH17" s="419"/>
      <c r="BI17" s="421">
        <v>0</v>
      </c>
      <c r="BJ17" s="419"/>
      <c r="BK17" s="421">
        <v>2400.12</v>
      </c>
      <c r="BL17" s="421">
        <v>-163632</v>
      </c>
      <c r="BM17" s="421">
        <v>-202146.12</v>
      </c>
      <c r="BN17" s="419"/>
      <c r="BO17" s="421">
        <v>-11546.944741975516</v>
      </c>
      <c r="BP17" s="421">
        <v>634501</v>
      </c>
      <c r="BQ17" s="421">
        <v>212191</v>
      </c>
      <c r="BR17" s="421">
        <v>544020.7642299961</v>
      </c>
      <c r="BS17" s="421">
        <v>27631.80870777018</v>
      </c>
      <c r="BT17" s="421">
        <v>55173.66513559559</v>
      </c>
      <c r="BU17" s="421">
        <v>266304.3682504167</v>
      </c>
      <c r="BV17" s="421">
        <v>385249.7227873716</v>
      </c>
      <c r="BW17" s="421">
        <v>604374.3985771033</v>
      </c>
      <c r="BX17" s="421">
        <v>179116.97758029238</v>
      </c>
      <c r="BY17" s="421">
        <v>325294.08349442657</v>
      </c>
      <c r="BZ17" s="419"/>
      <c r="CA17" s="421">
        <v>19359.71760468343</v>
      </c>
      <c r="CB17" s="419"/>
      <c r="CC17" s="419"/>
      <c r="CD17" s="419"/>
      <c r="CE17" s="421">
        <v>434772.68273360416</v>
      </c>
      <c r="CF17" s="421">
        <v>245458.02541090563</v>
      </c>
      <c r="CG17" s="421">
        <v>303139.30474805954</v>
      </c>
      <c r="CH17" s="421">
        <v>-24271.707921623143</v>
      </c>
      <c r="CI17" s="419"/>
      <c r="CJ17" s="421">
        <v>7235976.343662904</v>
      </c>
      <c r="CK17" s="421">
        <v>398312</v>
      </c>
      <c r="CL17" s="421">
        <v>219095.26799999998</v>
      </c>
      <c r="CM17" s="421">
        <v>195471.7306</v>
      </c>
      <c r="CN17" s="421">
        <v>23623.537399999972</v>
      </c>
      <c r="CO17" s="419"/>
      <c r="CP17" s="419"/>
      <c r="CQ17" s="419"/>
      <c r="CR17" s="171">
        <v>2287</v>
      </c>
    </row>
    <row r="18" spans="1:96" ht="9.75">
      <c r="A18" s="203">
        <v>72</v>
      </c>
      <c r="B18" s="203" t="s">
        <v>74</v>
      </c>
      <c r="C18" s="421">
        <v>949</v>
      </c>
      <c r="D18" s="419"/>
      <c r="E18" s="419"/>
      <c r="F18" s="419"/>
      <c r="G18" s="419"/>
      <c r="H18" s="500">
        <v>4291.05</v>
      </c>
      <c r="I18" s="419"/>
      <c r="J18" s="419"/>
      <c r="K18" s="419"/>
      <c r="L18" s="419"/>
      <c r="M18" s="419"/>
      <c r="N18" s="419"/>
      <c r="O18" s="419"/>
      <c r="P18" s="419"/>
      <c r="Q18" s="421">
        <v>41</v>
      </c>
      <c r="R18" s="421">
        <v>7</v>
      </c>
      <c r="S18" s="421">
        <v>55</v>
      </c>
      <c r="T18" s="421">
        <v>28</v>
      </c>
      <c r="U18" s="421">
        <v>11</v>
      </c>
      <c r="V18" s="421">
        <v>438</v>
      </c>
      <c r="W18" s="421">
        <v>201</v>
      </c>
      <c r="X18" s="421">
        <v>135</v>
      </c>
      <c r="Y18" s="421">
        <v>33</v>
      </c>
      <c r="Z18" s="419"/>
      <c r="AA18" s="419"/>
      <c r="AB18" s="419"/>
      <c r="AC18" s="419"/>
      <c r="AD18" s="419"/>
      <c r="AE18" s="422">
        <v>1.1910228021527702</v>
      </c>
      <c r="AF18" s="421">
        <v>1502843.801416926</v>
      </c>
      <c r="AG18" s="420">
        <v>33</v>
      </c>
      <c r="AH18" s="420">
        <v>362</v>
      </c>
      <c r="AJ18" s="420">
        <v>13</v>
      </c>
      <c r="AK18" s="420">
        <v>0.0136986301369863</v>
      </c>
      <c r="AM18" s="420">
        <v>0</v>
      </c>
      <c r="AN18" s="420">
        <v>0</v>
      </c>
      <c r="AP18" s="420">
        <v>2</v>
      </c>
      <c r="AQ18" s="420">
        <v>0</v>
      </c>
      <c r="AR18" s="420">
        <v>205.66</v>
      </c>
      <c r="AU18" s="420">
        <v>20</v>
      </c>
      <c r="AV18" s="420">
        <v>231</v>
      </c>
      <c r="AW18" s="420">
        <v>0.08658008658008658</v>
      </c>
      <c r="AY18" s="420">
        <v>0.8404</v>
      </c>
      <c r="AZ18" s="421">
        <v>237</v>
      </c>
      <c r="BA18" s="420">
        <v>332</v>
      </c>
      <c r="BB18" s="420">
        <v>0.713855421686747</v>
      </c>
      <c r="BD18" s="420">
        <v>0</v>
      </c>
      <c r="BE18" s="420">
        <v>0</v>
      </c>
      <c r="BF18" s="421">
        <v>0</v>
      </c>
      <c r="BG18" s="421">
        <v>0</v>
      </c>
      <c r="BH18" s="419"/>
      <c r="BI18" s="421">
        <v>0</v>
      </c>
      <c r="BJ18" s="419"/>
      <c r="BK18" s="421">
        <v>341.64</v>
      </c>
      <c r="BL18" s="421">
        <v>15733</v>
      </c>
      <c r="BM18" s="421">
        <v>-19675.3</v>
      </c>
      <c r="BN18" s="419"/>
      <c r="BO18" s="421">
        <v>41680.04681260092</v>
      </c>
      <c r="BP18" s="421">
        <v>91944</v>
      </c>
      <c r="BQ18" s="421">
        <v>29110</v>
      </c>
      <c r="BR18" s="421">
        <v>64666.662457567494</v>
      </c>
      <c r="BS18" s="421">
        <v>2692.481337280261</v>
      </c>
      <c r="BT18" s="421">
        <v>2749.036578336676</v>
      </c>
      <c r="BU18" s="421">
        <v>30690.44953189687</v>
      </c>
      <c r="BV18" s="421">
        <v>42842.84598806375</v>
      </c>
      <c r="BW18" s="421">
        <v>82798.02735515137</v>
      </c>
      <c r="BX18" s="421">
        <v>22645.889351010537</v>
      </c>
      <c r="BY18" s="421">
        <v>41418.5949413645</v>
      </c>
      <c r="BZ18" s="419"/>
      <c r="CA18" s="421">
        <v>8104.021469051028</v>
      </c>
      <c r="CB18" s="419"/>
      <c r="CC18" s="419"/>
      <c r="CD18" s="419"/>
      <c r="CE18" s="421">
        <v>52973.78568042439</v>
      </c>
      <c r="CF18" s="421">
        <v>29630.671407607097</v>
      </c>
      <c r="CG18" s="421">
        <v>34452.014219650875</v>
      </c>
      <c r="CH18" s="421">
        <v>-4530.664193395981</v>
      </c>
      <c r="CI18" s="419"/>
      <c r="CJ18" s="421">
        <v>511271.87219803873</v>
      </c>
      <c r="CK18" s="421">
        <v>-235405</v>
      </c>
      <c r="CL18" s="421">
        <v>0</v>
      </c>
      <c r="CM18" s="421">
        <v>22356.66</v>
      </c>
      <c r="CN18" s="421">
        <v>-22356.66</v>
      </c>
      <c r="CO18" s="419"/>
      <c r="CP18" s="419"/>
      <c r="CQ18" s="419"/>
      <c r="CR18" s="171">
        <v>180</v>
      </c>
    </row>
    <row r="19" spans="1:96" ht="9.75">
      <c r="A19" s="203">
        <v>74</v>
      </c>
      <c r="B19" s="203" t="s">
        <v>75</v>
      </c>
      <c r="C19" s="421">
        <v>1103</v>
      </c>
      <c r="D19" s="419"/>
      <c r="E19" s="419"/>
      <c r="F19" s="419"/>
      <c r="G19" s="419"/>
      <c r="H19" s="500">
        <v>4291.05</v>
      </c>
      <c r="I19" s="419"/>
      <c r="J19" s="419"/>
      <c r="K19" s="419"/>
      <c r="L19" s="419"/>
      <c r="M19" s="419"/>
      <c r="N19" s="419"/>
      <c r="O19" s="419"/>
      <c r="P19" s="419"/>
      <c r="Q19" s="421">
        <v>49</v>
      </c>
      <c r="R19" s="421">
        <v>12</v>
      </c>
      <c r="S19" s="421">
        <v>62</v>
      </c>
      <c r="T19" s="421">
        <v>36</v>
      </c>
      <c r="U19" s="421">
        <v>27</v>
      </c>
      <c r="V19" s="421">
        <v>535</v>
      </c>
      <c r="W19" s="421">
        <v>196</v>
      </c>
      <c r="X19" s="421">
        <v>126</v>
      </c>
      <c r="Y19" s="421">
        <v>60</v>
      </c>
      <c r="Z19" s="419"/>
      <c r="AA19" s="419"/>
      <c r="AB19" s="419"/>
      <c r="AC19" s="419"/>
      <c r="AD19" s="419"/>
      <c r="AE19" s="422">
        <v>1.4168409271325033</v>
      </c>
      <c r="AF19" s="421">
        <v>2077897.677208373</v>
      </c>
      <c r="AG19" s="420">
        <v>48</v>
      </c>
      <c r="AH19" s="420">
        <v>490</v>
      </c>
      <c r="AJ19" s="420">
        <v>37</v>
      </c>
      <c r="AK19" s="420">
        <v>0.033544877606527655</v>
      </c>
      <c r="AM19" s="420">
        <v>0</v>
      </c>
      <c r="AN19" s="420">
        <v>8</v>
      </c>
      <c r="AP19" s="420">
        <v>0</v>
      </c>
      <c r="AQ19" s="420">
        <v>0</v>
      </c>
      <c r="AR19" s="420">
        <v>413.02</v>
      </c>
      <c r="AU19" s="420">
        <v>43</v>
      </c>
      <c r="AV19" s="420">
        <v>269</v>
      </c>
      <c r="AW19" s="420">
        <v>0.15985130111524162</v>
      </c>
      <c r="AY19" s="420">
        <v>0.9418</v>
      </c>
      <c r="AZ19" s="421">
        <v>396</v>
      </c>
      <c r="BA19" s="420">
        <v>424</v>
      </c>
      <c r="BB19" s="420">
        <v>0.9339622641509434</v>
      </c>
      <c r="BD19" s="420">
        <v>0</v>
      </c>
      <c r="BE19" s="420">
        <v>0</v>
      </c>
      <c r="BF19" s="421">
        <v>0</v>
      </c>
      <c r="BG19" s="421">
        <v>0</v>
      </c>
      <c r="BH19" s="419"/>
      <c r="BI19" s="421">
        <v>0</v>
      </c>
      <c r="BJ19" s="419"/>
      <c r="BK19" s="421">
        <v>397.08</v>
      </c>
      <c r="BL19" s="421">
        <v>-19165</v>
      </c>
      <c r="BM19" s="421">
        <v>-17771.375</v>
      </c>
      <c r="BN19" s="419"/>
      <c r="BO19" s="421">
        <v>55446.229112515226</v>
      </c>
      <c r="BP19" s="421">
        <v>134532</v>
      </c>
      <c r="BQ19" s="421">
        <v>43901</v>
      </c>
      <c r="BR19" s="421">
        <v>113348.03837721006</v>
      </c>
      <c r="BS19" s="421">
        <v>6717.396987965677</v>
      </c>
      <c r="BT19" s="421">
        <v>-22207.792950525472</v>
      </c>
      <c r="BU19" s="421">
        <v>47988.048405878326</v>
      </c>
      <c r="BV19" s="421">
        <v>78960.37039101298</v>
      </c>
      <c r="BW19" s="421">
        <v>126139.30799040805</v>
      </c>
      <c r="BX19" s="421">
        <v>43112.16629393451</v>
      </c>
      <c r="BY19" s="421">
        <v>69397.4331890611</v>
      </c>
      <c r="BZ19" s="419"/>
      <c r="CA19" s="421">
        <v>-15533.024305639843</v>
      </c>
      <c r="CB19" s="419"/>
      <c r="CC19" s="419"/>
      <c r="CD19" s="419"/>
      <c r="CE19" s="421">
        <v>98139.99478287334</v>
      </c>
      <c r="CF19" s="421">
        <v>51502.066333405135</v>
      </c>
      <c r="CG19" s="421">
        <v>60200.59662771691</v>
      </c>
      <c r="CH19" s="421">
        <v>-4434.211052809673</v>
      </c>
      <c r="CI19" s="419"/>
      <c r="CJ19" s="421">
        <v>1132082.2191429664</v>
      </c>
      <c r="CK19" s="421">
        <v>-308048</v>
      </c>
      <c r="CL19" s="421">
        <v>14904.44</v>
      </c>
      <c r="CM19" s="421">
        <v>19375.772</v>
      </c>
      <c r="CN19" s="421">
        <v>-4471.332</v>
      </c>
      <c r="CO19" s="419"/>
      <c r="CP19" s="419"/>
      <c r="CQ19" s="419"/>
      <c r="CR19" s="171">
        <v>280</v>
      </c>
    </row>
    <row r="20" spans="1:96" ht="9.75">
      <c r="A20" s="203">
        <v>75</v>
      </c>
      <c r="B20" s="203" t="s">
        <v>76</v>
      </c>
      <c r="C20" s="421">
        <v>19877</v>
      </c>
      <c r="D20" s="419"/>
      <c r="E20" s="419"/>
      <c r="F20" s="419"/>
      <c r="G20" s="419"/>
      <c r="H20" s="500">
        <v>4291.05</v>
      </c>
      <c r="I20" s="419"/>
      <c r="J20" s="419"/>
      <c r="K20" s="419"/>
      <c r="L20" s="419"/>
      <c r="M20" s="419"/>
      <c r="N20" s="419"/>
      <c r="O20" s="419"/>
      <c r="P20" s="419"/>
      <c r="Q20" s="421">
        <v>788</v>
      </c>
      <c r="R20" s="421">
        <v>181</v>
      </c>
      <c r="S20" s="421">
        <v>1159</v>
      </c>
      <c r="T20" s="421">
        <v>627</v>
      </c>
      <c r="U20" s="421">
        <v>602</v>
      </c>
      <c r="V20" s="421">
        <v>10563</v>
      </c>
      <c r="W20" s="421">
        <v>3220</v>
      </c>
      <c r="X20" s="421">
        <v>1939</v>
      </c>
      <c r="Y20" s="421">
        <v>798</v>
      </c>
      <c r="Z20" s="419"/>
      <c r="AA20" s="419"/>
      <c r="AB20" s="419"/>
      <c r="AC20" s="419"/>
      <c r="AD20" s="419"/>
      <c r="AE20" s="422">
        <v>1.1957119205005826</v>
      </c>
      <c r="AF20" s="421">
        <v>31601300.083814062</v>
      </c>
      <c r="AG20" s="420">
        <v>1180</v>
      </c>
      <c r="AH20" s="420">
        <v>8861</v>
      </c>
      <c r="AJ20" s="420">
        <v>1272</v>
      </c>
      <c r="AK20" s="420">
        <v>0.0639935603964381</v>
      </c>
      <c r="AM20" s="420">
        <v>0</v>
      </c>
      <c r="AN20" s="420">
        <v>60</v>
      </c>
      <c r="AP20" s="420">
        <v>0</v>
      </c>
      <c r="AQ20" s="420">
        <v>0</v>
      </c>
      <c r="AR20" s="420">
        <v>609.8</v>
      </c>
      <c r="AU20" s="420">
        <v>799</v>
      </c>
      <c r="AV20" s="420">
        <v>5716</v>
      </c>
      <c r="AW20" s="420">
        <v>0.13978306508047586</v>
      </c>
      <c r="AY20" s="420">
        <v>0</v>
      </c>
      <c r="AZ20" s="421">
        <v>6277</v>
      </c>
      <c r="BA20" s="420">
        <v>7705</v>
      </c>
      <c r="BB20" s="420">
        <v>0.8146658014276443</v>
      </c>
      <c r="BD20" s="420">
        <v>0</v>
      </c>
      <c r="BE20" s="420">
        <v>0</v>
      </c>
      <c r="BF20" s="421">
        <v>0</v>
      </c>
      <c r="BG20" s="421">
        <v>0</v>
      </c>
      <c r="BH20" s="419"/>
      <c r="BI20" s="421">
        <v>0</v>
      </c>
      <c r="BJ20" s="419"/>
      <c r="BK20" s="421">
        <v>7155.719999999999</v>
      </c>
      <c r="BL20" s="421">
        <v>392114</v>
      </c>
      <c r="BM20" s="421">
        <v>-790653.73</v>
      </c>
      <c r="BN20" s="419"/>
      <c r="BO20" s="421">
        <v>23925.74176903814</v>
      </c>
      <c r="BP20" s="421">
        <v>1568738</v>
      </c>
      <c r="BQ20" s="421">
        <v>487407</v>
      </c>
      <c r="BR20" s="421">
        <v>1128575.9968275034</v>
      </c>
      <c r="BS20" s="421">
        <v>45002.87181555037</v>
      </c>
      <c r="BT20" s="421">
        <v>86422.8722369255</v>
      </c>
      <c r="BU20" s="421">
        <v>566255.6106364303</v>
      </c>
      <c r="BV20" s="421">
        <v>942635.9640092317</v>
      </c>
      <c r="BW20" s="421">
        <v>1584026.0242622562</v>
      </c>
      <c r="BX20" s="421">
        <v>445115.1609238217</v>
      </c>
      <c r="BY20" s="421">
        <v>809673.0418329524</v>
      </c>
      <c r="BZ20" s="419"/>
      <c r="CA20" s="421">
        <v>69772.50531988277</v>
      </c>
      <c r="CB20" s="419"/>
      <c r="CC20" s="419"/>
      <c r="CD20" s="419"/>
      <c r="CE20" s="421">
        <v>1070608.4244448629</v>
      </c>
      <c r="CF20" s="421">
        <v>628165.4840656596</v>
      </c>
      <c r="CG20" s="421">
        <v>833250.3634620291</v>
      </c>
      <c r="CH20" s="421">
        <v>-98937.46102759594</v>
      </c>
      <c r="CI20" s="419"/>
      <c r="CJ20" s="421">
        <v>218936.40868259064</v>
      </c>
      <c r="CK20" s="421">
        <v>-1667493</v>
      </c>
      <c r="CL20" s="421">
        <v>319104.0604000001</v>
      </c>
      <c r="CM20" s="421">
        <v>268115.97116</v>
      </c>
      <c r="CN20" s="421">
        <v>50988.08924000006</v>
      </c>
      <c r="CO20" s="419"/>
      <c r="CP20" s="419"/>
      <c r="CQ20" s="419"/>
      <c r="CR20" s="171">
        <v>4900</v>
      </c>
    </row>
    <row r="21" spans="1:96" ht="9.75">
      <c r="A21" s="203">
        <v>77</v>
      </c>
      <c r="B21" s="203" t="s">
        <v>77</v>
      </c>
      <c r="C21" s="421">
        <v>4782</v>
      </c>
      <c r="D21" s="419"/>
      <c r="E21" s="419"/>
      <c r="F21" s="419"/>
      <c r="G21" s="419"/>
      <c r="H21" s="500">
        <v>4291.05</v>
      </c>
      <c r="I21" s="419"/>
      <c r="J21" s="419"/>
      <c r="K21" s="419"/>
      <c r="L21" s="419"/>
      <c r="M21" s="419"/>
      <c r="N21" s="419"/>
      <c r="O21" s="419"/>
      <c r="P21" s="419"/>
      <c r="Q21" s="421">
        <v>194</v>
      </c>
      <c r="R21" s="421">
        <v>43</v>
      </c>
      <c r="S21" s="421">
        <v>341</v>
      </c>
      <c r="T21" s="421">
        <v>151</v>
      </c>
      <c r="U21" s="421">
        <v>148</v>
      </c>
      <c r="V21" s="421">
        <v>2369</v>
      </c>
      <c r="W21" s="421">
        <v>845</v>
      </c>
      <c r="X21" s="421">
        <v>461</v>
      </c>
      <c r="Y21" s="421">
        <v>230</v>
      </c>
      <c r="Z21" s="419"/>
      <c r="AA21" s="419"/>
      <c r="AB21" s="419"/>
      <c r="AC21" s="419"/>
      <c r="AD21" s="419"/>
      <c r="AE21" s="422">
        <v>1.448059830231003</v>
      </c>
      <c r="AF21" s="421">
        <v>9207116.332939114</v>
      </c>
      <c r="AG21" s="420">
        <v>267</v>
      </c>
      <c r="AH21" s="420">
        <v>1968</v>
      </c>
      <c r="AJ21" s="420">
        <v>75</v>
      </c>
      <c r="AK21" s="420">
        <v>0.015683814303638646</v>
      </c>
      <c r="AM21" s="420">
        <v>0</v>
      </c>
      <c r="AN21" s="420">
        <v>10</v>
      </c>
      <c r="AP21" s="420">
        <v>0</v>
      </c>
      <c r="AQ21" s="420">
        <v>0</v>
      </c>
      <c r="AR21" s="420">
        <v>571.69</v>
      </c>
      <c r="AU21" s="420">
        <v>163</v>
      </c>
      <c r="AV21" s="420">
        <v>1257</v>
      </c>
      <c r="AW21" s="420">
        <v>0.12967382657120127</v>
      </c>
      <c r="AY21" s="420">
        <v>0.1598</v>
      </c>
      <c r="AZ21" s="421">
        <v>1356</v>
      </c>
      <c r="BA21" s="420">
        <v>1690</v>
      </c>
      <c r="BB21" s="420">
        <v>0.8023668639053254</v>
      </c>
      <c r="BD21" s="420">
        <v>0</v>
      </c>
      <c r="BE21" s="420">
        <v>0</v>
      </c>
      <c r="BF21" s="421">
        <v>0</v>
      </c>
      <c r="BG21" s="421">
        <v>0</v>
      </c>
      <c r="BH21" s="419"/>
      <c r="BI21" s="421">
        <v>0</v>
      </c>
      <c r="BJ21" s="419"/>
      <c r="BK21" s="421">
        <v>1721.52</v>
      </c>
      <c r="BL21" s="421">
        <v>96106</v>
      </c>
      <c r="BM21" s="421">
        <v>-185993.765</v>
      </c>
      <c r="BN21" s="419"/>
      <c r="BO21" s="421">
        <v>157787.49098494463</v>
      </c>
      <c r="BP21" s="421">
        <v>567639</v>
      </c>
      <c r="BQ21" s="421">
        <v>165760</v>
      </c>
      <c r="BR21" s="421">
        <v>418313.4407374764</v>
      </c>
      <c r="BS21" s="421">
        <v>22899.471769744072</v>
      </c>
      <c r="BT21" s="421">
        <v>68329.26429098393</v>
      </c>
      <c r="BU21" s="421">
        <v>205003.42725285116</v>
      </c>
      <c r="BV21" s="421">
        <v>305523.6082293353</v>
      </c>
      <c r="BW21" s="421">
        <v>467407.96175449586</v>
      </c>
      <c r="BX21" s="421">
        <v>130242.03157009084</v>
      </c>
      <c r="BY21" s="421">
        <v>244524.13581577002</v>
      </c>
      <c r="BZ21" s="419"/>
      <c r="CA21" s="421">
        <v>46018.38865324468</v>
      </c>
      <c r="CB21" s="419"/>
      <c r="CC21" s="419"/>
      <c r="CD21" s="419"/>
      <c r="CE21" s="421">
        <v>341996.24236710666</v>
      </c>
      <c r="CF21" s="421">
        <v>180970.83999240884</v>
      </c>
      <c r="CG21" s="421">
        <v>217574.77680591535</v>
      </c>
      <c r="CH21" s="421">
        <v>-17855.1567335395</v>
      </c>
      <c r="CI21" s="419"/>
      <c r="CJ21" s="421">
        <v>5104084.809655602</v>
      </c>
      <c r="CK21" s="421">
        <v>252765</v>
      </c>
      <c r="CL21" s="421">
        <v>214772.9804</v>
      </c>
      <c r="CM21" s="421">
        <v>109532.72955999999</v>
      </c>
      <c r="CN21" s="421">
        <v>105240.25084000001</v>
      </c>
      <c r="CO21" s="419"/>
      <c r="CP21" s="419"/>
      <c r="CQ21" s="419"/>
      <c r="CR21" s="171">
        <v>1148</v>
      </c>
    </row>
    <row r="22" spans="1:96" ht="9.75">
      <c r="A22" s="203">
        <v>78</v>
      </c>
      <c r="B22" s="203" t="s">
        <v>78</v>
      </c>
      <c r="C22" s="421">
        <v>8042</v>
      </c>
      <c r="D22" s="419"/>
      <c r="E22" s="419"/>
      <c r="F22" s="419"/>
      <c r="G22" s="419"/>
      <c r="H22" s="500">
        <v>4291.05</v>
      </c>
      <c r="I22" s="419"/>
      <c r="J22" s="419"/>
      <c r="K22" s="419"/>
      <c r="L22" s="419"/>
      <c r="M22" s="419"/>
      <c r="N22" s="419"/>
      <c r="O22" s="419"/>
      <c r="P22" s="419"/>
      <c r="Q22" s="421">
        <v>284</v>
      </c>
      <c r="R22" s="421">
        <v>58</v>
      </c>
      <c r="S22" s="421">
        <v>465</v>
      </c>
      <c r="T22" s="421">
        <v>239</v>
      </c>
      <c r="U22" s="421">
        <v>231</v>
      </c>
      <c r="V22" s="421">
        <v>4113</v>
      </c>
      <c r="W22" s="421">
        <v>1490</v>
      </c>
      <c r="X22" s="421">
        <v>932</v>
      </c>
      <c r="Y22" s="421">
        <v>230</v>
      </c>
      <c r="Z22" s="419"/>
      <c r="AA22" s="419"/>
      <c r="AB22" s="419"/>
      <c r="AC22" s="419"/>
      <c r="AD22" s="419"/>
      <c r="AE22" s="422">
        <v>1.0337777615809054</v>
      </c>
      <c r="AF22" s="421">
        <v>11053983.396937147</v>
      </c>
      <c r="AG22" s="420">
        <v>487</v>
      </c>
      <c r="AH22" s="420">
        <v>3633</v>
      </c>
      <c r="AJ22" s="420">
        <v>365</v>
      </c>
      <c r="AK22" s="420">
        <v>0.04538671972146232</v>
      </c>
      <c r="AM22" s="420">
        <v>1</v>
      </c>
      <c r="AN22" s="420">
        <v>3449</v>
      </c>
      <c r="AP22" s="420">
        <v>0</v>
      </c>
      <c r="AQ22" s="420">
        <v>0</v>
      </c>
      <c r="AR22" s="420">
        <v>117.46</v>
      </c>
      <c r="AU22" s="420">
        <v>513</v>
      </c>
      <c r="AV22" s="420">
        <v>2262</v>
      </c>
      <c r="AW22" s="420">
        <v>0.22679045092838196</v>
      </c>
      <c r="AY22" s="420">
        <v>0.5951</v>
      </c>
      <c r="AZ22" s="421">
        <v>3489</v>
      </c>
      <c r="BA22" s="420">
        <v>3163</v>
      </c>
      <c r="BB22" s="420">
        <v>1.1030667088207398</v>
      </c>
      <c r="BD22" s="420">
        <v>0</v>
      </c>
      <c r="BE22" s="420">
        <v>1</v>
      </c>
      <c r="BF22" s="421">
        <v>0</v>
      </c>
      <c r="BG22" s="421">
        <v>0</v>
      </c>
      <c r="BH22" s="419"/>
      <c r="BI22" s="421">
        <v>0</v>
      </c>
      <c r="BJ22" s="419"/>
      <c r="BK22" s="421">
        <v>2895.12</v>
      </c>
      <c r="BL22" s="421">
        <v>286074</v>
      </c>
      <c r="BM22" s="421">
        <v>-375702.46</v>
      </c>
      <c r="BN22" s="419"/>
      <c r="BO22" s="421">
        <v>82923.98256242089</v>
      </c>
      <c r="BP22" s="421">
        <v>656636</v>
      </c>
      <c r="BQ22" s="421">
        <v>215300</v>
      </c>
      <c r="BR22" s="421">
        <v>400984.0691540849</v>
      </c>
      <c r="BS22" s="421">
        <v>7536.817691286501</v>
      </c>
      <c r="BT22" s="421">
        <v>13723.005639968009</v>
      </c>
      <c r="BU22" s="421">
        <v>240221.42672180056</v>
      </c>
      <c r="BV22" s="421">
        <v>317595.93887166877</v>
      </c>
      <c r="BW22" s="421">
        <v>682918.9141502562</v>
      </c>
      <c r="BX22" s="421">
        <v>171481.5886962977</v>
      </c>
      <c r="BY22" s="421">
        <v>327290.6439745335</v>
      </c>
      <c r="BZ22" s="419"/>
      <c r="CA22" s="421">
        <v>-38262.019603702414</v>
      </c>
      <c r="CB22" s="419"/>
      <c r="CC22" s="419"/>
      <c r="CD22" s="419"/>
      <c r="CE22" s="421">
        <v>366094.6991185814</v>
      </c>
      <c r="CF22" s="421">
        <v>237484.3254344363</v>
      </c>
      <c r="CG22" s="421">
        <v>313672.74943177495</v>
      </c>
      <c r="CH22" s="421">
        <v>-45450.39513411399</v>
      </c>
      <c r="CI22" s="419"/>
      <c r="CJ22" s="421">
        <v>-530353.9352364104</v>
      </c>
      <c r="CK22" s="421">
        <v>-482933</v>
      </c>
      <c r="CL22" s="421">
        <v>204265.3502</v>
      </c>
      <c r="CM22" s="421">
        <v>229409.14048</v>
      </c>
      <c r="CN22" s="421">
        <v>-25143.790280000016</v>
      </c>
      <c r="CO22" s="419"/>
      <c r="CP22" s="419"/>
      <c r="CQ22" s="419"/>
      <c r="CR22" s="171">
        <v>1775</v>
      </c>
    </row>
    <row r="23" spans="1:96" ht="9.75">
      <c r="A23" s="203">
        <v>79</v>
      </c>
      <c r="B23" s="203" t="s">
        <v>79</v>
      </c>
      <c r="C23" s="421">
        <v>6869</v>
      </c>
      <c r="D23" s="419"/>
      <c r="E23" s="419"/>
      <c r="F23" s="419"/>
      <c r="G23" s="419"/>
      <c r="H23" s="500">
        <v>4291.05</v>
      </c>
      <c r="I23" s="419"/>
      <c r="J23" s="419"/>
      <c r="K23" s="419"/>
      <c r="L23" s="419"/>
      <c r="M23" s="419"/>
      <c r="N23" s="419"/>
      <c r="O23" s="419"/>
      <c r="P23" s="419"/>
      <c r="Q23" s="421">
        <v>301</v>
      </c>
      <c r="R23" s="421">
        <v>78</v>
      </c>
      <c r="S23" s="421">
        <v>413</v>
      </c>
      <c r="T23" s="421">
        <v>209</v>
      </c>
      <c r="U23" s="421">
        <v>235</v>
      </c>
      <c r="V23" s="421">
        <v>3419</v>
      </c>
      <c r="W23" s="421">
        <v>1218</v>
      </c>
      <c r="X23" s="421">
        <v>727</v>
      </c>
      <c r="Y23" s="421">
        <v>269</v>
      </c>
      <c r="Z23" s="419"/>
      <c r="AA23" s="419"/>
      <c r="AB23" s="419"/>
      <c r="AC23" s="419"/>
      <c r="AD23" s="419"/>
      <c r="AE23" s="422">
        <v>1.1718940045305104</v>
      </c>
      <c r="AF23" s="421">
        <v>10703095.555044062</v>
      </c>
      <c r="AG23" s="420">
        <v>350</v>
      </c>
      <c r="AH23" s="420">
        <v>2864</v>
      </c>
      <c r="AJ23" s="420">
        <v>241</v>
      </c>
      <c r="AK23" s="420">
        <v>0.035085165235114284</v>
      </c>
      <c r="AM23" s="420">
        <v>0</v>
      </c>
      <c r="AN23" s="420">
        <v>13</v>
      </c>
      <c r="AP23" s="420">
        <v>0</v>
      </c>
      <c r="AQ23" s="420">
        <v>0</v>
      </c>
      <c r="AR23" s="420">
        <v>123.46</v>
      </c>
      <c r="AU23" s="420">
        <v>326</v>
      </c>
      <c r="AV23" s="420">
        <v>1926</v>
      </c>
      <c r="AW23" s="420">
        <v>0.16926272066458983</v>
      </c>
      <c r="AY23" s="420">
        <v>0</v>
      </c>
      <c r="AZ23" s="421">
        <v>3657</v>
      </c>
      <c r="BA23" s="420">
        <v>2497</v>
      </c>
      <c r="BB23" s="420">
        <v>1.4645574689627554</v>
      </c>
      <c r="BD23" s="420">
        <v>0</v>
      </c>
      <c r="BE23" s="420">
        <v>0</v>
      </c>
      <c r="BF23" s="421">
        <v>0</v>
      </c>
      <c r="BG23" s="421">
        <v>0</v>
      </c>
      <c r="BH23" s="419"/>
      <c r="BI23" s="421">
        <v>0</v>
      </c>
      <c r="BJ23" s="419"/>
      <c r="BK23" s="421">
        <v>2472.8399999999997</v>
      </c>
      <c r="BL23" s="421">
        <v>199711</v>
      </c>
      <c r="BM23" s="421">
        <v>-375114.037</v>
      </c>
      <c r="BN23" s="419"/>
      <c r="BO23" s="421">
        <v>93941.89818028547</v>
      </c>
      <c r="BP23" s="421">
        <v>489725</v>
      </c>
      <c r="BQ23" s="421">
        <v>169748</v>
      </c>
      <c r="BR23" s="421">
        <v>361767.9968837349</v>
      </c>
      <c r="BS23" s="421">
        <v>17405.703014667208</v>
      </c>
      <c r="BT23" s="421">
        <v>72742.07318975206</v>
      </c>
      <c r="BU23" s="421">
        <v>207561.9031788306</v>
      </c>
      <c r="BV23" s="421">
        <v>316837.43389339</v>
      </c>
      <c r="BW23" s="421">
        <v>564778.0514717557</v>
      </c>
      <c r="BX23" s="421">
        <v>146060.94627804705</v>
      </c>
      <c r="BY23" s="421">
        <v>278126.9222357134</v>
      </c>
      <c r="BZ23" s="419"/>
      <c r="CA23" s="421">
        <v>-188782.4740726802</v>
      </c>
      <c r="CB23" s="419"/>
      <c r="CC23" s="419"/>
      <c r="CD23" s="419"/>
      <c r="CE23" s="421">
        <v>339018.68401967443</v>
      </c>
      <c r="CF23" s="421">
        <v>216467.1251227837</v>
      </c>
      <c r="CG23" s="421">
        <v>266412.6872292338</v>
      </c>
      <c r="CH23" s="421">
        <v>-37454.91383389805</v>
      </c>
      <c r="CI23" s="419"/>
      <c r="CJ23" s="421">
        <v>-1368881.3562243138</v>
      </c>
      <c r="CK23" s="421">
        <v>-374540</v>
      </c>
      <c r="CL23" s="421">
        <v>153515.73200000002</v>
      </c>
      <c r="CM23" s="421">
        <v>175231.50108000002</v>
      </c>
      <c r="CN23" s="421">
        <v>-21715.76908</v>
      </c>
      <c r="CO23" s="419"/>
      <c r="CP23" s="419"/>
      <c r="CQ23" s="419"/>
      <c r="CR23" s="171">
        <v>1739</v>
      </c>
    </row>
    <row r="24" spans="1:96" ht="9.75">
      <c r="A24" s="203">
        <v>81</v>
      </c>
      <c r="B24" s="203" t="s">
        <v>80</v>
      </c>
      <c r="C24" s="421">
        <v>2655</v>
      </c>
      <c r="D24" s="419"/>
      <c r="E24" s="419"/>
      <c r="F24" s="419"/>
      <c r="G24" s="419"/>
      <c r="H24" s="500">
        <v>4291.05</v>
      </c>
      <c r="I24" s="419"/>
      <c r="J24" s="419"/>
      <c r="K24" s="419"/>
      <c r="L24" s="419"/>
      <c r="M24" s="419"/>
      <c r="N24" s="419"/>
      <c r="O24" s="419"/>
      <c r="P24" s="419"/>
      <c r="Q24" s="421">
        <v>83</v>
      </c>
      <c r="R24" s="421">
        <v>20</v>
      </c>
      <c r="S24" s="421">
        <v>89</v>
      </c>
      <c r="T24" s="421">
        <v>70</v>
      </c>
      <c r="U24" s="421">
        <v>49</v>
      </c>
      <c r="V24" s="421">
        <v>1270</v>
      </c>
      <c r="W24" s="421">
        <v>573</v>
      </c>
      <c r="X24" s="421">
        <v>352</v>
      </c>
      <c r="Y24" s="421">
        <v>149</v>
      </c>
      <c r="Z24" s="419"/>
      <c r="AA24" s="419"/>
      <c r="AB24" s="419"/>
      <c r="AC24" s="419"/>
      <c r="AD24" s="419"/>
      <c r="AE24" s="422">
        <v>1.4528268114353864</v>
      </c>
      <c r="AF24" s="421">
        <v>5128683.801171686</v>
      </c>
      <c r="AG24" s="420">
        <v>160</v>
      </c>
      <c r="AH24" s="420">
        <v>1093</v>
      </c>
      <c r="AJ24" s="420">
        <v>71</v>
      </c>
      <c r="AK24" s="420">
        <v>0.026741996233521657</v>
      </c>
      <c r="AM24" s="420">
        <v>0</v>
      </c>
      <c r="AN24" s="420">
        <v>2</v>
      </c>
      <c r="AP24" s="420">
        <v>0</v>
      </c>
      <c r="AQ24" s="420">
        <v>0</v>
      </c>
      <c r="AR24" s="420">
        <v>542.73</v>
      </c>
      <c r="AU24" s="420">
        <v>120</v>
      </c>
      <c r="AV24" s="420">
        <v>603</v>
      </c>
      <c r="AW24" s="420">
        <v>0.19900497512437812</v>
      </c>
      <c r="AY24" s="420">
        <v>0.5898</v>
      </c>
      <c r="AZ24" s="421">
        <v>897</v>
      </c>
      <c r="BA24" s="420">
        <v>908</v>
      </c>
      <c r="BB24" s="420">
        <v>0.987885462555066</v>
      </c>
      <c r="BD24" s="420">
        <v>0</v>
      </c>
      <c r="BE24" s="420">
        <v>0</v>
      </c>
      <c r="BF24" s="421">
        <v>0</v>
      </c>
      <c r="BG24" s="421">
        <v>0</v>
      </c>
      <c r="BH24" s="419"/>
      <c r="BI24" s="421">
        <v>0</v>
      </c>
      <c r="BJ24" s="419"/>
      <c r="BK24" s="421">
        <v>955.8</v>
      </c>
      <c r="BL24" s="421">
        <v>6856</v>
      </c>
      <c r="BM24" s="421">
        <v>-88466.005</v>
      </c>
      <c r="BN24" s="419"/>
      <c r="BO24" s="421">
        <v>-49133.1341699101</v>
      </c>
      <c r="BP24" s="421">
        <v>382259</v>
      </c>
      <c r="BQ24" s="421">
        <v>112706</v>
      </c>
      <c r="BR24" s="421">
        <v>280753.0252410473</v>
      </c>
      <c r="BS24" s="421">
        <v>16551.202542072944</v>
      </c>
      <c r="BT24" s="421">
        <v>-34065.64087492219</v>
      </c>
      <c r="BU24" s="421">
        <v>133220.72793783026</v>
      </c>
      <c r="BV24" s="421">
        <v>183270.36904974162</v>
      </c>
      <c r="BW24" s="421">
        <v>273566.22968570556</v>
      </c>
      <c r="BX24" s="421">
        <v>94944.14539466533</v>
      </c>
      <c r="BY24" s="421">
        <v>153973.46332418438</v>
      </c>
      <c r="BZ24" s="419"/>
      <c r="CA24" s="421">
        <v>-24733.304301816635</v>
      </c>
      <c r="CB24" s="419"/>
      <c r="CC24" s="419"/>
      <c r="CD24" s="419"/>
      <c r="CE24" s="421">
        <v>215793.14930477855</v>
      </c>
      <c r="CF24" s="421">
        <v>112894.19132592976</v>
      </c>
      <c r="CG24" s="421">
        <v>124285.7007953231</v>
      </c>
      <c r="CH24" s="421">
        <v>-10818.807460280428</v>
      </c>
      <c r="CI24" s="419"/>
      <c r="CJ24" s="421">
        <v>1964828.9432911754</v>
      </c>
      <c r="CK24" s="421">
        <v>-671936</v>
      </c>
      <c r="CL24" s="421">
        <v>43222.876000000004</v>
      </c>
      <c r="CM24" s="421">
        <v>208244.83568000002</v>
      </c>
      <c r="CN24" s="421">
        <v>-165021.95968000003</v>
      </c>
      <c r="CO24" s="419"/>
      <c r="CP24" s="419"/>
      <c r="CQ24" s="419"/>
      <c r="CR24" s="171">
        <v>450</v>
      </c>
    </row>
    <row r="25" spans="1:96" ht="9.75">
      <c r="A25" s="203">
        <v>82</v>
      </c>
      <c r="B25" s="203" t="s">
        <v>81</v>
      </c>
      <c r="C25" s="421">
        <v>9389</v>
      </c>
      <c r="D25" s="419"/>
      <c r="E25" s="419"/>
      <c r="F25" s="419"/>
      <c r="G25" s="419"/>
      <c r="H25" s="500">
        <v>4291.05</v>
      </c>
      <c r="I25" s="419"/>
      <c r="J25" s="419"/>
      <c r="K25" s="419"/>
      <c r="L25" s="419"/>
      <c r="M25" s="419"/>
      <c r="N25" s="419"/>
      <c r="O25" s="419"/>
      <c r="P25" s="419"/>
      <c r="Q25" s="421">
        <v>542</v>
      </c>
      <c r="R25" s="421">
        <v>104</v>
      </c>
      <c r="S25" s="421">
        <v>730</v>
      </c>
      <c r="T25" s="421">
        <v>383</v>
      </c>
      <c r="U25" s="421">
        <v>325</v>
      </c>
      <c r="V25" s="421">
        <v>5118</v>
      </c>
      <c r="W25" s="421">
        <v>1278</v>
      </c>
      <c r="X25" s="421">
        <v>697</v>
      </c>
      <c r="Y25" s="421">
        <v>212</v>
      </c>
      <c r="Z25" s="419"/>
      <c r="AA25" s="419"/>
      <c r="AB25" s="419"/>
      <c r="AC25" s="419"/>
      <c r="AD25" s="419"/>
      <c r="AE25" s="422">
        <v>0.8209680099037564</v>
      </c>
      <c r="AF25" s="421">
        <v>10248802.584323216</v>
      </c>
      <c r="AG25" s="420">
        <v>377</v>
      </c>
      <c r="AH25" s="420">
        <v>4476</v>
      </c>
      <c r="AJ25" s="420">
        <v>186</v>
      </c>
      <c r="AK25" s="420">
        <v>0.0198104164447758</v>
      </c>
      <c r="AM25" s="420">
        <v>0</v>
      </c>
      <c r="AN25" s="420">
        <v>37</v>
      </c>
      <c r="AP25" s="420">
        <v>0</v>
      </c>
      <c r="AQ25" s="420">
        <v>0</v>
      </c>
      <c r="AR25" s="420">
        <v>357.79</v>
      </c>
      <c r="AU25" s="420">
        <v>274</v>
      </c>
      <c r="AV25" s="420">
        <v>2912</v>
      </c>
      <c r="AW25" s="420">
        <v>0.09409340659340659</v>
      </c>
      <c r="AY25" s="420">
        <v>0</v>
      </c>
      <c r="AZ25" s="421">
        <v>2708</v>
      </c>
      <c r="BA25" s="420">
        <v>4096</v>
      </c>
      <c r="BB25" s="420">
        <v>0.6611328125</v>
      </c>
      <c r="BD25" s="420">
        <v>0</v>
      </c>
      <c r="BE25" s="420">
        <v>0</v>
      </c>
      <c r="BF25" s="421">
        <v>0</v>
      </c>
      <c r="BG25" s="421">
        <v>0</v>
      </c>
      <c r="BH25" s="419"/>
      <c r="BI25" s="421">
        <v>0</v>
      </c>
      <c r="BJ25" s="419"/>
      <c r="BK25" s="421">
        <v>3380.04</v>
      </c>
      <c r="BL25" s="421">
        <v>88078</v>
      </c>
      <c r="BM25" s="421">
        <v>-228143.77</v>
      </c>
      <c r="BN25" s="419"/>
      <c r="BO25" s="421">
        <v>-115651.5479556378</v>
      </c>
      <c r="BP25" s="421">
        <v>676314</v>
      </c>
      <c r="BQ25" s="421">
        <v>221366</v>
      </c>
      <c r="BR25" s="421">
        <v>445055.0591263313</v>
      </c>
      <c r="BS25" s="421">
        <v>6932.215931270755</v>
      </c>
      <c r="BT25" s="421">
        <v>58409.76069782427</v>
      </c>
      <c r="BU25" s="421">
        <v>192372.5287367456</v>
      </c>
      <c r="BV25" s="421">
        <v>439754.50773878576</v>
      </c>
      <c r="BW25" s="421">
        <v>739872.3813262391</v>
      </c>
      <c r="BX25" s="421">
        <v>197045.6477393645</v>
      </c>
      <c r="BY25" s="421">
        <v>346997.4878271195</v>
      </c>
      <c r="BZ25" s="419"/>
      <c r="CA25" s="421">
        <v>9218.701449155189</v>
      </c>
      <c r="CB25" s="419"/>
      <c r="CC25" s="419"/>
      <c r="CD25" s="419"/>
      <c r="CE25" s="421">
        <v>452002.21428467357</v>
      </c>
      <c r="CF25" s="421">
        <v>280987.1423008814</v>
      </c>
      <c r="CG25" s="421">
        <v>375832.2237107251</v>
      </c>
      <c r="CH25" s="421">
        <v>-45809.78479857775</v>
      </c>
      <c r="CI25" s="419"/>
      <c r="CJ25" s="421">
        <v>2187058.9321319014</v>
      </c>
      <c r="CK25" s="421">
        <v>-1911323</v>
      </c>
      <c r="CL25" s="421">
        <v>278787.5502</v>
      </c>
      <c r="CM25" s="421">
        <v>185217.47587999998</v>
      </c>
      <c r="CN25" s="421">
        <v>93570.07432000001</v>
      </c>
      <c r="CO25" s="419"/>
      <c r="CP25" s="419"/>
      <c r="CQ25" s="419"/>
      <c r="CR25" s="171">
        <v>2781</v>
      </c>
    </row>
    <row r="26" spans="1:96" ht="9.75">
      <c r="A26" s="203">
        <v>86</v>
      </c>
      <c r="B26" s="203" t="s">
        <v>82</v>
      </c>
      <c r="C26" s="421">
        <v>8175</v>
      </c>
      <c r="D26" s="419"/>
      <c r="E26" s="419"/>
      <c r="F26" s="419"/>
      <c r="G26" s="419"/>
      <c r="H26" s="500">
        <v>4291.05</v>
      </c>
      <c r="I26" s="419"/>
      <c r="J26" s="419"/>
      <c r="K26" s="419"/>
      <c r="L26" s="419"/>
      <c r="M26" s="419"/>
      <c r="N26" s="419"/>
      <c r="O26" s="419"/>
      <c r="P26" s="419"/>
      <c r="Q26" s="421">
        <v>414</v>
      </c>
      <c r="R26" s="421">
        <v>98</v>
      </c>
      <c r="S26" s="421">
        <v>676</v>
      </c>
      <c r="T26" s="421">
        <v>323</v>
      </c>
      <c r="U26" s="421">
        <v>288</v>
      </c>
      <c r="V26" s="421">
        <v>4528</v>
      </c>
      <c r="W26" s="421">
        <v>1135</v>
      </c>
      <c r="X26" s="421">
        <v>494</v>
      </c>
      <c r="Y26" s="421">
        <v>219</v>
      </c>
      <c r="Z26" s="419"/>
      <c r="AA26" s="419"/>
      <c r="AB26" s="419"/>
      <c r="AC26" s="419"/>
      <c r="AD26" s="419"/>
      <c r="AE26" s="422">
        <v>0.9733560630690185</v>
      </c>
      <c r="AF26" s="421">
        <v>10580033.757572463</v>
      </c>
      <c r="AG26" s="420">
        <v>284</v>
      </c>
      <c r="AH26" s="420">
        <v>4021</v>
      </c>
      <c r="AJ26" s="420">
        <v>263</v>
      </c>
      <c r="AK26" s="420">
        <v>0.03217125382262997</v>
      </c>
      <c r="AM26" s="420">
        <v>0</v>
      </c>
      <c r="AN26" s="420">
        <v>33</v>
      </c>
      <c r="AP26" s="420">
        <v>0</v>
      </c>
      <c r="AQ26" s="420">
        <v>0</v>
      </c>
      <c r="AR26" s="420">
        <v>389.42</v>
      </c>
      <c r="AU26" s="420">
        <v>370</v>
      </c>
      <c r="AV26" s="420">
        <v>2679</v>
      </c>
      <c r="AW26" s="420">
        <v>0.13811123553564764</v>
      </c>
      <c r="AY26" s="420">
        <v>0</v>
      </c>
      <c r="AZ26" s="421">
        <v>2009</v>
      </c>
      <c r="BA26" s="420">
        <v>3671</v>
      </c>
      <c r="BB26" s="420">
        <v>0.5472623263415963</v>
      </c>
      <c r="BD26" s="420">
        <v>0</v>
      </c>
      <c r="BE26" s="420">
        <v>0</v>
      </c>
      <c r="BF26" s="421">
        <v>0</v>
      </c>
      <c r="BG26" s="421">
        <v>0</v>
      </c>
      <c r="BH26" s="419"/>
      <c r="BI26" s="421">
        <v>0</v>
      </c>
      <c r="BJ26" s="419"/>
      <c r="BK26" s="421">
        <v>2943</v>
      </c>
      <c r="BL26" s="421">
        <v>50241</v>
      </c>
      <c r="BM26" s="421">
        <v>-258267.43145</v>
      </c>
      <c r="BN26" s="419"/>
      <c r="BO26" s="421">
        <v>26314.203572351485</v>
      </c>
      <c r="BP26" s="421">
        <v>684929</v>
      </c>
      <c r="BQ26" s="421">
        <v>219405</v>
      </c>
      <c r="BR26" s="421">
        <v>453618.33415046043</v>
      </c>
      <c r="BS26" s="421">
        <v>11746.726739898262</v>
      </c>
      <c r="BT26" s="421">
        <v>84479.08494531004</v>
      </c>
      <c r="BU26" s="421">
        <v>176088.1724966164</v>
      </c>
      <c r="BV26" s="421">
        <v>436966.1327736365</v>
      </c>
      <c r="BW26" s="421">
        <v>725646.8696418864</v>
      </c>
      <c r="BX26" s="421">
        <v>189210.61735064804</v>
      </c>
      <c r="BY26" s="421">
        <v>336533.31482467405</v>
      </c>
      <c r="BZ26" s="419"/>
      <c r="CA26" s="421">
        <v>29652.068323478816</v>
      </c>
      <c r="CB26" s="419"/>
      <c r="CC26" s="419"/>
      <c r="CD26" s="419"/>
      <c r="CE26" s="421">
        <v>442703.5698632026</v>
      </c>
      <c r="CF26" s="421">
        <v>278593.2552158483</v>
      </c>
      <c r="CG26" s="421">
        <v>346080.92179666157</v>
      </c>
      <c r="CH26" s="421">
        <v>-38349.26009483079</v>
      </c>
      <c r="CI26" s="419"/>
      <c r="CJ26" s="421">
        <v>3143678.793439131</v>
      </c>
      <c r="CK26" s="421">
        <v>-1024987</v>
      </c>
      <c r="CL26" s="421">
        <v>449070.7772</v>
      </c>
      <c r="CM26" s="421">
        <v>1540746.485</v>
      </c>
      <c r="CN26" s="421">
        <v>-1091675.7078</v>
      </c>
      <c r="CO26" s="419"/>
      <c r="CP26" s="419"/>
      <c r="CQ26" s="419"/>
      <c r="CR26" s="171">
        <v>2287</v>
      </c>
    </row>
    <row r="27" spans="1:96" ht="9.75">
      <c r="A27" s="203">
        <v>111</v>
      </c>
      <c r="B27" s="203" t="s">
        <v>83</v>
      </c>
      <c r="C27" s="421">
        <v>18497</v>
      </c>
      <c r="D27" s="419"/>
      <c r="E27" s="419"/>
      <c r="F27" s="419"/>
      <c r="G27" s="419"/>
      <c r="H27" s="500">
        <v>4291.05</v>
      </c>
      <c r="I27" s="419"/>
      <c r="J27" s="419"/>
      <c r="K27" s="419"/>
      <c r="L27" s="419"/>
      <c r="M27" s="419"/>
      <c r="N27" s="419"/>
      <c r="O27" s="419"/>
      <c r="P27" s="419"/>
      <c r="Q27" s="421">
        <v>646</v>
      </c>
      <c r="R27" s="421">
        <v>143</v>
      </c>
      <c r="S27" s="421">
        <v>914</v>
      </c>
      <c r="T27" s="421">
        <v>509</v>
      </c>
      <c r="U27" s="421">
        <v>573</v>
      </c>
      <c r="V27" s="421">
        <v>9211</v>
      </c>
      <c r="W27" s="421">
        <v>3609</v>
      </c>
      <c r="X27" s="421">
        <v>2107</v>
      </c>
      <c r="Y27" s="421">
        <v>785</v>
      </c>
      <c r="Z27" s="419"/>
      <c r="AA27" s="419"/>
      <c r="AB27" s="419"/>
      <c r="AC27" s="419"/>
      <c r="AD27" s="419"/>
      <c r="AE27" s="422">
        <v>1.420479603005425</v>
      </c>
      <c r="AF27" s="421">
        <v>34935249.64670555</v>
      </c>
      <c r="AG27" s="420">
        <v>1367</v>
      </c>
      <c r="AH27" s="420">
        <v>7939</v>
      </c>
      <c r="AJ27" s="420">
        <v>725</v>
      </c>
      <c r="AK27" s="420">
        <v>0.03919554522354977</v>
      </c>
      <c r="AM27" s="420">
        <v>0</v>
      </c>
      <c r="AN27" s="420">
        <v>45</v>
      </c>
      <c r="AP27" s="420">
        <v>0</v>
      </c>
      <c r="AQ27" s="420">
        <v>0</v>
      </c>
      <c r="AR27" s="420">
        <v>675.99</v>
      </c>
      <c r="AU27" s="420">
        <v>852</v>
      </c>
      <c r="AV27" s="420">
        <v>4620</v>
      </c>
      <c r="AW27" s="420">
        <v>0.18441558441558442</v>
      </c>
      <c r="AY27" s="420">
        <v>0</v>
      </c>
      <c r="AZ27" s="421">
        <v>6199</v>
      </c>
      <c r="BA27" s="420">
        <v>6556</v>
      </c>
      <c r="BB27" s="420">
        <v>0.9455460646735815</v>
      </c>
      <c r="BD27" s="420">
        <v>0</v>
      </c>
      <c r="BE27" s="420">
        <v>1</v>
      </c>
      <c r="BF27" s="421">
        <v>0</v>
      </c>
      <c r="BG27" s="421">
        <v>0</v>
      </c>
      <c r="BH27" s="419"/>
      <c r="BI27" s="421">
        <v>0</v>
      </c>
      <c r="BJ27" s="419"/>
      <c r="BK27" s="421">
        <v>6658.92</v>
      </c>
      <c r="BL27" s="421">
        <v>751929</v>
      </c>
      <c r="BM27" s="421">
        <v>-1136141.1575</v>
      </c>
      <c r="BN27" s="419"/>
      <c r="BO27" s="421">
        <v>-211195.58279307187</v>
      </c>
      <c r="BP27" s="421">
        <v>1456682</v>
      </c>
      <c r="BQ27" s="421">
        <v>464204</v>
      </c>
      <c r="BR27" s="421">
        <v>1094866.502573506</v>
      </c>
      <c r="BS27" s="421">
        <v>51131.63424286549</v>
      </c>
      <c r="BT27" s="421">
        <v>176358.02767384014</v>
      </c>
      <c r="BU27" s="421">
        <v>602628.2312042551</v>
      </c>
      <c r="BV27" s="421">
        <v>940187.9911416231</v>
      </c>
      <c r="BW27" s="421">
        <v>1578097.1405111526</v>
      </c>
      <c r="BX27" s="421">
        <v>472697.7859773661</v>
      </c>
      <c r="BY27" s="421">
        <v>815657.8724326619</v>
      </c>
      <c r="BZ27" s="419"/>
      <c r="CA27" s="421">
        <v>199714.13222891683</v>
      </c>
      <c r="CB27" s="419"/>
      <c r="CC27" s="419"/>
      <c r="CD27" s="419"/>
      <c r="CE27" s="421">
        <v>1054434.0779268781</v>
      </c>
      <c r="CF27" s="421">
        <v>611502.7101607496</v>
      </c>
      <c r="CG27" s="421">
        <v>757134.259213572</v>
      </c>
      <c r="CH27" s="421">
        <v>-83717.53435018005</v>
      </c>
      <c r="CI27" s="419"/>
      <c r="CJ27" s="421">
        <v>9195659.264697773</v>
      </c>
      <c r="CK27" s="421">
        <v>-2686382</v>
      </c>
      <c r="CL27" s="421">
        <v>547067.4702000001</v>
      </c>
      <c r="CM27" s="421">
        <v>310206.10972000007</v>
      </c>
      <c r="CN27" s="421">
        <v>236861.36048000003</v>
      </c>
      <c r="CO27" s="419"/>
      <c r="CP27" s="419"/>
      <c r="CQ27" s="419"/>
      <c r="CR27" s="171">
        <v>4094</v>
      </c>
    </row>
    <row r="28" spans="1:96" ht="9.75">
      <c r="A28" s="203">
        <v>90</v>
      </c>
      <c r="B28" s="203" t="s">
        <v>84</v>
      </c>
      <c r="C28" s="421">
        <v>3196</v>
      </c>
      <c r="D28" s="419"/>
      <c r="E28" s="419"/>
      <c r="F28" s="419"/>
      <c r="G28" s="419"/>
      <c r="H28" s="500">
        <v>4291.05</v>
      </c>
      <c r="I28" s="419"/>
      <c r="J28" s="419"/>
      <c r="K28" s="419"/>
      <c r="L28" s="419"/>
      <c r="M28" s="419"/>
      <c r="N28" s="419"/>
      <c r="O28" s="419"/>
      <c r="P28" s="419"/>
      <c r="Q28" s="421">
        <v>80</v>
      </c>
      <c r="R28" s="421">
        <v>25</v>
      </c>
      <c r="S28" s="421">
        <v>170</v>
      </c>
      <c r="T28" s="421">
        <v>78</v>
      </c>
      <c r="U28" s="421">
        <v>86</v>
      </c>
      <c r="V28" s="421">
        <v>1507</v>
      </c>
      <c r="W28" s="421">
        <v>668</v>
      </c>
      <c r="X28" s="421">
        <v>410</v>
      </c>
      <c r="Y28" s="421">
        <v>172</v>
      </c>
      <c r="Z28" s="419"/>
      <c r="AA28" s="419"/>
      <c r="AB28" s="419"/>
      <c r="AC28" s="419"/>
      <c r="AD28" s="419"/>
      <c r="AE28" s="422">
        <v>1.8319158209208823</v>
      </c>
      <c r="AF28" s="421">
        <v>7784663.368208499</v>
      </c>
      <c r="AG28" s="420">
        <v>183</v>
      </c>
      <c r="AH28" s="420">
        <v>1246</v>
      </c>
      <c r="AJ28" s="420">
        <v>80</v>
      </c>
      <c r="AK28" s="420">
        <v>0.025031289111389236</v>
      </c>
      <c r="AM28" s="420">
        <v>0</v>
      </c>
      <c r="AN28" s="420">
        <v>9</v>
      </c>
      <c r="AP28" s="420">
        <v>0</v>
      </c>
      <c r="AQ28" s="420">
        <v>0</v>
      </c>
      <c r="AR28" s="420">
        <v>1029.96</v>
      </c>
      <c r="AU28" s="420">
        <v>125</v>
      </c>
      <c r="AV28" s="420">
        <v>719</v>
      </c>
      <c r="AW28" s="420">
        <v>0.17385257301808066</v>
      </c>
      <c r="AY28" s="420">
        <v>0.7919</v>
      </c>
      <c r="AZ28" s="421">
        <v>1031</v>
      </c>
      <c r="BA28" s="420">
        <v>1029</v>
      </c>
      <c r="BB28" s="420">
        <v>1.0019436345966959</v>
      </c>
      <c r="BD28" s="420">
        <v>0</v>
      </c>
      <c r="BE28" s="420">
        <v>0</v>
      </c>
      <c r="BF28" s="421">
        <v>0</v>
      </c>
      <c r="BG28" s="421">
        <v>0</v>
      </c>
      <c r="BH28" s="419"/>
      <c r="BI28" s="421">
        <v>0</v>
      </c>
      <c r="BJ28" s="419"/>
      <c r="BK28" s="421">
        <v>1150.56</v>
      </c>
      <c r="BL28" s="421">
        <v>-138429</v>
      </c>
      <c r="BM28" s="421">
        <v>-111110.97</v>
      </c>
      <c r="BN28" s="419"/>
      <c r="BO28" s="421">
        <v>50519.79779796116</v>
      </c>
      <c r="BP28" s="421">
        <v>414960</v>
      </c>
      <c r="BQ28" s="421">
        <v>115556</v>
      </c>
      <c r="BR28" s="421">
        <v>307791.1445000703</v>
      </c>
      <c r="BS28" s="421">
        <v>16925.36445599054</v>
      </c>
      <c r="BT28" s="421">
        <v>55473.379691860675</v>
      </c>
      <c r="BU28" s="421">
        <v>155595.83504072958</v>
      </c>
      <c r="BV28" s="421">
        <v>191991.19827667397</v>
      </c>
      <c r="BW28" s="421">
        <v>291574.7104154343</v>
      </c>
      <c r="BX28" s="421">
        <v>90136.82512467867</v>
      </c>
      <c r="BY28" s="421">
        <v>169233.90248930658</v>
      </c>
      <c r="BZ28" s="419"/>
      <c r="CA28" s="421">
        <v>-60612.37068334714</v>
      </c>
      <c r="CB28" s="419"/>
      <c r="CC28" s="419"/>
      <c r="CD28" s="419"/>
      <c r="CE28" s="421">
        <v>235908.47120660375</v>
      </c>
      <c r="CF28" s="421">
        <v>118060.74426738336</v>
      </c>
      <c r="CG28" s="421">
        <v>141207.72238815855</v>
      </c>
      <c r="CH28" s="421">
        <v>-12980.423601841101</v>
      </c>
      <c r="CI28" s="419"/>
      <c r="CJ28" s="421">
        <v>1627585.9205298815</v>
      </c>
      <c r="CK28" s="421">
        <v>-239617</v>
      </c>
      <c r="CL28" s="421">
        <v>14904.44</v>
      </c>
      <c r="CM28" s="421">
        <v>48469.238880000004</v>
      </c>
      <c r="CN28" s="421">
        <v>-33564.79888</v>
      </c>
      <c r="CO28" s="419"/>
      <c r="CP28" s="419"/>
      <c r="CQ28" s="419"/>
      <c r="CR28" s="171">
        <v>577</v>
      </c>
    </row>
    <row r="29" spans="1:96" ht="9.75">
      <c r="A29" s="203">
        <v>91</v>
      </c>
      <c r="B29" s="203" t="s">
        <v>85</v>
      </c>
      <c r="C29" s="421">
        <v>656920</v>
      </c>
      <c r="D29" s="419"/>
      <c r="E29" s="419"/>
      <c r="F29" s="419"/>
      <c r="G29" s="419"/>
      <c r="H29" s="500">
        <v>4291.05</v>
      </c>
      <c r="I29" s="419"/>
      <c r="J29" s="419"/>
      <c r="K29" s="419"/>
      <c r="L29" s="419"/>
      <c r="M29" s="419"/>
      <c r="N29" s="419"/>
      <c r="O29" s="419"/>
      <c r="P29" s="419"/>
      <c r="Q29" s="421">
        <v>38154</v>
      </c>
      <c r="R29" s="421">
        <v>6568</v>
      </c>
      <c r="S29" s="421">
        <v>37967</v>
      </c>
      <c r="T29" s="421">
        <v>16920</v>
      </c>
      <c r="U29" s="421">
        <v>16665</v>
      </c>
      <c r="V29" s="421">
        <v>426340</v>
      </c>
      <c r="W29" s="421">
        <v>63660</v>
      </c>
      <c r="X29" s="421">
        <v>36523</v>
      </c>
      <c r="Y29" s="421">
        <v>14123</v>
      </c>
      <c r="Z29" s="419"/>
      <c r="AA29" s="419"/>
      <c r="AB29" s="419"/>
      <c r="AC29" s="419"/>
      <c r="AD29" s="419"/>
      <c r="AE29" s="422">
        <v>0.7548712196311507</v>
      </c>
      <c r="AF29" s="421">
        <v>659345284.9172721</v>
      </c>
      <c r="AG29" s="420">
        <v>49702</v>
      </c>
      <c r="AH29" s="420">
        <v>350772</v>
      </c>
      <c r="AJ29" s="420">
        <v>109254</v>
      </c>
      <c r="AK29" s="420">
        <v>0.1663124885830847</v>
      </c>
      <c r="AM29" s="420">
        <v>1</v>
      </c>
      <c r="AN29" s="420">
        <v>36754</v>
      </c>
      <c r="AP29" s="420">
        <v>3</v>
      </c>
      <c r="AQ29" s="420">
        <v>1104</v>
      </c>
      <c r="AR29" s="420">
        <v>214.29</v>
      </c>
      <c r="AU29" s="420">
        <v>39116</v>
      </c>
      <c r="AV29" s="420">
        <v>241004</v>
      </c>
      <c r="AW29" s="420">
        <v>0.1623043600936084</v>
      </c>
      <c r="AY29" s="420">
        <v>0</v>
      </c>
      <c r="AZ29" s="421">
        <v>413677</v>
      </c>
      <c r="BA29" s="420">
        <v>321360</v>
      </c>
      <c r="BB29" s="420">
        <v>1.2872697286532238</v>
      </c>
      <c r="BD29" s="420">
        <v>0</v>
      </c>
      <c r="BE29" s="420">
        <v>63</v>
      </c>
      <c r="BF29" s="421">
        <v>0</v>
      </c>
      <c r="BG29" s="421">
        <v>0</v>
      </c>
      <c r="BH29" s="419"/>
      <c r="BI29" s="421">
        <v>0</v>
      </c>
      <c r="BJ29" s="419"/>
      <c r="BK29" s="421">
        <v>236491.19999999998</v>
      </c>
      <c r="BL29" s="421">
        <v>-6090483</v>
      </c>
      <c r="BM29" s="421">
        <v>-65381145.58555</v>
      </c>
      <c r="BN29" s="419"/>
      <c r="BO29" s="421">
        <v>-5538615.30365333</v>
      </c>
      <c r="BP29" s="421">
        <v>33023199</v>
      </c>
      <c r="BQ29" s="421">
        <v>13663332</v>
      </c>
      <c r="BR29" s="421">
        <v>32140867.169646222</v>
      </c>
      <c r="BS29" s="421">
        <v>1308957.284300828</v>
      </c>
      <c r="BT29" s="421">
        <v>-4477969.055873193</v>
      </c>
      <c r="BU29" s="421">
        <v>10724768.73021238</v>
      </c>
      <c r="BV29" s="421">
        <v>29262801.231433734</v>
      </c>
      <c r="BW29" s="421">
        <v>38415270.92514888</v>
      </c>
      <c r="BX29" s="421">
        <v>16686708.26220784</v>
      </c>
      <c r="BY29" s="421">
        <v>24888950.39224589</v>
      </c>
      <c r="BZ29" s="419"/>
      <c r="CA29" s="421">
        <v>-7089851.25581247</v>
      </c>
      <c r="CB29" s="419"/>
      <c r="CC29" s="419"/>
      <c r="CD29" s="419"/>
      <c r="CE29" s="421">
        <v>40187533.04303831</v>
      </c>
      <c r="CF29" s="421">
        <v>21222019.270415824</v>
      </c>
      <c r="CG29" s="421">
        <v>24768694.61940436</v>
      </c>
      <c r="CH29" s="421">
        <v>-3867591.6228921367</v>
      </c>
      <c r="CI29" s="419"/>
      <c r="CJ29" s="421">
        <v>-373619487.32824504</v>
      </c>
      <c r="CK29" s="421">
        <v>27629939</v>
      </c>
      <c r="CL29" s="421">
        <v>6361364.036400001</v>
      </c>
      <c r="CM29" s="421">
        <v>94041881.82041998</v>
      </c>
      <c r="CN29" s="421">
        <v>-87680517.78401998</v>
      </c>
      <c r="CO29" s="419"/>
      <c r="CP29" s="419"/>
      <c r="CQ29" s="419"/>
      <c r="CR29" s="171">
        <v>213149</v>
      </c>
    </row>
    <row r="30" spans="1:96" ht="9.75">
      <c r="A30" s="203">
        <v>97</v>
      </c>
      <c r="B30" s="203" t="s">
        <v>86</v>
      </c>
      <c r="C30" s="421">
        <v>2156</v>
      </c>
      <c r="D30" s="419"/>
      <c r="E30" s="419"/>
      <c r="F30" s="419"/>
      <c r="G30" s="419"/>
      <c r="H30" s="500">
        <v>4291.05</v>
      </c>
      <c r="I30" s="419"/>
      <c r="J30" s="419"/>
      <c r="K30" s="419"/>
      <c r="L30" s="419"/>
      <c r="M30" s="419"/>
      <c r="N30" s="419"/>
      <c r="O30" s="419"/>
      <c r="P30" s="419"/>
      <c r="Q30" s="421">
        <v>90</v>
      </c>
      <c r="R30" s="421">
        <v>14</v>
      </c>
      <c r="S30" s="421">
        <v>102</v>
      </c>
      <c r="T30" s="421">
        <v>44</v>
      </c>
      <c r="U30" s="421">
        <v>39</v>
      </c>
      <c r="V30" s="421">
        <v>1070</v>
      </c>
      <c r="W30" s="421">
        <v>466</v>
      </c>
      <c r="X30" s="421">
        <v>223</v>
      </c>
      <c r="Y30" s="421">
        <v>108</v>
      </c>
      <c r="Z30" s="419"/>
      <c r="AA30" s="419"/>
      <c r="AB30" s="419"/>
      <c r="AC30" s="419"/>
      <c r="AD30" s="419"/>
      <c r="AE30" s="422">
        <v>1.3861347688359142</v>
      </c>
      <c r="AF30" s="421">
        <v>3973578.229743586</v>
      </c>
      <c r="AG30" s="420">
        <v>106</v>
      </c>
      <c r="AH30" s="420">
        <v>868</v>
      </c>
      <c r="AJ30" s="420">
        <v>58</v>
      </c>
      <c r="AK30" s="420">
        <v>0.026901669758812616</v>
      </c>
      <c r="AM30" s="420">
        <v>0</v>
      </c>
      <c r="AN30" s="420">
        <v>8</v>
      </c>
      <c r="AP30" s="420">
        <v>3</v>
      </c>
      <c r="AQ30" s="420">
        <v>1679</v>
      </c>
      <c r="AR30" s="420">
        <v>465.21</v>
      </c>
      <c r="AU30" s="420">
        <v>79</v>
      </c>
      <c r="AV30" s="420">
        <v>501</v>
      </c>
      <c r="AW30" s="420">
        <v>0.15768463073852296</v>
      </c>
      <c r="AY30" s="420">
        <v>0</v>
      </c>
      <c r="AZ30" s="421">
        <v>590</v>
      </c>
      <c r="BA30" s="420">
        <v>735</v>
      </c>
      <c r="BB30" s="420">
        <v>0.8027210884353742</v>
      </c>
      <c r="BD30" s="420">
        <v>0</v>
      </c>
      <c r="BE30" s="420">
        <v>0</v>
      </c>
      <c r="BF30" s="421">
        <v>0</v>
      </c>
      <c r="BG30" s="421">
        <v>0</v>
      </c>
      <c r="BH30" s="419"/>
      <c r="BI30" s="421">
        <v>0</v>
      </c>
      <c r="BJ30" s="419"/>
      <c r="BK30" s="421">
        <v>776.16</v>
      </c>
      <c r="BL30" s="421">
        <v>79164</v>
      </c>
      <c r="BM30" s="421">
        <v>-70168.61</v>
      </c>
      <c r="BN30" s="419"/>
      <c r="BO30" s="421">
        <v>86034.37929508742</v>
      </c>
      <c r="BP30" s="421">
        <v>269011</v>
      </c>
      <c r="BQ30" s="421">
        <v>77732</v>
      </c>
      <c r="BR30" s="421">
        <v>190041.25671568306</v>
      </c>
      <c r="BS30" s="421">
        <v>10897.25655848356</v>
      </c>
      <c r="BT30" s="421">
        <v>25535.254371790128</v>
      </c>
      <c r="BU30" s="421">
        <v>85775.7317094981</v>
      </c>
      <c r="BV30" s="421">
        <v>128813.02749965513</v>
      </c>
      <c r="BW30" s="421">
        <v>190256.9129628398</v>
      </c>
      <c r="BX30" s="421">
        <v>60157.40708463334</v>
      </c>
      <c r="BY30" s="421">
        <v>104659.8190082085</v>
      </c>
      <c r="BZ30" s="419"/>
      <c r="CA30" s="421">
        <v>1220.7786941067607</v>
      </c>
      <c r="CB30" s="419"/>
      <c r="CC30" s="419"/>
      <c r="CD30" s="419"/>
      <c r="CE30" s="421">
        <v>146024.33641927896</v>
      </c>
      <c r="CF30" s="421">
        <v>77665.85978090546</v>
      </c>
      <c r="CG30" s="421">
        <v>91486.68173990348</v>
      </c>
      <c r="CH30" s="421">
        <v>-8740.785060508064</v>
      </c>
      <c r="CI30" s="419"/>
      <c r="CJ30" s="421">
        <v>1397999.6887218528</v>
      </c>
      <c r="CK30" s="421">
        <v>-546383</v>
      </c>
      <c r="CL30" s="421">
        <v>131159.07200000001</v>
      </c>
      <c r="CM30" s="421">
        <v>134095.24668</v>
      </c>
      <c r="CN30" s="421">
        <v>-2936.1746799999964</v>
      </c>
      <c r="CO30" s="419"/>
      <c r="CP30" s="419"/>
      <c r="CQ30" s="419"/>
      <c r="CR30" s="171">
        <v>417</v>
      </c>
    </row>
    <row r="31" spans="1:96" ht="9.75">
      <c r="A31" s="203">
        <v>98</v>
      </c>
      <c r="B31" s="203" t="s">
        <v>87</v>
      </c>
      <c r="C31" s="421">
        <v>23251</v>
      </c>
      <c r="D31" s="419"/>
      <c r="E31" s="419"/>
      <c r="F31" s="419"/>
      <c r="G31" s="419"/>
      <c r="H31" s="500">
        <v>4291.05</v>
      </c>
      <c r="I31" s="419"/>
      <c r="J31" s="419"/>
      <c r="K31" s="419"/>
      <c r="L31" s="419"/>
      <c r="M31" s="419"/>
      <c r="N31" s="419"/>
      <c r="O31" s="419"/>
      <c r="P31" s="419"/>
      <c r="Q31" s="421">
        <v>1230</v>
      </c>
      <c r="R31" s="421">
        <v>282</v>
      </c>
      <c r="S31" s="421">
        <v>1791</v>
      </c>
      <c r="T31" s="421">
        <v>998</v>
      </c>
      <c r="U31" s="421">
        <v>898</v>
      </c>
      <c r="V31" s="421">
        <v>12160</v>
      </c>
      <c r="W31" s="421">
        <v>3398</v>
      </c>
      <c r="X31" s="421">
        <v>1821</v>
      </c>
      <c r="Y31" s="421">
        <v>673</v>
      </c>
      <c r="Z31" s="419"/>
      <c r="AA31" s="419"/>
      <c r="AB31" s="419"/>
      <c r="AC31" s="419"/>
      <c r="AD31" s="419"/>
      <c r="AE31" s="422">
        <v>1.039945182003767</v>
      </c>
      <c r="AF31" s="421">
        <v>32149900.69618848</v>
      </c>
      <c r="AG31" s="420">
        <v>1220</v>
      </c>
      <c r="AH31" s="420">
        <v>10723</v>
      </c>
      <c r="AJ31" s="420">
        <v>645</v>
      </c>
      <c r="AK31" s="420">
        <v>0.027740742333663068</v>
      </c>
      <c r="AM31" s="420">
        <v>0</v>
      </c>
      <c r="AN31" s="420">
        <v>73</v>
      </c>
      <c r="AP31" s="420">
        <v>0</v>
      </c>
      <c r="AQ31" s="420">
        <v>0</v>
      </c>
      <c r="AR31" s="420">
        <v>651.23</v>
      </c>
      <c r="AU31" s="420">
        <v>892</v>
      </c>
      <c r="AV31" s="420">
        <v>7166</v>
      </c>
      <c r="AW31" s="420">
        <v>0.12447669550655875</v>
      </c>
      <c r="AY31" s="420">
        <v>0</v>
      </c>
      <c r="AZ31" s="421">
        <v>6209</v>
      </c>
      <c r="BA31" s="420">
        <v>9651</v>
      </c>
      <c r="BB31" s="420">
        <v>0.6433530204123925</v>
      </c>
      <c r="BD31" s="420">
        <v>0</v>
      </c>
      <c r="BE31" s="420">
        <v>0</v>
      </c>
      <c r="BF31" s="421">
        <v>0</v>
      </c>
      <c r="BG31" s="421">
        <v>0</v>
      </c>
      <c r="BH31" s="419"/>
      <c r="BI31" s="421">
        <v>0</v>
      </c>
      <c r="BJ31" s="419"/>
      <c r="BK31" s="421">
        <v>8370.36</v>
      </c>
      <c r="BL31" s="421">
        <v>560493</v>
      </c>
      <c r="BM31" s="421">
        <v>-837822.735</v>
      </c>
      <c r="BN31" s="419"/>
      <c r="BO31" s="421">
        <v>-44.645317622460425</v>
      </c>
      <c r="BP31" s="421">
        <v>1736483</v>
      </c>
      <c r="BQ31" s="421">
        <v>558359</v>
      </c>
      <c r="BR31" s="421">
        <v>1223351.0324556248</v>
      </c>
      <c r="BS31" s="421">
        <v>36326.02643451036</v>
      </c>
      <c r="BT31" s="421">
        <v>-13553.016595419416</v>
      </c>
      <c r="BU31" s="421">
        <v>554073.5128430926</v>
      </c>
      <c r="BV31" s="421">
        <v>1083021.0232353462</v>
      </c>
      <c r="BW31" s="421">
        <v>1830343.4831230547</v>
      </c>
      <c r="BX31" s="421">
        <v>480880.2445510101</v>
      </c>
      <c r="BY31" s="421">
        <v>881083.6226666378</v>
      </c>
      <c r="BZ31" s="419"/>
      <c r="CA31" s="421">
        <v>61503.497005647485</v>
      </c>
      <c r="CB31" s="419"/>
      <c r="CC31" s="419"/>
      <c r="CD31" s="419"/>
      <c r="CE31" s="421">
        <v>1130665.4157508614</v>
      </c>
      <c r="CF31" s="421">
        <v>692413.0360530199</v>
      </c>
      <c r="CG31" s="421">
        <v>889470.7711785432</v>
      </c>
      <c r="CH31" s="421">
        <v>-110606.93905888991</v>
      </c>
      <c r="CI31" s="419"/>
      <c r="CJ31" s="421">
        <v>6339330.321347286</v>
      </c>
      <c r="CK31" s="421">
        <v>-4608213</v>
      </c>
      <c r="CL31" s="421">
        <v>1195708.699</v>
      </c>
      <c r="CM31" s="421">
        <v>3647845.295116</v>
      </c>
      <c r="CN31" s="421">
        <v>-2452136.596116</v>
      </c>
      <c r="CO31" s="419"/>
      <c r="CP31" s="419"/>
      <c r="CQ31" s="419"/>
      <c r="CR31" s="171">
        <v>6681</v>
      </c>
    </row>
    <row r="32" spans="1:96" ht="9.75">
      <c r="A32" s="203">
        <v>102</v>
      </c>
      <c r="B32" s="203" t="s">
        <v>88</v>
      </c>
      <c r="C32" s="421">
        <v>9937</v>
      </c>
      <c r="D32" s="419"/>
      <c r="E32" s="419"/>
      <c r="F32" s="419"/>
      <c r="G32" s="419"/>
      <c r="H32" s="500">
        <v>4291.05</v>
      </c>
      <c r="I32" s="419"/>
      <c r="J32" s="419"/>
      <c r="K32" s="419"/>
      <c r="L32" s="419"/>
      <c r="M32" s="419"/>
      <c r="N32" s="419"/>
      <c r="O32" s="419"/>
      <c r="P32" s="419"/>
      <c r="Q32" s="421">
        <v>497</v>
      </c>
      <c r="R32" s="421">
        <v>103</v>
      </c>
      <c r="S32" s="421">
        <v>599</v>
      </c>
      <c r="T32" s="421">
        <v>310</v>
      </c>
      <c r="U32" s="421">
        <v>301</v>
      </c>
      <c r="V32" s="421">
        <v>5201</v>
      </c>
      <c r="W32" s="421">
        <v>1593</v>
      </c>
      <c r="X32" s="421">
        <v>945</v>
      </c>
      <c r="Y32" s="421">
        <v>388</v>
      </c>
      <c r="Z32" s="419"/>
      <c r="AA32" s="419"/>
      <c r="AB32" s="419"/>
      <c r="AC32" s="419"/>
      <c r="AD32" s="419"/>
      <c r="AE32" s="422">
        <v>1.0630997087128151</v>
      </c>
      <c r="AF32" s="421">
        <v>14046135.12860809</v>
      </c>
      <c r="AG32" s="420">
        <v>406</v>
      </c>
      <c r="AH32" s="420">
        <v>4397</v>
      </c>
      <c r="AJ32" s="420">
        <v>397</v>
      </c>
      <c r="AK32" s="420">
        <v>0.03995169568280165</v>
      </c>
      <c r="AM32" s="420">
        <v>0</v>
      </c>
      <c r="AN32" s="420">
        <v>17</v>
      </c>
      <c r="AP32" s="420">
        <v>0</v>
      </c>
      <c r="AQ32" s="420">
        <v>0</v>
      </c>
      <c r="AR32" s="420">
        <v>532.61</v>
      </c>
      <c r="AU32" s="420">
        <v>409</v>
      </c>
      <c r="AV32" s="420">
        <v>2727</v>
      </c>
      <c r="AW32" s="420">
        <v>0.14998166483314998</v>
      </c>
      <c r="AY32" s="420">
        <v>0</v>
      </c>
      <c r="AZ32" s="421">
        <v>4218</v>
      </c>
      <c r="BA32" s="420">
        <v>4083</v>
      </c>
      <c r="BB32" s="420">
        <v>1.0330639235855987</v>
      </c>
      <c r="BD32" s="420">
        <v>0</v>
      </c>
      <c r="BE32" s="420">
        <v>0</v>
      </c>
      <c r="BF32" s="421">
        <v>0</v>
      </c>
      <c r="BG32" s="421">
        <v>0</v>
      </c>
      <c r="BH32" s="419"/>
      <c r="BI32" s="421">
        <v>0</v>
      </c>
      <c r="BJ32" s="419"/>
      <c r="BK32" s="421">
        <v>3577.3199999999997</v>
      </c>
      <c r="BL32" s="421">
        <v>10018</v>
      </c>
      <c r="BM32" s="421">
        <v>-296749.61</v>
      </c>
      <c r="BN32" s="419"/>
      <c r="BO32" s="421">
        <v>66100.35522380471</v>
      </c>
      <c r="BP32" s="421">
        <v>957097</v>
      </c>
      <c r="BQ32" s="421">
        <v>307625</v>
      </c>
      <c r="BR32" s="421">
        <v>775785.650171192</v>
      </c>
      <c r="BS32" s="421">
        <v>36395.60139388675</v>
      </c>
      <c r="BT32" s="421">
        <v>60999.028802497414</v>
      </c>
      <c r="BU32" s="421">
        <v>342628.85533858417</v>
      </c>
      <c r="BV32" s="421">
        <v>602833.9381420163</v>
      </c>
      <c r="BW32" s="421">
        <v>951555.9253372285</v>
      </c>
      <c r="BX32" s="421">
        <v>298048.6815636204</v>
      </c>
      <c r="BY32" s="421">
        <v>488371.1271958896</v>
      </c>
      <c r="BZ32" s="419"/>
      <c r="CA32" s="421">
        <v>-3513.2418305016763</v>
      </c>
      <c r="CB32" s="419"/>
      <c r="CC32" s="419"/>
      <c r="CD32" s="419"/>
      <c r="CE32" s="421">
        <v>660127.5403372449</v>
      </c>
      <c r="CF32" s="421">
        <v>374531.5869574559</v>
      </c>
      <c r="CG32" s="421">
        <v>451746.0302916338</v>
      </c>
      <c r="CH32" s="421">
        <v>-40327.368288060345</v>
      </c>
      <c r="CI32" s="419"/>
      <c r="CJ32" s="421">
        <v>7142364.648313372</v>
      </c>
      <c r="CK32" s="421">
        <v>811647</v>
      </c>
      <c r="CL32" s="421">
        <v>365233.30220000003</v>
      </c>
      <c r="CM32" s="421">
        <v>103690.18908000001</v>
      </c>
      <c r="CN32" s="421">
        <v>261543.11312000002</v>
      </c>
      <c r="CO32" s="419"/>
      <c r="CP32" s="419"/>
      <c r="CQ32" s="419"/>
      <c r="CR32" s="171">
        <v>2665</v>
      </c>
    </row>
    <row r="33" spans="1:96" ht="9.75">
      <c r="A33" s="203">
        <v>103</v>
      </c>
      <c r="B33" s="203" t="s">
        <v>89</v>
      </c>
      <c r="C33" s="421">
        <v>2174</v>
      </c>
      <c r="D33" s="419"/>
      <c r="E33" s="419"/>
      <c r="F33" s="419"/>
      <c r="G33" s="419"/>
      <c r="H33" s="500">
        <v>4291.05</v>
      </c>
      <c r="I33" s="419"/>
      <c r="J33" s="419"/>
      <c r="K33" s="419"/>
      <c r="L33" s="419"/>
      <c r="M33" s="419"/>
      <c r="N33" s="419"/>
      <c r="O33" s="419"/>
      <c r="P33" s="419"/>
      <c r="Q33" s="421">
        <v>95</v>
      </c>
      <c r="R33" s="421">
        <v>21</v>
      </c>
      <c r="S33" s="421">
        <v>145</v>
      </c>
      <c r="T33" s="421">
        <v>78</v>
      </c>
      <c r="U33" s="421">
        <v>68</v>
      </c>
      <c r="V33" s="421">
        <v>1126</v>
      </c>
      <c r="W33" s="421">
        <v>383</v>
      </c>
      <c r="X33" s="421">
        <v>178</v>
      </c>
      <c r="Y33" s="421">
        <v>80</v>
      </c>
      <c r="Z33" s="419"/>
      <c r="AA33" s="419"/>
      <c r="AB33" s="419"/>
      <c r="AC33" s="419"/>
      <c r="AD33" s="419"/>
      <c r="AE33" s="422">
        <v>1.1042967665667218</v>
      </c>
      <c r="AF33" s="421">
        <v>3192073.5846689646</v>
      </c>
      <c r="AG33" s="420">
        <v>112</v>
      </c>
      <c r="AH33" s="420">
        <v>993</v>
      </c>
      <c r="AJ33" s="420">
        <v>37</v>
      </c>
      <c r="AK33" s="420">
        <v>0.01701931922723091</v>
      </c>
      <c r="AM33" s="420">
        <v>0</v>
      </c>
      <c r="AN33" s="420">
        <v>2</v>
      </c>
      <c r="AP33" s="420">
        <v>0</v>
      </c>
      <c r="AQ33" s="420">
        <v>0</v>
      </c>
      <c r="AR33" s="420">
        <v>147.96</v>
      </c>
      <c r="AU33" s="420">
        <v>82</v>
      </c>
      <c r="AV33" s="420">
        <v>597</v>
      </c>
      <c r="AW33" s="420">
        <v>0.1373534338358459</v>
      </c>
      <c r="AY33" s="420">
        <v>0</v>
      </c>
      <c r="AZ33" s="421">
        <v>568</v>
      </c>
      <c r="BA33" s="420">
        <v>874</v>
      </c>
      <c r="BB33" s="420">
        <v>0.6498855835240275</v>
      </c>
      <c r="BD33" s="420">
        <v>0</v>
      </c>
      <c r="BE33" s="420">
        <v>0</v>
      </c>
      <c r="BF33" s="421">
        <v>0</v>
      </c>
      <c r="BG33" s="421">
        <v>0</v>
      </c>
      <c r="BH33" s="419"/>
      <c r="BI33" s="421">
        <v>0</v>
      </c>
      <c r="BJ33" s="419"/>
      <c r="BK33" s="421">
        <v>782.64</v>
      </c>
      <c r="BL33" s="421">
        <v>-12271</v>
      </c>
      <c r="BM33" s="421">
        <v>-83695.4</v>
      </c>
      <c r="BN33" s="419"/>
      <c r="BO33" s="421">
        <v>46918.21716419887</v>
      </c>
      <c r="BP33" s="421">
        <v>237213</v>
      </c>
      <c r="BQ33" s="421">
        <v>76959</v>
      </c>
      <c r="BR33" s="421">
        <v>185381.41894099</v>
      </c>
      <c r="BS33" s="421">
        <v>8896.713697212512</v>
      </c>
      <c r="BT33" s="421">
        <v>23020.65466639808</v>
      </c>
      <c r="BU33" s="421">
        <v>81482.30875896385</v>
      </c>
      <c r="BV33" s="421">
        <v>137785.34401540196</v>
      </c>
      <c r="BW33" s="421">
        <v>228247.47389965283</v>
      </c>
      <c r="BX33" s="421">
        <v>63114.29034411508</v>
      </c>
      <c r="BY33" s="421">
        <v>116107.3790465076</v>
      </c>
      <c r="BZ33" s="419"/>
      <c r="CA33" s="421">
        <v>13758.340708318348</v>
      </c>
      <c r="CB33" s="419"/>
      <c r="CC33" s="419"/>
      <c r="CD33" s="419"/>
      <c r="CE33" s="421">
        <v>161350.573436172</v>
      </c>
      <c r="CF33" s="421">
        <v>88098.61592709021</v>
      </c>
      <c r="CG33" s="421">
        <v>103479.03022559501</v>
      </c>
      <c r="CH33" s="421">
        <v>-8657.74948696157</v>
      </c>
      <c r="CI33" s="419"/>
      <c r="CJ33" s="421">
        <v>1767069.6107513385</v>
      </c>
      <c r="CK33" s="421">
        <v>-578616</v>
      </c>
      <c r="CL33" s="421">
        <v>38826.0662</v>
      </c>
      <c r="CM33" s="421">
        <v>61108.204000000005</v>
      </c>
      <c r="CN33" s="421">
        <v>-22282.137800000004</v>
      </c>
      <c r="CO33" s="419"/>
      <c r="CP33" s="419"/>
      <c r="CQ33" s="419"/>
      <c r="CR33" s="171">
        <v>554</v>
      </c>
    </row>
    <row r="34" spans="1:96" ht="9.75">
      <c r="A34" s="203">
        <v>105</v>
      </c>
      <c r="B34" s="203" t="s">
        <v>90</v>
      </c>
      <c r="C34" s="421">
        <v>2199</v>
      </c>
      <c r="D34" s="419"/>
      <c r="E34" s="419"/>
      <c r="F34" s="419"/>
      <c r="G34" s="419"/>
      <c r="H34" s="500">
        <v>4291.05</v>
      </c>
      <c r="I34" s="419"/>
      <c r="J34" s="419"/>
      <c r="K34" s="419"/>
      <c r="L34" s="419"/>
      <c r="M34" s="419"/>
      <c r="N34" s="419"/>
      <c r="O34" s="419"/>
      <c r="P34" s="419"/>
      <c r="Q34" s="421">
        <v>74</v>
      </c>
      <c r="R34" s="421">
        <v>15</v>
      </c>
      <c r="S34" s="421">
        <v>83</v>
      </c>
      <c r="T34" s="421">
        <v>44</v>
      </c>
      <c r="U34" s="421">
        <v>44</v>
      </c>
      <c r="V34" s="421">
        <v>1026</v>
      </c>
      <c r="W34" s="421">
        <v>514</v>
      </c>
      <c r="X34" s="421">
        <v>286</v>
      </c>
      <c r="Y34" s="421">
        <v>113</v>
      </c>
      <c r="Z34" s="419"/>
      <c r="AA34" s="419"/>
      <c r="AB34" s="419"/>
      <c r="AC34" s="419"/>
      <c r="AD34" s="419"/>
      <c r="AE34" s="422">
        <v>1.8297057486827961</v>
      </c>
      <c r="AF34" s="421">
        <v>5349756.737271704</v>
      </c>
      <c r="AG34" s="420">
        <v>109</v>
      </c>
      <c r="AH34" s="420">
        <v>832</v>
      </c>
      <c r="AJ34" s="420">
        <v>38</v>
      </c>
      <c r="AK34" s="420">
        <v>0.017280582082764895</v>
      </c>
      <c r="AM34" s="420">
        <v>0</v>
      </c>
      <c r="AN34" s="420">
        <v>4</v>
      </c>
      <c r="AP34" s="420">
        <v>0</v>
      </c>
      <c r="AQ34" s="420">
        <v>0</v>
      </c>
      <c r="AR34" s="420">
        <v>1421.26</v>
      </c>
      <c r="AU34" s="420">
        <v>58</v>
      </c>
      <c r="AV34" s="420">
        <v>430</v>
      </c>
      <c r="AW34" s="420">
        <v>0.13488372093023257</v>
      </c>
      <c r="AY34" s="420">
        <v>1.5261</v>
      </c>
      <c r="AZ34" s="421">
        <v>574</v>
      </c>
      <c r="BA34" s="420">
        <v>723</v>
      </c>
      <c r="BB34" s="420">
        <v>0.7939142461964038</v>
      </c>
      <c r="BD34" s="420">
        <v>0</v>
      </c>
      <c r="BE34" s="420">
        <v>0</v>
      </c>
      <c r="BF34" s="421">
        <v>0</v>
      </c>
      <c r="BG34" s="421">
        <v>0</v>
      </c>
      <c r="BH34" s="419"/>
      <c r="BI34" s="421">
        <v>0</v>
      </c>
      <c r="BJ34" s="419"/>
      <c r="BK34" s="421">
        <v>791.64</v>
      </c>
      <c r="BL34" s="421">
        <v>22819</v>
      </c>
      <c r="BM34" s="421">
        <v>-60000.065</v>
      </c>
      <c r="BN34" s="419"/>
      <c r="BO34" s="421">
        <v>133478.1041463446</v>
      </c>
      <c r="BP34" s="421">
        <v>279305</v>
      </c>
      <c r="BQ34" s="421">
        <v>81640</v>
      </c>
      <c r="BR34" s="421">
        <v>204901.33930158522</v>
      </c>
      <c r="BS34" s="421">
        <v>13280.894779769194</v>
      </c>
      <c r="BT34" s="421">
        <v>45938.39271567553</v>
      </c>
      <c r="BU34" s="421">
        <v>110928.5401283251</v>
      </c>
      <c r="BV34" s="421">
        <v>130583.63289368991</v>
      </c>
      <c r="BW34" s="421">
        <v>213796.88144553293</v>
      </c>
      <c r="BX34" s="421">
        <v>64702.38056766983</v>
      </c>
      <c r="BY34" s="421">
        <v>116775.48090499833</v>
      </c>
      <c r="BZ34" s="419"/>
      <c r="CA34" s="421">
        <v>-15027.77627256823</v>
      </c>
      <c r="CB34" s="419"/>
      <c r="CC34" s="419"/>
      <c r="CD34" s="419"/>
      <c r="CE34" s="421">
        <v>151211.7921405517</v>
      </c>
      <c r="CF34" s="421">
        <v>78460.89323816945</v>
      </c>
      <c r="CG34" s="421">
        <v>97322.72146098758</v>
      </c>
      <c r="CH34" s="421">
        <v>-9114.874555353792</v>
      </c>
      <c r="CI34" s="419"/>
      <c r="CJ34" s="421">
        <v>2031315.1114966983</v>
      </c>
      <c r="CK34" s="421">
        <v>-466465</v>
      </c>
      <c r="CL34" s="421">
        <v>38751.544</v>
      </c>
      <c r="CM34" s="421">
        <v>46203.764</v>
      </c>
      <c r="CN34" s="421">
        <v>-7452.220000000001</v>
      </c>
      <c r="CO34" s="419"/>
      <c r="CP34" s="419"/>
      <c r="CQ34" s="419"/>
      <c r="CR34" s="171">
        <v>384</v>
      </c>
    </row>
    <row r="35" spans="1:96" ht="9.75">
      <c r="A35" s="203">
        <v>106</v>
      </c>
      <c r="B35" s="203" t="s">
        <v>91</v>
      </c>
      <c r="C35" s="421">
        <v>46576</v>
      </c>
      <c r="D35" s="419"/>
      <c r="E35" s="419"/>
      <c r="F35" s="419"/>
      <c r="G35" s="419"/>
      <c r="H35" s="500">
        <v>4291.05</v>
      </c>
      <c r="I35" s="419"/>
      <c r="J35" s="419"/>
      <c r="K35" s="419"/>
      <c r="L35" s="419"/>
      <c r="M35" s="419"/>
      <c r="N35" s="419"/>
      <c r="O35" s="419"/>
      <c r="P35" s="419"/>
      <c r="Q35" s="421">
        <v>2350</v>
      </c>
      <c r="R35" s="421">
        <v>449</v>
      </c>
      <c r="S35" s="421">
        <v>3118</v>
      </c>
      <c r="T35" s="421">
        <v>1643</v>
      </c>
      <c r="U35" s="421">
        <v>1576</v>
      </c>
      <c r="V35" s="421">
        <v>26858</v>
      </c>
      <c r="W35" s="421">
        <v>6053</v>
      </c>
      <c r="X35" s="421">
        <v>3220</v>
      </c>
      <c r="Y35" s="421">
        <v>1309</v>
      </c>
      <c r="Z35" s="419"/>
      <c r="AA35" s="419"/>
      <c r="AB35" s="419"/>
      <c r="AC35" s="419"/>
      <c r="AD35" s="419"/>
      <c r="AE35" s="422">
        <v>1.0264595769897735</v>
      </c>
      <c r="AF35" s="421">
        <v>63566981.893082574</v>
      </c>
      <c r="AG35" s="420">
        <v>2803</v>
      </c>
      <c r="AH35" s="420">
        <v>22664</v>
      </c>
      <c r="AJ35" s="420">
        <v>3028</v>
      </c>
      <c r="AK35" s="420">
        <v>0.06501202335967021</v>
      </c>
      <c r="AM35" s="420">
        <v>0</v>
      </c>
      <c r="AN35" s="420">
        <v>428</v>
      </c>
      <c r="AP35" s="420">
        <v>0</v>
      </c>
      <c r="AQ35" s="420">
        <v>0</v>
      </c>
      <c r="AR35" s="420">
        <v>322.69</v>
      </c>
      <c r="AU35" s="420">
        <v>2218</v>
      </c>
      <c r="AV35" s="420">
        <v>14846</v>
      </c>
      <c r="AW35" s="420">
        <v>0.14940051192240333</v>
      </c>
      <c r="AY35" s="420">
        <v>0</v>
      </c>
      <c r="AZ35" s="421">
        <v>19633</v>
      </c>
      <c r="BA35" s="420">
        <v>20805</v>
      </c>
      <c r="BB35" s="420">
        <v>0.9436673876472002</v>
      </c>
      <c r="BD35" s="420">
        <v>0</v>
      </c>
      <c r="BE35" s="420">
        <v>0</v>
      </c>
      <c r="BF35" s="421">
        <v>0</v>
      </c>
      <c r="BG35" s="421">
        <v>0</v>
      </c>
      <c r="BH35" s="419"/>
      <c r="BI35" s="421">
        <v>0</v>
      </c>
      <c r="BJ35" s="419"/>
      <c r="BK35" s="421">
        <v>16767.36</v>
      </c>
      <c r="BL35" s="421">
        <v>763367</v>
      </c>
      <c r="BM35" s="421">
        <v>-3418431.5831</v>
      </c>
      <c r="BN35" s="419"/>
      <c r="BO35" s="421">
        <v>-44193.19768912345</v>
      </c>
      <c r="BP35" s="421">
        <v>2890456</v>
      </c>
      <c r="BQ35" s="421">
        <v>981270</v>
      </c>
      <c r="BR35" s="421">
        <v>2082748.6046677604</v>
      </c>
      <c r="BS35" s="421">
        <v>51781.00130433286</v>
      </c>
      <c r="BT35" s="421">
        <v>167661.500230224</v>
      </c>
      <c r="BU35" s="421">
        <v>857276.2194981568</v>
      </c>
      <c r="BV35" s="421">
        <v>2081020.026385405</v>
      </c>
      <c r="BW35" s="421">
        <v>3226311.8016826194</v>
      </c>
      <c r="BX35" s="421">
        <v>990830.6447778402</v>
      </c>
      <c r="BY35" s="421">
        <v>1709097.3955632143</v>
      </c>
      <c r="BZ35" s="419"/>
      <c r="CA35" s="421">
        <v>-64129.93352997792</v>
      </c>
      <c r="CB35" s="419"/>
      <c r="CC35" s="419"/>
      <c r="CD35" s="419"/>
      <c r="CE35" s="421">
        <v>2111931.5495272432</v>
      </c>
      <c r="CF35" s="421">
        <v>1401558.319588381</v>
      </c>
      <c r="CG35" s="421">
        <v>1797799.3824423368</v>
      </c>
      <c r="CH35" s="421">
        <v>-240220.8472101943</v>
      </c>
      <c r="CI35" s="419"/>
      <c r="CJ35" s="421">
        <v>-4816610.114096167</v>
      </c>
      <c r="CK35" s="421">
        <v>-2114194</v>
      </c>
      <c r="CL35" s="421">
        <v>1183710.6247999996</v>
      </c>
      <c r="CM35" s="421">
        <v>1457564.8053599996</v>
      </c>
      <c r="CN35" s="421">
        <v>-273854.18056</v>
      </c>
      <c r="CO35" s="419"/>
      <c r="CP35" s="419"/>
      <c r="CQ35" s="419"/>
      <c r="CR35" s="171">
        <v>14106</v>
      </c>
    </row>
    <row r="36" spans="1:96" ht="9.75">
      <c r="A36" s="203">
        <v>108</v>
      </c>
      <c r="B36" s="203" t="s">
        <v>92</v>
      </c>
      <c r="C36" s="421">
        <v>10344</v>
      </c>
      <c r="D36" s="419"/>
      <c r="E36" s="419"/>
      <c r="F36" s="419"/>
      <c r="G36" s="419"/>
      <c r="H36" s="500">
        <v>4291.05</v>
      </c>
      <c r="I36" s="419"/>
      <c r="J36" s="419"/>
      <c r="K36" s="419"/>
      <c r="L36" s="419"/>
      <c r="M36" s="419"/>
      <c r="N36" s="419"/>
      <c r="O36" s="419"/>
      <c r="P36" s="419"/>
      <c r="Q36" s="421">
        <v>593</v>
      </c>
      <c r="R36" s="421">
        <v>150</v>
      </c>
      <c r="S36" s="421">
        <v>757</v>
      </c>
      <c r="T36" s="421">
        <v>367</v>
      </c>
      <c r="U36" s="421">
        <v>417</v>
      </c>
      <c r="V36" s="421">
        <v>5533</v>
      </c>
      <c r="W36" s="421">
        <v>1431</v>
      </c>
      <c r="X36" s="421">
        <v>773</v>
      </c>
      <c r="Y36" s="421">
        <v>323</v>
      </c>
      <c r="Z36" s="419"/>
      <c r="AA36" s="419"/>
      <c r="AB36" s="419"/>
      <c r="AC36" s="419"/>
      <c r="AD36" s="419"/>
      <c r="AE36" s="422">
        <v>1.019210390958212</v>
      </c>
      <c r="AF36" s="421">
        <v>14017801.563526481</v>
      </c>
      <c r="AG36" s="420">
        <v>523</v>
      </c>
      <c r="AH36" s="420">
        <v>4717</v>
      </c>
      <c r="AJ36" s="420">
        <v>184</v>
      </c>
      <c r="AK36" s="420">
        <v>0.017788089713843776</v>
      </c>
      <c r="AM36" s="420">
        <v>0</v>
      </c>
      <c r="AN36" s="420">
        <v>17</v>
      </c>
      <c r="AP36" s="420">
        <v>0</v>
      </c>
      <c r="AQ36" s="420">
        <v>0</v>
      </c>
      <c r="AR36" s="420">
        <v>463.99</v>
      </c>
      <c r="AU36" s="420">
        <v>386</v>
      </c>
      <c r="AV36" s="420">
        <v>3231</v>
      </c>
      <c r="AW36" s="420">
        <v>0.1194676570721139</v>
      </c>
      <c r="AY36" s="420">
        <v>0</v>
      </c>
      <c r="AZ36" s="421">
        <v>2895</v>
      </c>
      <c r="BA36" s="420">
        <v>4284</v>
      </c>
      <c r="BB36" s="420">
        <v>0.6757703081232493</v>
      </c>
      <c r="BD36" s="420">
        <v>0</v>
      </c>
      <c r="BE36" s="420">
        <v>3</v>
      </c>
      <c r="BF36" s="421">
        <v>0</v>
      </c>
      <c r="BG36" s="421">
        <v>0</v>
      </c>
      <c r="BH36" s="419"/>
      <c r="BI36" s="421">
        <v>0</v>
      </c>
      <c r="BJ36" s="419"/>
      <c r="BK36" s="421">
        <v>3723.8399999999997</v>
      </c>
      <c r="BL36" s="421">
        <v>-12046</v>
      </c>
      <c r="BM36" s="421">
        <v>-360938.8825</v>
      </c>
      <c r="BN36" s="419"/>
      <c r="BO36" s="421">
        <v>188528.23985093832</v>
      </c>
      <c r="BP36" s="421">
        <v>826508</v>
      </c>
      <c r="BQ36" s="421">
        <v>260391</v>
      </c>
      <c r="BR36" s="421">
        <v>579739.51677479</v>
      </c>
      <c r="BS36" s="421">
        <v>24385.922358569595</v>
      </c>
      <c r="BT36" s="421">
        <v>9854.673982785083</v>
      </c>
      <c r="BU36" s="421">
        <v>253279.334823059</v>
      </c>
      <c r="BV36" s="421">
        <v>538688.7448554161</v>
      </c>
      <c r="BW36" s="421">
        <v>854332.1991434924</v>
      </c>
      <c r="BX36" s="421">
        <v>253482.71560903557</v>
      </c>
      <c r="BY36" s="421">
        <v>467947.8963931009</v>
      </c>
      <c r="BZ36" s="419"/>
      <c r="CA36" s="421">
        <v>28688.68335582692</v>
      </c>
      <c r="CB36" s="419"/>
      <c r="CC36" s="419"/>
      <c r="CD36" s="419"/>
      <c r="CE36" s="421">
        <v>600179.840412481</v>
      </c>
      <c r="CF36" s="421">
        <v>367605.26964813285</v>
      </c>
      <c r="CG36" s="421">
        <v>447410.1409208814</v>
      </c>
      <c r="CH36" s="421">
        <v>-46049.716824300056</v>
      </c>
      <c r="CI36" s="419"/>
      <c r="CJ36" s="421">
        <v>6533434.221195139</v>
      </c>
      <c r="CK36" s="421">
        <v>-1291259</v>
      </c>
      <c r="CL36" s="421">
        <v>277222.58400000003</v>
      </c>
      <c r="CM36" s="421">
        <v>325955.631468</v>
      </c>
      <c r="CN36" s="421">
        <v>-48733.047467999975</v>
      </c>
      <c r="CO36" s="419"/>
      <c r="CP36" s="419"/>
      <c r="CQ36" s="419"/>
      <c r="CR36" s="171">
        <v>2978</v>
      </c>
    </row>
    <row r="37" spans="1:96" ht="9.75">
      <c r="A37" s="203">
        <v>109</v>
      </c>
      <c r="B37" s="203" t="s">
        <v>93</v>
      </c>
      <c r="C37" s="421">
        <v>67848</v>
      </c>
      <c r="D37" s="419"/>
      <c r="E37" s="419"/>
      <c r="F37" s="419"/>
      <c r="G37" s="419"/>
      <c r="H37" s="500">
        <v>4291.05</v>
      </c>
      <c r="I37" s="419"/>
      <c r="J37" s="419"/>
      <c r="K37" s="419"/>
      <c r="L37" s="419"/>
      <c r="M37" s="419"/>
      <c r="N37" s="419"/>
      <c r="O37" s="419"/>
      <c r="P37" s="419"/>
      <c r="Q37" s="421">
        <v>3370</v>
      </c>
      <c r="R37" s="421">
        <v>707</v>
      </c>
      <c r="S37" s="421">
        <v>4281</v>
      </c>
      <c r="T37" s="421">
        <v>2208</v>
      </c>
      <c r="U37" s="421">
        <v>2190</v>
      </c>
      <c r="V37" s="421">
        <v>37308</v>
      </c>
      <c r="W37" s="421">
        <v>9789</v>
      </c>
      <c r="X37" s="421">
        <v>5682</v>
      </c>
      <c r="Y37" s="421">
        <v>2313</v>
      </c>
      <c r="Z37" s="419"/>
      <c r="AA37" s="419"/>
      <c r="AB37" s="419"/>
      <c r="AC37" s="419"/>
      <c r="AD37" s="419"/>
      <c r="AE37" s="422">
        <v>1.0446566028663347</v>
      </c>
      <c r="AF37" s="421">
        <v>94240624.8441834</v>
      </c>
      <c r="AG37" s="420">
        <v>3917</v>
      </c>
      <c r="AH37" s="420">
        <v>31222</v>
      </c>
      <c r="AJ37" s="420">
        <v>3618</v>
      </c>
      <c r="AK37" s="420">
        <v>0.05332507958967103</v>
      </c>
      <c r="AM37" s="420">
        <v>0</v>
      </c>
      <c r="AN37" s="420">
        <v>259</v>
      </c>
      <c r="AP37" s="420">
        <v>0</v>
      </c>
      <c r="AQ37" s="420">
        <v>0</v>
      </c>
      <c r="AR37" s="420">
        <v>1785.35</v>
      </c>
      <c r="AU37" s="420">
        <v>2508</v>
      </c>
      <c r="AV37" s="420">
        <v>19940</v>
      </c>
      <c r="AW37" s="420">
        <v>0.12577733199598795</v>
      </c>
      <c r="AY37" s="420">
        <v>0</v>
      </c>
      <c r="AZ37" s="421">
        <v>28520</v>
      </c>
      <c r="BA37" s="420">
        <v>27790</v>
      </c>
      <c r="BB37" s="420">
        <v>1.0262684418855703</v>
      </c>
      <c r="BD37" s="420">
        <v>0</v>
      </c>
      <c r="BE37" s="420">
        <v>6</v>
      </c>
      <c r="BF37" s="421">
        <v>0</v>
      </c>
      <c r="BG37" s="421">
        <v>0</v>
      </c>
      <c r="BH37" s="419"/>
      <c r="BI37" s="421">
        <v>0</v>
      </c>
      <c r="BJ37" s="419"/>
      <c r="BK37" s="421">
        <v>24425.28</v>
      </c>
      <c r="BL37" s="421">
        <v>56873</v>
      </c>
      <c r="BM37" s="421">
        <v>-5101304.7631</v>
      </c>
      <c r="BN37" s="419"/>
      <c r="BO37" s="421">
        <v>-768345.0770012736</v>
      </c>
      <c r="BP37" s="421">
        <v>4556748</v>
      </c>
      <c r="BQ37" s="421">
        <v>1570984</v>
      </c>
      <c r="BR37" s="421">
        <v>3432285.8347071824</v>
      </c>
      <c r="BS37" s="421">
        <v>116664.23442693883</v>
      </c>
      <c r="BT37" s="421">
        <v>300048.3093346076</v>
      </c>
      <c r="BU37" s="421">
        <v>1539308.20603492</v>
      </c>
      <c r="BV37" s="421">
        <v>3208859.746508385</v>
      </c>
      <c r="BW37" s="421">
        <v>5144768.049881162</v>
      </c>
      <c r="BX37" s="421">
        <v>1560633.0035080516</v>
      </c>
      <c r="BY37" s="421">
        <v>2716617.628774604</v>
      </c>
      <c r="BZ37" s="419"/>
      <c r="CA37" s="421">
        <v>237186.82648057723</v>
      </c>
      <c r="CB37" s="419"/>
      <c r="CC37" s="419"/>
      <c r="CD37" s="419"/>
      <c r="CE37" s="421">
        <v>3469698.131084118</v>
      </c>
      <c r="CF37" s="421">
        <v>2167871.8074552515</v>
      </c>
      <c r="CG37" s="421">
        <v>2750224.5951288026</v>
      </c>
      <c r="CH37" s="421">
        <v>-345623.92840985896</v>
      </c>
      <c r="CI37" s="419"/>
      <c r="CJ37" s="421">
        <v>8805832.544589275</v>
      </c>
      <c r="CK37" s="421">
        <v>-13699393</v>
      </c>
      <c r="CL37" s="421">
        <v>1050166.8424000002</v>
      </c>
      <c r="CM37" s="421">
        <v>1178881.5862400003</v>
      </c>
      <c r="CN37" s="421">
        <v>-128714.74384000013</v>
      </c>
      <c r="CO37" s="419"/>
      <c r="CP37" s="419"/>
      <c r="CQ37" s="419"/>
      <c r="CR37" s="171">
        <v>20067</v>
      </c>
    </row>
    <row r="38" spans="1:96" ht="9.75">
      <c r="A38" s="203">
        <v>139</v>
      </c>
      <c r="B38" s="203" t="s">
        <v>94</v>
      </c>
      <c r="C38" s="421">
        <v>9848</v>
      </c>
      <c r="D38" s="419"/>
      <c r="E38" s="419"/>
      <c r="F38" s="419"/>
      <c r="G38" s="419"/>
      <c r="H38" s="500">
        <v>4291.05</v>
      </c>
      <c r="I38" s="419"/>
      <c r="J38" s="419"/>
      <c r="K38" s="419"/>
      <c r="L38" s="419"/>
      <c r="M38" s="419"/>
      <c r="N38" s="419"/>
      <c r="O38" s="419"/>
      <c r="P38" s="419"/>
      <c r="Q38" s="421">
        <v>744</v>
      </c>
      <c r="R38" s="421">
        <v>180</v>
      </c>
      <c r="S38" s="421">
        <v>967</v>
      </c>
      <c r="T38" s="421">
        <v>484</v>
      </c>
      <c r="U38" s="421">
        <v>411</v>
      </c>
      <c r="V38" s="421">
        <v>4964</v>
      </c>
      <c r="W38" s="421">
        <v>1197</v>
      </c>
      <c r="X38" s="421">
        <v>605</v>
      </c>
      <c r="Y38" s="421">
        <v>296</v>
      </c>
      <c r="Z38" s="419"/>
      <c r="AA38" s="419"/>
      <c r="AB38" s="419"/>
      <c r="AC38" s="419"/>
      <c r="AD38" s="419"/>
      <c r="AE38" s="422">
        <v>1.0734977682243312</v>
      </c>
      <c r="AF38" s="421">
        <v>14056485.177614959</v>
      </c>
      <c r="AG38" s="420">
        <v>570</v>
      </c>
      <c r="AH38" s="420">
        <v>4203</v>
      </c>
      <c r="AJ38" s="420">
        <v>76</v>
      </c>
      <c r="AK38" s="420">
        <v>0.007717303005686434</v>
      </c>
      <c r="AM38" s="420">
        <v>0</v>
      </c>
      <c r="AN38" s="420">
        <v>17</v>
      </c>
      <c r="AP38" s="420">
        <v>0</v>
      </c>
      <c r="AQ38" s="420">
        <v>0</v>
      </c>
      <c r="AR38" s="420">
        <v>1614.63</v>
      </c>
      <c r="AU38" s="420">
        <v>286</v>
      </c>
      <c r="AV38" s="420">
        <v>2764</v>
      </c>
      <c r="AW38" s="420">
        <v>0.10347322720694646</v>
      </c>
      <c r="AY38" s="420">
        <v>0</v>
      </c>
      <c r="AZ38" s="421">
        <v>2410</v>
      </c>
      <c r="BA38" s="420">
        <v>3622</v>
      </c>
      <c r="BB38" s="420">
        <v>0.665378244064053</v>
      </c>
      <c r="BD38" s="420">
        <v>0</v>
      </c>
      <c r="BE38" s="420">
        <v>1</v>
      </c>
      <c r="BF38" s="421">
        <v>0</v>
      </c>
      <c r="BG38" s="421">
        <v>0</v>
      </c>
      <c r="BH38" s="419"/>
      <c r="BI38" s="421">
        <v>0</v>
      </c>
      <c r="BJ38" s="419"/>
      <c r="BK38" s="421">
        <v>3545.2799999999997</v>
      </c>
      <c r="BL38" s="421">
        <v>132064</v>
      </c>
      <c r="BM38" s="421">
        <v>-269357.325</v>
      </c>
      <c r="BN38" s="419"/>
      <c r="BO38" s="421">
        <v>-103891.53774344549</v>
      </c>
      <c r="BP38" s="421">
        <v>723887</v>
      </c>
      <c r="BQ38" s="421">
        <v>216091</v>
      </c>
      <c r="BR38" s="421">
        <v>530323.5174787409</v>
      </c>
      <c r="BS38" s="421">
        <v>16076.989392230093</v>
      </c>
      <c r="BT38" s="421">
        <v>9193.438746910622</v>
      </c>
      <c r="BU38" s="421">
        <v>255264.1904055092</v>
      </c>
      <c r="BV38" s="421">
        <v>465197.09824793745</v>
      </c>
      <c r="BW38" s="421">
        <v>685611.4068228325</v>
      </c>
      <c r="BX38" s="421">
        <v>169137.61590244822</v>
      </c>
      <c r="BY38" s="421">
        <v>374548.3823055227</v>
      </c>
      <c r="BZ38" s="419"/>
      <c r="CA38" s="421">
        <v>46912.796097451865</v>
      </c>
      <c r="CB38" s="419"/>
      <c r="CC38" s="419"/>
      <c r="CD38" s="419"/>
      <c r="CE38" s="421">
        <v>501255.53598157165</v>
      </c>
      <c r="CF38" s="421">
        <v>310814.9627419438</v>
      </c>
      <c r="CG38" s="421">
        <v>384059.6182013987</v>
      </c>
      <c r="CH38" s="421">
        <v>-38852.71613026288</v>
      </c>
      <c r="CI38" s="419"/>
      <c r="CJ38" s="421">
        <v>8472522.507466206</v>
      </c>
      <c r="CK38" s="421">
        <v>-64500</v>
      </c>
      <c r="CL38" s="421">
        <v>260902.22220000005</v>
      </c>
      <c r="CM38" s="421">
        <v>165394.57068</v>
      </c>
      <c r="CN38" s="421">
        <v>95507.65152000004</v>
      </c>
      <c r="CO38" s="419"/>
      <c r="CP38" s="419"/>
      <c r="CQ38" s="419"/>
      <c r="CR38" s="171">
        <v>3548</v>
      </c>
    </row>
    <row r="39" spans="1:96" ht="9.75">
      <c r="A39" s="203">
        <v>140</v>
      </c>
      <c r="B39" s="203" t="s">
        <v>95</v>
      </c>
      <c r="C39" s="421">
        <v>21124</v>
      </c>
      <c r="D39" s="419"/>
      <c r="E39" s="419"/>
      <c r="F39" s="419"/>
      <c r="G39" s="419"/>
      <c r="H39" s="500">
        <v>4291.05</v>
      </c>
      <c r="I39" s="419"/>
      <c r="J39" s="419"/>
      <c r="K39" s="419"/>
      <c r="L39" s="419"/>
      <c r="M39" s="419"/>
      <c r="N39" s="419"/>
      <c r="O39" s="419"/>
      <c r="P39" s="419"/>
      <c r="Q39" s="421">
        <v>1058</v>
      </c>
      <c r="R39" s="421">
        <v>232</v>
      </c>
      <c r="S39" s="421">
        <v>1401</v>
      </c>
      <c r="T39" s="421">
        <v>694</v>
      </c>
      <c r="U39" s="421">
        <v>688</v>
      </c>
      <c r="V39" s="421">
        <v>11315</v>
      </c>
      <c r="W39" s="421">
        <v>3352</v>
      </c>
      <c r="X39" s="421">
        <v>1639</v>
      </c>
      <c r="Y39" s="421">
        <v>745</v>
      </c>
      <c r="Z39" s="419"/>
      <c r="AA39" s="419"/>
      <c r="AB39" s="419"/>
      <c r="AC39" s="419"/>
      <c r="AD39" s="419"/>
      <c r="AE39" s="422">
        <v>1.4964832765554814</v>
      </c>
      <c r="AF39" s="421">
        <v>42031566.64978192</v>
      </c>
      <c r="AG39" s="420">
        <v>1561</v>
      </c>
      <c r="AH39" s="420">
        <v>9629</v>
      </c>
      <c r="AJ39" s="420">
        <v>619</v>
      </c>
      <c r="AK39" s="420">
        <v>0.029303162279871238</v>
      </c>
      <c r="AM39" s="420">
        <v>0</v>
      </c>
      <c r="AN39" s="420">
        <v>9</v>
      </c>
      <c r="AP39" s="420">
        <v>0</v>
      </c>
      <c r="AQ39" s="420">
        <v>0</v>
      </c>
      <c r="AR39" s="420">
        <v>762.99</v>
      </c>
      <c r="AU39" s="420">
        <v>667</v>
      </c>
      <c r="AV39" s="420">
        <v>5856</v>
      </c>
      <c r="AW39" s="420">
        <v>0.11390027322404371</v>
      </c>
      <c r="AY39" s="420">
        <v>0.1192</v>
      </c>
      <c r="AZ39" s="421">
        <v>9154</v>
      </c>
      <c r="BA39" s="420">
        <v>8409</v>
      </c>
      <c r="BB39" s="420">
        <v>1.08859555238435</v>
      </c>
      <c r="BD39" s="420">
        <v>0</v>
      </c>
      <c r="BE39" s="420">
        <v>1</v>
      </c>
      <c r="BF39" s="421">
        <v>0</v>
      </c>
      <c r="BG39" s="421">
        <v>0</v>
      </c>
      <c r="BH39" s="419"/>
      <c r="BI39" s="421">
        <v>0</v>
      </c>
      <c r="BJ39" s="419"/>
      <c r="BK39" s="421">
        <v>7604.639999999999</v>
      </c>
      <c r="BL39" s="421">
        <v>2846</v>
      </c>
      <c r="BM39" s="421">
        <v>-1199847.13</v>
      </c>
      <c r="BN39" s="419"/>
      <c r="BO39" s="421">
        <v>-103509.28852503002</v>
      </c>
      <c r="BP39" s="421">
        <v>1719855</v>
      </c>
      <c r="BQ39" s="421">
        <v>554062</v>
      </c>
      <c r="BR39" s="421">
        <v>1309102.96830591</v>
      </c>
      <c r="BS39" s="421">
        <v>55085.89497350688</v>
      </c>
      <c r="BT39" s="421">
        <v>227371.5223683299</v>
      </c>
      <c r="BU39" s="421">
        <v>674080.996412253</v>
      </c>
      <c r="BV39" s="421">
        <v>1126700.6565302126</v>
      </c>
      <c r="BW39" s="421">
        <v>1783562.8830082873</v>
      </c>
      <c r="BX39" s="421">
        <v>510782.16273364605</v>
      </c>
      <c r="BY39" s="421">
        <v>934420.5716707461</v>
      </c>
      <c r="BZ39" s="419"/>
      <c r="CA39" s="421">
        <v>-26953.712264420174</v>
      </c>
      <c r="CB39" s="419"/>
      <c r="CC39" s="419"/>
      <c r="CD39" s="419"/>
      <c r="CE39" s="421">
        <v>1235442.3751460991</v>
      </c>
      <c r="CF39" s="421">
        <v>713421.6777517197</v>
      </c>
      <c r="CG39" s="421">
        <v>890887.030156905</v>
      </c>
      <c r="CH39" s="421">
        <v>-89091.35421567311</v>
      </c>
      <c r="CI39" s="419"/>
      <c r="CJ39" s="421">
        <v>12614277.85277712</v>
      </c>
      <c r="CK39" s="421">
        <v>-1329951</v>
      </c>
      <c r="CL39" s="421">
        <v>463900.6950000001</v>
      </c>
      <c r="CM39" s="421">
        <v>563939.29628</v>
      </c>
      <c r="CN39" s="421">
        <v>-100038.60127999989</v>
      </c>
      <c r="CO39" s="419"/>
      <c r="CP39" s="419"/>
      <c r="CQ39" s="419"/>
      <c r="CR39" s="171">
        <v>6087</v>
      </c>
    </row>
    <row r="40" spans="1:96" ht="9.75">
      <c r="A40" s="203">
        <v>142</v>
      </c>
      <c r="B40" s="203" t="s">
        <v>96</v>
      </c>
      <c r="C40" s="421">
        <v>6625</v>
      </c>
      <c r="D40" s="419"/>
      <c r="E40" s="419"/>
      <c r="F40" s="419"/>
      <c r="G40" s="419"/>
      <c r="H40" s="500">
        <v>4291.05</v>
      </c>
      <c r="I40" s="419"/>
      <c r="J40" s="419"/>
      <c r="K40" s="419"/>
      <c r="L40" s="419"/>
      <c r="M40" s="419"/>
      <c r="N40" s="419"/>
      <c r="O40" s="419"/>
      <c r="P40" s="419"/>
      <c r="Q40" s="421">
        <v>325</v>
      </c>
      <c r="R40" s="421">
        <v>65</v>
      </c>
      <c r="S40" s="421">
        <v>389</v>
      </c>
      <c r="T40" s="421">
        <v>224</v>
      </c>
      <c r="U40" s="421">
        <v>194</v>
      </c>
      <c r="V40" s="421">
        <v>3339</v>
      </c>
      <c r="W40" s="421">
        <v>1176</v>
      </c>
      <c r="X40" s="421">
        <v>637</v>
      </c>
      <c r="Y40" s="421">
        <v>276</v>
      </c>
      <c r="Z40" s="419"/>
      <c r="AA40" s="419"/>
      <c r="AB40" s="419"/>
      <c r="AC40" s="419"/>
      <c r="AD40" s="419"/>
      <c r="AE40" s="422">
        <v>1.1344317756663818</v>
      </c>
      <c r="AF40" s="421">
        <v>9992906.391373713</v>
      </c>
      <c r="AG40" s="420">
        <v>328</v>
      </c>
      <c r="AH40" s="420">
        <v>2902</v>
      </c>
      <c r="AJ40" s="420">
        <v>123</v>
      </c>
      <c r="AK40" s="420">
        <v>0.018566037735849056</v>
      </c>
      <c r="AM40" s="420">
        <v>0</v>
      </c>
      <c r="AN40" s="420">
        <v>15</v>
      </c>
      <c r="AP40" s="420">
        <v>0</v>
      </c>
      <c r="AQ40" s="420">
        <v>0</v>
      </c>
      <c r="AR40" s="420">
        <v>589.79</v>
      </c>
      <c r="AU40" s="420">
        <v>246</v>
      </c>
      <c r="AV40" s="420">
        <v>1748</v>
      </c>
      <c r="AW40" s="420">
        <v>0.14073226544622425</v>
      </c>
      <c r="AY40" s="420">
        <v>0</v>
      </c>
      <c r="AZ40" s="421">
        <v>2081</v>
      </c>
      <c r="BA40" s="420">
        <v>2536</v>
      </c>
      <c r="BB40" s="420">
        <v>0.820583596214511</v>
      </c>
      <c r="BD40" s="420">
        <v>0</v>
      </c>
      <c r="BE40" s="420">
        <v>0</v>
      </c>
      <c r="BF40" s="421">
        <v>0</v>
      </c>
      <c r="BG40" s="421">
        <v>0</v>
      </c>
      <c r="BH40" s="419"/>
      <c r="BI40" s="421">
        <v>0</v>
      </c>
      <c r="BJ40" s="419"/>
      <c r="BK40" s="421">
        <v>2385</v>
      </c>
      <c r="BL40" s="421">
        <v>36498</v>
      </c>
      <c r="BM40" s="421">
        <v>-183044.745</v>
      </c>
      <c r="BN40" s="419"/>
      <c r="BO40" s="421">
        <v>7043.986740678549</v>
      </c>
      <c r="BP40" s="421">
        <v>561007</v>
      </c>
      <c r="BQ40" s="421">
        <v>186515</v>
      </c>
      <c r="BR40" s="421">
        <v>430490.72209921485</v>
      </c>
      <c r="BS40" s="421">
        <v>23482.037625590612</v>
      </c>
      <c r="BT40" s="421">
        <v>26031.39221942881</v>
      </c>
      <c r="BU40" s="421">
        <v>198577.07449350462</v>
      </c>
      <c r="BV40" s="421">
        <v>350563.5538984399</v>
      </c>
      <c r="BW40" s="421">
        <v>587899.073939636</v>
      </c>
      <c r="BX40" s="421">
        <v>170386.28145441186</v>
      </c>
      <c r="BY40" s="421">
        <v>310652.3329527533</v>
      </c>
      <c r="BZ40" s="419"/>
      <c r="CA40" s="421">
        <v>31822.198579660995</v>
      </c>
      <c r="CB40" s="419"/>
      <c r="CC40" s="419"/>
      <c r="CD40" s="419"/>
      <c r="CE40" s="421">
        <v>411168.9936909588</v>
      </c>
      <c r="CF40" s="421">
        <v>234745.2100338485</v>
      </c>
      <c r="CG40" s="421">
        <v>287742.0581530722</v>
      </c>
      <c r="CH40" s="421">
        <v>-29633.46168573711</v>
      </c>
      <c r="CI40" s="419"/>
      <c r="CJ40" s="421">
        <v>4658004.673669119</v>
      </c>
      <c r="CK40" s="421">
        <v>-694731</v>
      </c>
      <c r="CL40" s="421">
        <v>562046.4324</v>
      </c>
      <c r="CM40" s="421">
        <v>88845.36684</v>
      </c>
      <c r="CN40" s="421">
        <v>473201.06556</v>
      </c>
      <c r="CO40" s="419"/>
      <c r="CP40" s="419"/>
      <c r="CQ40" s="419"/>
      <c r="CR40" s="171">
        <v>1637</v>
      </c>
    </row>
    <row r="41" spans="1:96" ht="9.75">
      <c r="A41" s="203">
        <v>143</v>
      </c>
      <c r="B41" s="203" t="s">
        <v>97</v>
      </c>
      <c r="C41" s="421">
        <v>6866</v>
      </c>
      <c r="D41" s="419"/>
      <c r="E41" s="419"/>
      <c r="F41" s="419"/>
      <c r="G41" s="419"/>
      <c r="H41" s="500">
        <v>4291.05</v>
      </c>
      <c r="I41" s="419"/>
      <c r="J41" s="419"/>
      <c r="K41" s="419"/>
      <c r="L41" s="419"/>
      <c r="M41" s="419"/>
      <c r="N41" s="419"/>
      <c r="O41" s="419"/>
      <c r="P41" s="419"/>
      <c r="Q41" s="421">
        <v>293</v>
      </c>
      <c r="R41" s="421">
        <v>69</v>
      </c>
      <c r="S41" s="421">
        <v>449</v>
      </c>
      <c r="T41" s="421">
        <v>212</v>
      </c>
      <c r="U41" s="421">
        <v>195</v>
      </c>
      <c r="V41" s="421">
        <v>3423</v>
      </c>
      <c r="W41" s="421">
        <v>1239</v>
      </c>
      <c r="X41" s="421">
        <v>721</v>
      </c>
      <c r="Y41" s="421">
        <v>265</v>
      </c>
      <c r="Z41" s="419"/>
      <c r="AA41" s="419"/>
      <c r="AB41" s="419"/>
      <c r="AC41" s="419"/>
      <c r="AD41" s="419"/>
      <c r="AE41" s="422">
        <v>1.1710217386513007</v>
      </c>
      <c r="AF41" s="421">
        <v>10690457.966404593</v>
      </c>
      <c r="AG41" s="420">
        <v>380</v>
      </c>
      <c r="AH41" s="420">
        <v>2832</v>
      </c>
      <c r="AJ41" s="420">
        <v>135</v>
      </c>
      <c r="AK41" s="420">
        <v>0.019662103116807456</v>
      </c>
      <c r="AM41" s="420">
        <v>0</v>
      </c>
      <c r="AN41" s="420">
        <v>15</v>
      </c>
      <c r="AP41" s="420">
        <v>0</v>
      </c>
      <c r="AQ41" s="420">
        <v>0</v>
      </c>
      <c r="AR41" s="420">
        <v>750.41</v>
      </c>
      <c r="AU41" s="420">
        <v>258</v>
      </c>
      <c r="AV41" s="420">
        <v>1848</v>
      </c>
      <c r="AW41" s="420">
        <v>0.1396103896103896</v>
      </c>
      <c r="AY41" s="420">
        <v>0</v>
      </c>
      <c r="AZ41" s="421">
        <v>2219</v>
      </c>
      <c r="BA41" s="420">
        <v>2518</v>
      </c>
      <c r="BB41" s="420">
        <v>0.8812549642573471</v>
      </c>
      <c r="BD41" s="420">
        <v>0</v>
      </c>
      <c r="BE41" s="420">
        <v>0</v>
      </c>
      <c r="BF41" s="421">
        <v>0</v>
      </c>
      <c r="BG41" s="421">
        <v>0</v>
      </c>
      <c r="BH41" s="419"/>
      <c r="BI41" s="421">
        <v>0</v>
      </c>
      <c r="BJ41" s="419"/>
      <c r="BK41" s="421">
        <v>2471.7599999999998</v>
      </c>
      <c r="BL41" s="421">
        <v>138175</v>
      </c>
      <c r="BM41" s="421">
        <v>-320038.435</v>
      </c>
      <c r="BN41" s="419"/>
      <c r="BO41" s="421">
        <v>79890.6480099801</v>
      </c>
      <c r="BP41" s="421">
        <v>680777</v>
      </c>
      <c r="BQ41" s="421">
        <v>207953</v>
      </c>
      <c r="BR41" s="421">
        <v>496189.18011094985</v>
      </c>
      <c r="BS41" s="421">
        <v>24908.36419060258</v>
      </c>
      <c r="BT41" s="421">
        <v>82317.76892538632</v>
      </c>
      <c r="BU41" s="421">
        <v>232829.75872488532</v>
      </c>
      <c r="BV41" s="421">
        <v>404587.17992137617</v>
      </c>
      <c r="BW41" s="421">
        <v>614150.253396735</v>
      </c>
      <c r="BX41" s="421">
        <v>175764.46567039963</v>
      </c>
      <c r="BY41" s="421">
        <v>323874.86932508793</v>
      </c>
      <c r="BZ41" s="419"/>
      <c r="CA41" s="421">
        <v>-26067.61258350042</v>
      </c>
      <c r="CB41" s="419"/>
      <c r="CC41" s="419"/>
      <c r="CD41" s="419"/>
      <c r="CE41" s="421">
        <v>436883.2520564936</v>
      </c>
      <c r="CF41" s="421">
        <v>248723.83894881452</v>
      </c>
      <c r="CG41" s="421">
        <v>301586.12668899837</v>
      </c>
      <c r="CH41" s="421">
        <v>-30315.18281528765</v>
      </c>
      <c r="CI41" s="419"/>
      <c r="CJ41" s="421">
        <v>5279582.293768069</v>
      </c>
      <c r="CK41" s="421">
        <v>-806133</v>
      </c>
      <c r="CL41" s="421">
        <v>380212.26440000016</v>
      </c>
      <c r="CM41" s="421">
        <v>86445.75200000001</v>
      </c>
      <c r="CN41" s="421">
        <v>293766.5124000001</v>
      </c>
      <c r="CO41" s="419"/>
      <c r="CP41" s="419"/>
      <c r="CQ41" s="419"/>
      <c r="CR41" s="171">
        <v>1719</v>
      </c>
    </row>
    <row r="42" spans="1:96" ht="9.75">
      <c r="A42" s="203">
        <v>145</v>
      </c>
      <c r="B42" s="203" t="s">
        <v>98</v>
      </c>
      <c r="C42" s="421">
        <v>12294</v>
      </c>
      <c r="D42" s="419"/>
      <c r="E42" s="419"/>
      <c r="F42" s="419"/>
      <c r="G42" s="419"/>
      <c r="H42" s="500">
        <v>4291.05</v>
      </c>
      <c r="I42" s="419"/>
      <c r="J42" s="419"/>
      <c r="K42" s="419"/>
      <c r="L42" s="419"/>
      <c r="M42" s="419"/>
      <c r="N42" s="419"/>
      <c r="O42" s="419"/>
      <c r="P42" s="419"/>
      <c r="Q42" s="421">
        <v>851</v>
      </c>
      <c r="R42" s="421">
        <v>161</v>
      </c>
      <c r="S42" s="421">
        <v>1046</v>
      </c>
      <c r="T42" s="421">
        <v>489</v>
      </c>
      <c r="U42" s="421">
        <v>437</v>
      </c>
      <c r="V42" s="421">
        <v>6586</v>
      </c>
      <c r="W42" s="421">
        <v>1571</v>
      </c>
      <c r="X42" s="421">
        <v>745</v>
      </c>
      <c r="Y42" s="421">
        <v>408</v>
      </c>
      <c r="Z42" s="419"/>
      <c r="AA42" s="419"/>
      <c r="AB42" s="419"/>
      <c r="AC42" s="419"/>
      <c r="AD42" s="419"/>
      <c r="AE42" s="422">
        <v>1.121415274592169</v>
      </c>
      <c r="AF42" s="421">
        <v>18331045.200681873</v>
      </c>
      <c r="AG42" s="420">
        <v>436</v>
      </c>
      <c r="AH42" s="420">
        <v>5626</v>
      </c>
      <c r="AJ42" s="420">
        <v>183</v>
      </c>
      <c r="AK42" s="420">
        <v>0.01488530990727184</v>
      </c>
      <c r="AM42" s="420">
        <v>0</v>
      </c>
      <c r="AN42" s="420">
        <v>26</v>
      </c>
      <c r="AP42" s="420">
        <v>0</v>
      </c>
      <c r="AQ42" s="420">
        <v>0</v>
      </c>
      <c r="AR42" s="420">
        <v>576.74</v>
      </c>
      <c r="AU42" s="420">
        <v>337</v>
      </c>
      <c r="AV42" s="420">
        <v>3726</v>
      </c>
      <c r="AW42" s="420">
        <v>0.09044551798174987</v>
      </c>
      <c r="AY42" s="420">
        <v>0</v>
      </c>
      <c r="AZ42" s="421">
        <v>3426</v>
      </c>
      <c r="BA42" s="420">
        <v>5306</v>
      </c>
      <c r="BB42" s="420">
        <v>0.6456841311722579</v>
      </c>
      <c r="BD42" s="420">
        <v>0</v>
      </c>
      <c r="BE42" s="420">
        <v>0</v>
      </c>
      <c r="BF42" s="421">
        <v>0</v>
      </c>
      <c r="BG42" s="421">
        <v>0</v>
      </c>
      <c r="BH42" s="419"/>
      <c r="BI42" s="421">
        <v>0</v>
      </c>
      <c r="BJ42" s="419"/>
      <c r="BK42" s="421">
        <v>4425.84</v>
      </c>
      <c r="BL42" s="421">
        <v>-123623</v>
      </c>
      <c r="BM42" s="421">
        <v>-337694.13</v>
      </c>
      <c r="BN42" s="419"/>
      <c r="BO42" s="421">
        <v>-102255.52143593878</v>
      </c>
      <c r="BP42" s="421">
        <v>954161</v>
      </c>
      <c r="BQ42" s="421">
        <v>316612</v>
      </c>
      <c r="BR42" s="421">
        <v>781526.9520805622</v>
      </c>
      <c r="BS42" s="421">
        <v>32131.733519318583</v>
      </c>
      <c r="BT42" s="421">
        <v>106781.91588868524</v>
      </c>
      <c r="BU42" s="421">
        <v>326338.1356481641</v>
      </c>
      <c r="BV42" s="421">
        <v>655891.4552160897</v>
      </c>
      <c r="BW42" s="421">
        <v>1043521.9136273402</v>
      </c>
      <c r="BX42" s="421">
        <v>283215.4080823374</v>
      </c>
      <c r="BY42" s="421">
        <v>511046.3425889969</v>
      </c>
      <c r="BZ42" s="419"/>
      <c r="CA42" s="421">
        <v>41864.57177702403</v>
      </c>
      <c r="CB42" s="419"/>
      <c r="CC42" s="419"/>
      <c r="CD42" s="419"/>
      <c r="CE42" s="421">
        <v>701175.6044212083</v>
      </c>
      <c r="CF42" s="421">
        <v>427498.6323769869</v>
      </c>
      <c r="CG42" s="421">
        <v>542807.8508831657</v>
      </c>
      <c r="CH42" s="421">
        <v>-49381.626888145576</v>
      </c>
      <c r="CI42" s="419"/>
      <c r="CJ42" s="421">
        <v>8480030.928527204</v>
      </c>
      <c r="CK42" s="421">
        <v>-229583</v>
      </c>
      <c r="CL42" s="421">
        <v>402419.88</v>
      </c>
      <c r="CM42" s="421">
        <v>342027.0891200001</v>
      </c>
      <c r="CN42" s="421">
        <v>60392.79087999993</v>
      </c>
      <c r="CO42" s="419"/>
      <c r="CP42" s="419"/>
      <c r="CQ42" s="419"/>
      <c r="CR42" s="171">
        <v>4130</v>
      </c>
    </row>
    <row r="43" spans="1:96" ht="9.75">
      <c r="A43" s="203">
        <v>146</v>
      </c>
      <c r="B43" s="203" t="s">
        <v>99</v>
      </c>
      <c r="C43" s="421">
        <v>4749</v>
      </c>
      <c r="D43" s="419"/>
      <c r="E43" s="419"/>
      <c r="F43" s="419"/>
      <c r="G43" s="419"/>
      <c r="H43" s="500">
        <v>4291.05</v>
      </c>
      <c r="I43" s="419"/>
      <c r="J43" s="419"/>
      <c r="K43" s="419"/>
      <c r="L43" s="419"/>
      <c r="M43" s="419"/>
      <c r="N43" s="419"/>
      <c r="O43" s="419"/>
      <c r="P43" s="419"/>
      <c r="Q43" s="421">
        <v>133</v>
      </c>
      <c r="R43" s="421">
        <v>23</v>
      </c>
      <c r="S43" s="421">
        <v>198</v>
      </c>
      <c r="T43" s="421">
        <v>106</v>
      </c>
      <c r="U43" s="421">
        <v>106</v>
      </c>
      <c r="V43" s="421">
        <v>2235</v>
      </c>
      <c r="W43" s="421">
        <v>1093</v>
      </c>
      <c r="X43" s="421">
        <v>574</v>
      </c>
      <c r="Y43" s="421">
        <v>281</v>
      </c>
      <c r="Z43" s="419"/>
      <c r="AA43" s="419"/>
      <c r="AB43" s="419"/>
      <c r="AC43" s="419"/>
      <c r="AD43" s="419"/>
      <c r="AE43" s="422">
        <v>1.7705708023649727</v>
      </c>
      <c r="AF43" s="421">
        <v>11180031.34148582</v>
      </c>
      <c r="AG43" s="420">
        <v>350</v>
      </c>
      <c r="AH43" s="420">
        <v>1882</v>
      </c>
      <c r="AJ43" s="420">
        <v>164</v>
      </c>
      <c r="AK43" s="420">
        <v>0.034533586018109075</v>
      </c>
      <c r="AM43" s="420">
        <v>0</v>
      </c>
      <c r="AN43" s="420">
        <v>4</v>
      </c>
      <c r="AP43" s="420">
        <v>0</v>
      </c>
      <c r="AQ43" s="420">
        <v>0</v>
      </c>
      <c r="AR43" s="420">
        <v>2763.39</v>
      </c>
      <c r="AU43" s="420">
        <v>174</v>
      </c>
      <c r="AV43" s="420">
        <v>1016</v>
      </c>
      <c r="AW43" s="420">
        <v>0.17125984251968504</v>
      </c>
      <c r="AY43" s="420">
        <v>1.4116</v>
      </c>
      <c r="AZ43" s="421">
        <v>1424</v>
      </c>
      <c r="BA43" s="420">
        <v>1476</v>
      </c>
      <c r="BB43" s="420">
        <v>0.964769647696477</v>
      </c>
      <c r="BD43" s="420">
        <v>0</v>
      </c>
      <c r="BE43" s="420">
        <v>0</v>
      </c>
      <c r="BF43" s="421">
        <v>0</v>
      </c>
      <c r="BG43" s="421">
        <v>0</v>
      </c>
      <c r="BH43" s="419"/>
      <c r="BI43" s="421">
        <v>0</v>
      </c>
      <c r="BJ43" s="419"/>
      <c r="BK43" s="421">
        <v>1709.6399999999999</v>
      </c>
      <c r="BL43" s="421">
        <v>258987</v>
      </c>
      <c r="BM43" s="421">
        <v>-113200.645</v>
      </c>
      <c r="BN43" s="419"/>
      <c r="BO43" s="421">
        <v>-5688.993367061019</v>
      </c>
      <c r="BP43" s="421">
        <v>556296</v>
      </c>
      <c r="BQ43" s="421">
        <v>167159</v>
      </c>
      <c r="BR43" s="421">
        <v>465718.1358928919</v>
      </c>
      <c r="BS43" s="421">
        <v>25047.13882048292</v>
      </c>
      <c r="BT43" s="421">
        <v>58430.7978963757</v>
      </c>
      <c r="BU43" s="421">
        <v>227888.47789942884</v>
      </c>
      <c r="BV43" s="421">
        <v>280256.68627585017</v>
      </c>
      <c r="BW43" s="421">
        <v>457311.2021084907</v>
      </c>
      <c r="BX43" s="421">
        <v>135148.88974832188</v>
      </c>
      <c r="BY43" s="421">
        <v>240926.38210982832</v>
      </c>
      <c r="BZ43" s="419"/>
      <c r="CA43" s="421">
        <v>-83139.71233609298</v>
      </c>
      <c r="CB43" s="419"/>
      <c r="CC43" s="419"/>
      <c r="CD43" s="419"/>
      <c r="CE43" s="421">
        <v>324536.21111186733</v>
      </c>
      <c r="CF43" s="421">
        <v>170045.49459441748</v>
      </c>
      <c r="CG43" s="421">
        <v>198545.50588857156</v>
      </c>
      <c r="CH43" s="421">
        <v>-19146.3737998874</v>
      </c>
      <c r="CI43" s="419"/>
      <c r="CJ43" s="421">
        <v>2923575.509656027</v>
      </c>
      <c r="CK43" s="421">
        <v>-48166</v>
      </c>
      <c r="CL43" s="421">
        <v>102840.636</v>
      </c>
      <c r="CM43" s="421">
        <v>77055.9548</v>
      </c>
      <c r="CN43" s="421">
        <v>25784.68119999999</v>
      </c>
      <c r="CO43" s="419"/>
      <c r="CP43" s="419"/>
      <c r="CQ43" s="419"/>
      <c r="CR43" s="171">
        <v>784</v>
      </c>
    </row>
    <row r="44" spans="1:96" ht="9.75">
      <c r="A44" s="203">
        <v>153</v>
      </c>
      <c r="B44" s="203" t="s">
        <v>100</v>
      </c>
      <c r="C44" s="421">
        <v>26075</v>
      </c>
      <c r="D44" s="419"/>
      <c r="E44" s="419"/>
      <c r="F44" s="419"/>
      <c r="G44" s="419"/>
      <c r="H44" s="500">
        <v>4291.05</v>
      </c>
      <c r="I44" s="419"/>
      <c r="J44" s="419"/>
      <c r="K44" s="419"/>
      <c r="L44" s="419"/>
      <c r="M44" s="419"/>
      <c r="N44" s="419"/>
      <c r="O44" s="419"/>
      <c r="P44" s="419"/>
      <c r="Q44" s="421">
        <v>1038</v>
      </c>
      <c r="R44" s="421">
        <v>197</v>
      </c>
      <c r="S44" s="421">
        <v>1375</v>
      </c>
      <c r="T44" s="421">
        <v>814</v>
      </c>
      <c r="U44" s="421">
        <v>781</v>
      </c>
      <c r="V44" s="421">
        <v>13744</v>
      </c>
      <c r="W44" s="421">
        <v>4306</v>
      </c>
      <c r="X44" s="421">
        <v>2747</v>
      </c>
      <c r="Y44" s="421">
        <v>1073</v>
      </c>
      <c r="Z44" s="419"/>
      <c r="AA44" s="419"/>
      <c r="AB44" s="419"/>
      <c r="AC44" s="419"/>
      <c r="AD44" s="419"/>
      <c r="AE44" s="422">
        <v>1.372071788073512</v>
      </c>
      <c r="AF44" s="421">
        <v>47569512.78021</v>
      </c>
      <c r="AG44" s="420">
        <v>2127</v>
      </c>
      <c r="AH44" s="420">
        <v>11563</v>
      </c>
      <c r="AJ44" s="420">
        <v>1715</v>
      </c>
      <c r="AK44" s="420">
        <v>0.06577181208053691</v>
      </c>
      <c r="AM44" s="420">
        <v>0</v>
      </c>
      <c r="AN44" s="420">
        <v>37</v>
      </c>
      <c r="AP44" s="420">
        <v>0</v>
      </c>
      <c r="AQ44" s="420">
        <v>0</v>
      </c>
      <c r="AR44" s="420">
        <v>155</v>
      </c>
      <c r="AU44" s="420">
        <v>1049</v>
      </c>
      <c r="AV44" s="420">
        <v>7294</v>
      </c>
      <c r="AW44" s="420">
        <v>0.1438168357554154</v>
      </c>
      <c r="AY44" s="420">
        <v>0</v>
      </c>
      <c r="AZ44" s="421">
        <v>9498</v>
      </c>
      <c r="BA44" s="420">
        <v>9364</v>
      </c>
      <c r="BB44" s="420">
        <v>1.0143101238786842</v>
      </c>
      <c r="BD44" s="420">
        <v>0</v>
      </c>
      <c r="BE44" s="420">
        <v>1</v>
      </c>
      <c r="BF44" s="421">
        <v>0</v>
      </c>
      <c r="BG44" s="421">
        <v>0</v>
      </c>
      <c r="BH44" s="419"/>
      <c r="BI44" s="421">
        <v>0</v>
      </c>
      <c r="BJ44" s="419"/>
      <c r="BK44" s="421">
        <v>9387</v>
      </c>
      <c r="BL44" s="421">
        <v>230653</v>
      </c>
      <c r="BM44" s="421">
        <v>-1685155.65375</v>
      </c>
      <c r="BN44" s="419"/>
      <c r="BO44" s="421">
        <v>-294628.57903369516</v>
      </c>
      <c r="BP44" s="421">
        <v>1915973</v>
      </c>
      <c r="BQ44" s="421">
        <v>590926</v>
      </c>
      <c r="BR44" s="421">
        <v>1235447.8154237953</v>
      </c>
      <c r="BS44" s="421">
        <v>58300.03887859348</v>
      </c>
      <c r="BT44" s="421">
        <v>191082.24648750428</v>
      </c>
      <c r="BU44" s="421">
        <v>765331.2197312817</v>
      </c>
      <c r="BV44" s="421">
        <v>1205978.6973517747</v>
      </c>
      <c r="BW44" s="421">
        <v>2041330.1325758654</v>
      </c>
      <c r="BX44" s="421">
        <v>579064.7244630834</v>
      </c>
      <c r="BY44" s="421">
        <v>1029037.6928032943</v>
      </c>
      <c r="BZ44" s="419"/>
      <c r="CA44" s="421">
        <v>213742.32464141358</v>
      </c>
      <c r="CB44" s="419"/>
      <c r="CC44" s="419"/>
      <c r="CD44" s="419"/>
      <c r="CE44" s="421">
        <v>1125786.4807557804</v>
      </c>
      <c r="CF44" s="421">
        <v>780879.960941062</v>
      </c>
      <c r="CG44" s="421">
        <v>988525.7344516517</v>
      </c>
      <c r="CH44" s="421">
        <v>-128511.98033726795</v>
      </c>
      <c r="CI44" s="419"/>
      <c r="CJ44" s="421">
        <v>9469194.72184887</v>
      </c>
      <c r="CK44" s="421">
        <v>-1173353</v>
      </c>
      <c r="CL44" s="421">
        <v>548557.9142</v>
      </c>
      <c r="CM44" s="421">
        <v>1610625.9519399998</v>
      </c>
      <c r="CN44" s="421">
        <v>-1062068.0377399998</v>
      </c>
      <c r="CO44" s="419"/>
      <c r="CP44" s="419"/>
      <c r="CQ44" s="419"/>
      <c r="CR44" s="171">
        <v>6346</v>
      </c>
    </row>
    <row r="45" spans="1:96" ht="9.75">
      <c r="A45" s="203">
        <v>148</v>
      </c>
      <c r="B45" s="203" t="s">
        <v>101</v>
      </c>
      <c r="C45" s="421">
        <v>6862</v>
      </c>
      <c r="D45" s="419"/>
      <c r="E45" s="419"/>
      <c r="F45" s="419"/>
      <c r="G45" s="419"/>
      <c r="H45" s="500">
        <v>4291.05</v>
      </c>
      <c r="I45" s="419"/>
      <c r="J45" s="419"/>
      <c r="K45" s="419"/>
      <c r="L45" s="419"/>
      <c r="M45" s="419"/>
      <c r="N45" s="419"/>
      <c r="O45" s="419"/>
      <c r="P45" s="419"/>
      <c r="Q45" s="421">
        <v>283</v>
      </c>
      <c r="R45" s="421">
        <v>50</v>
      </c>
      <c r="S45" s="421">
        <v>365</v>
      </c>
      <c r="T45" s="421">
        <v>196</v>
      </c>
      <c r="U45" s="421">
        <v>150</v>
      </c>
      <c r="V45" s="421">
        <v>3972</v>
      </c>
      <c r="W45" s="421">
        <v>1109</v>
      </c>
      <c r="X45" s="421">
        <v>543</v>
      </c>
      <c r="Y45" s="421">
        <v>194</v>
      </c>
      <c r="Z45" s="419"/>
      <c r="AA45" s="419"/>
      <c r="AB45" s="419"/>
      <c r="AC45" s="419"/>
      <c r="AD45" s="419"/>
      <c r="AE45" s="422">
        <v>1.0742153607811011</v>
      </c>
      <c r="AF45" s="421">
        <v>9800982.77929187</v>
      </c>
      <c r="AG45" s="420">
        <v>603</v>
      </c>
      <c r="AH45" s="420">
        <v>3400</v>
      </c>
      <c r="AJ45" s="420">
        <v>233</v>
      </c>
      <c r="AK45" s="420">
        <v>0.033955115126785194</v>
      </c>
      <c r="AM45" s="420">
        <v>0</v>
      </c>
      <c r="AN45" s="420">
        <v>22</v>
      </c>
      <c r="AP45" s="420">
        <v>0</v>
      </c>
      <c r="AQ45" s="420">
        <v>0</v>
      </c>
      <c r="AR45" s="420">
        <v>15056.29</v>
      </c>
      <c r="AU45" s="420">
        <v>306</v>
      </c>
      <c r="AV45" s="420">
        <v>2046</v>
      </c>
      <c r="AW45" s="420">
        <v>0.1495601173020528</v>
      </c>
      <c r="AY45" s="420">
        <v>1.5766</v>
      </c>
      <c r="AZ45" s="421">
        <v>3172</v>
      </c>
      <c r="BA45" s="420">
        <v>3107</v>
      </c>
      <c r="BB45" s="420">
        <v>1.0209205020920502</v>
      </c>
      <c r="BD45" s="420">
        <v>1</v>
      </c>
      <c r="BE45" s="420">
        <v>476</v>
      </c>
      <c r="BF45" s="421">
        <v>0</v>
      </c>
      <c r="BG45" s="421">
        <v>0</v>
      </c>
      <c r="BH45" s="419"/>
      <c r="BI45" s="421">
        <v>0</v>
      </c>
      <c r="BJ45" s="419"/>
      <c r="BK45" s="421">
        <v>2470.3199999999997</v>
      </c>
      <c r="BL45" s="421">
        <v>479107</v>
      </c>
      <c r="BM45" s="421">
        <v>-148475.66</v>
      </c>
      <c r="BN45" s="419"/>
      <c r="BO45" s="421">
        <v>241319.49110893905</v>
      </c>
      <c r="BP45" s="421">
        <v>499986</v>
      </c>
      <c r="BQ45" s="421">
        <v>180627</v>
      </c>
      <c r="BR45" s="421">
        <v>479629.9454780115</v>
      </c>
      <c r="BS45" s="421">
        <v>24832.544674204702</v>
      </c>
      <c r="BT45" s="421">
        <v>29639.119052726277</v>
      </c>
      <c r="BU45" s="421">
        <v>168703.85073378746</v>
      </c>
      <c r="BV45" s="421">
        <v>363400.90967335243</v>
      </c>
      <c r="BW45" s="421">
        <v>488515.4997240312</v>
      </c>
      <c r="BX45" s="421">
        <v>195332.8887430073</v>
      </c>
      <c r="BY45" s="421">
        <v>303505.35275989975</v>
      </c>
      <c r="BZ45" s="419"/>
      <c r="CA45" s="421">
        <v>4897.191809608004</v>
      </c>
      <c r="CB45" s="419"/>
      <c r="CC45" s="419"/>
      <c r="CD45" s="419"/>
      <c r="CE45" s="421">
        <v>413203.85396726686</v>
      </c>
      <c r="CF45" s="421">
        <v>249648.3228254913</v>
      </c>
      <c r="CG45" s="421">
        <v>312322.7499596374</v>
      </c>
      <c r="CH45" s="421">
        <v>-33153.03088010715</v>
      </c>
      <c r="CI45" s="419"/>
      <c r="CJ45" s="421">
        <v>2013397.2395173514</v>
      </c>
      <c r="CK45" s="421">
        <v>-678015</v>
      </c>
      <c r="CL45" s="421">
        <v>153515.73200000002</v>
      </c>
      <c r="CM45" s="421">
        <v>283243.97776000004</v>
      </c>
      <c r="CN45" s="421">
        <v>-129728.24576000002</v>
      </c>
      <c r="CO45" s="419"/>
      <c r="CP45" s="419"/>
      <c r="CQ45" s="419"/>
      <c r="CR45" s="171">
        <v>1634</v>
      </c>
    </row>
    <row r="46" spans="1:96" ht="9.75">
      <c r="A46" s="203">
        <v>149</v>
      </c>
      <c r="B46" s="203" t="s">
        <v>102</v>
      </c>
      <c r="C46" s="421">
        <v>5321</v>
      </c>
      <c r="D46" s="419"/>
      <c r="E46" s="419"/>
      <c r="F46" s="419"/>
      <c r="G46" s="419"/>
      <c r="H46" s="500">
        <v>4291.05</v>
      </c>
      <c r="I46" s="419"/>
      <c r="J46" s="419"/>
      <c r="K46" s="419"/>
      <c r="L46" s="419"/>
      <c r="M46" s="419"/>
      <c r="N46" s="419"/>
      <c r="O46" s="419"/>
      <c r="P46" s="419"/>
      <c r="Q46" s="421">
        <v>230</v>
      </c>
      <c r="R46" s="421">
        <v>48</v>
      </c>
      <c r="S46" s="421">
        <v>397</v>
      </c>
      <c r="T46" s="421">
        <v>214</v>
      </c>
      <c r="U46" s="421">
        <v>195</v>
      </c>
      <c r="V46" s="421">
        <v>2866</v>
      </c>
      <c r="W46" s="421">
        <v>770</v>
      </c>
      <c r="X46" s="421">
        <v>438</v>
      </c>
      <c r="Y46" s="421">
        <v>163</v>
      </c>
      <c r="Z46" s="419"/>
      <c r="AA46" s="419"/>
      <c r="AB46" s="419"/>
      <c r="AC46" s="419"/>
      <c r="AD46" s="419"/>
      <c r="AE46" s="422">
        <v>0.8856194939444441</v>
      </c>
      <c r="AF46" s="421">
        <v>6265676.665215829</v>
      </c>
      <c r="AG46" s="420">
        <v>221</v>
      </c>
      <c r="AH46" s="420">
        <v>2544</v>
      </c>
      <c r="AJ46" s="420">
        <v>233</v>
      </c>
      <c r="AK46" s="420">
        <v>0.04378876151099417</v>
      </c>
      <c r="AM46" s="420">
        <v>3</v>
      </c>
      <c r="AN46" s="420">
        <v>2770</v>
      </c>
      <c r="AP46" s="420">
        <v>3</v>
      </c>
      <c r="AQ46" s="420">
        <v>230</v>
      </c>
      <c r="AR46" s="420">
        <v>349.89</v>
      </c>
      <c r="AU46" s="420">
        <v>236</v>
      </c>
      <c r="AV46" s="420">
        <v>1705</v>
      </c>
      <c r="AW46" s="420">
        <v>0.13841642228739004</v>
      </c>
      <c r="AY46" s="420">
        <v>0</v>
      </c>
      <c r="AZ46" s="421">
        <v>1356</v>
      </c>
      <c r="BA46" s="420">
        <v>2382</v>
      </c>
      <c r="BB46" s="420">
        <v>0.5692695214105793</v>
      </c>
      <c r="BD46" s="420">
        <v>0</v>
      </c>
      <c r="BE46" s="420">
        <v>0</v>
      </c>
      <c r="BF46" s="421">
        <v>0</v>
      </c>
      <c r="BG46" s="421">
        <v>0</v>
      </c>
      <c r="BH46" s="419"/>
      <c r="BI46" s="421">
        <v>0</v>
      </c>
      <c r="BJ46" s="419"/>
      <c r="BK46" s="421">
        <v>1915.56</v>
      </c>
      <c r="BL46" s="421">
        <v>2429</v>
      </c>
      <c r="BM46" s="421">
        <v>-100744.02</v>
      </c>
      <c r="BN46" s="419"/>
      <c r="BO46" s="421">
        <v>-139329.01962335035</v>
      </c>
      <c r="BP46" s="421">
        <v>462664</v>
      </c>
      <c r="BQ46" s="421">
        <v>145911</v>
      </c>
      <c r="BR46" s="421">
        <v>289533.9898365389</v>
      </c>
      <c r="BS46" s="421">
        <v>4845.642708322306</v>
      </c>
      <c r="BT46" s="421">
        <v>-30972.378801288753</v>
      </c>
      <c r="BU46" s="421">
        <v>67000.9340491973</v>
      </c>
      <c r="BV46" s="421">
        <v>256786.39362548</v>
      </c>
      <c r="BW46" s="421">
        <v>420191.7238836958</v>
      </c>
      <c r="BX46" s="421">
        <v>127465.4856256947</v>
      </c>
      <c r="BY46" s="421">
        <v>209778.49629041774</v>
      </c>
      <c r="BZ46" s="419"/>
      <c r="CA46" s="421">
        <v>-50359.717099781425</v>
      </c>
      <c r="CB46" s="419"/>
      <c r="CC46" s="419"/>
      <c r="CD46" s="419"/>
      <c r="CE46" s="421">
        <v>270267.1870530653</v>
      </c>
      <c r="CF46" s="421">
        <v>170363.98877127052</v>
      </c>
      <c r="CG46" s="421">
        <v>217632.29088314655</v>
      </c>
      <c r="CH46" s="421">
        <v>-30864.917794057637</v>
      </c>
      <c r="CI46" s="419"/>
      <c r="CJ46" s="421">
        <v>-474054.01027349744</v>
      </c>
      <c r="CK46" s="421">
        <v>-1115005</v>
      </c>
      <c r="CL46" s="421">
        <v>96878.86</v>
      </c>
      <c r="CM46" s="421">
        <v>2791273.7143200003</v>
      </c>
      <c r="CN46" s="421">
        <v>-2694394.8543200004</v>
      </c>
      <c r="CO46" s="419"/>
      <c r="CP46" s="419"/>
      <c r="CQ46" s="419"/>
      <c r="CR46" s="171">
        <v>1381</v>
      </c>
    </row>
    <row r="47" spans="1:96" ht="9.75">
      <c r="A47" s="203">
        <v>151</v>
      </c>
      <c r="B47" s="203" t="s">
        <v>103</v>
      </c>
      <c r="C47" s="421">
        <v>1925</v>
      </c>
      <c r="D47" s="419"/>
      <c r="E47" s="419"/>
      <c r="F47" s="419"/>
      <c r="G47" s="419"/>
      <c r="H47" s="500">
        <v>4291.05</v>
      </c>
      <c r="I47" s="419"/>
      <c r="J47" s="419"/>
      <c r="K47" s="419"/>
      <c r="L47" s="419"/>
      <c r="M47" s="419"/>
      <c r="N47" s="419"/>
      <c r="O47" s="419"/>
      <c r="P47" s="419"/>
      <c r="Q47" s="421">
        <v>71</v>
      </c>
      <c r="R47" s="421">
        <v>12</v>
      </c>
      <c r="S47" s="421">
        <v>98</v>
      </c>
      <c r="T47" s="421">
        <v>56</v>
      </c>
      <c r="U47" s="421">
        <v>65</v>
      </c>
      <c r="V47" s="421">
        <v>975</v>
      </c>
      <c r="W47" s="421">
        <v>351</v>
      </c>
      <c r="X47" s="421">
        <v>192</v>
      </c>
      <c r="Y47" s="421">
        <v>105</v>
      </c>
      <c r="Z47" s="419"/>
      <c r="AA47" s="419"/>
      <c r="AB47" s="419"/>
      <c r="AC47" s="419"/>
      <c r="AD47" s="419"/>
      <c r="AE47" s="422">
        <v>1.656301466387619</v>
      </c>
      <c r="AF47" s="421">
        <v>4239334.363791617</v>
      </c>
      <c r="AG47" s="420">
        <v>62</v>
      </c>
      <c r="AH47" s="420">
        <v>831</v>
      </c>
      <c r="AJ47" s="420">
        <v>70</v>
      </c>
      <c r="AK47" s="420">
        <v>0.03636363636363636</v>
      </c>
      <c r="AM47" s="420">
        <v>0</v>
      </c>
      <c r="AN47" s="420">
        <v>17</v>
      </c>
      <c r="AP47" s="420">
        <v>0</v>
      </c>
      <c r="AQ47" s="420">
        <v>0</v>
      </c>
      <c r="AR47" s="420">
        <v>642.38</v>
      </c>
      <c r="AU47" s="420">
        <v>90</v>
      </c>
      <c r="AV47" s="420">
        <v>465</v>
      </c>
      <c r="AW47" s="420">
        <v>0.1935483870967742</v>
      </c>
      <c r="AY47" s="420">
        <v>0.5844</v>
      </c>
      <c r="AZ47" s="421">
        <v>693</v>
      </c>
      <c r="BA47" s="420">
        <v>787</v>
      </c>
      <c r="BB47" s="420">
        <v>0.8805590851334181</v>
      </c>
      <c r="BD47" s="420">
        <v>0</v>
      </c>
      <c r="BE47" s="420">
        <v>0</v>
      </c>
      <c r="BF47" s="421">
        <v>0</v>
      </c>
      <c r="BG47" s="421">
        <v>0</v>
      </c>
      <c r="BH47" s="419"/>
      <c r="BI47" s="421">
        <v>0</v>
      </c>
      <c r="BJ47" s="419"/>
      <c r="BK47" s="421">
        <v>693</v>
      </c>
      <c r="BL47" s="421">
        <v>14391</v>
      </c>
      <c r="BM47" s="421">
        <v>-31486.955</v>
      </c>
      <c r="BN47" s="419"/>
      <c r="BO47" s="421">
        <v>-10711.074828449637</v>
      </c>
      <c r="BP47" s="421">
        <v>269740</v>
      </c>
      <c r="BQ47" s="421">
        <v>77472</v>
      </c>
      <c r="BR47" s="421">
        <v>213295.79956305336</v>
      </c>
      <c r="BS47" s="421">
        <v>12038.590237768842</v>
      </c>
      <c r="BT47" s="421">
        <v>34652.234374850144</v>
      </c>
      <c r="BU47" s="421">
        <v>98865.7058690814</v>
      </c>
      <c r="BV47" s="421">
        <v>137259.29576889312</v>
      </c>
      <c r="BW47" s="421">
        <v>215846.0136425003</v>
      </c>
      <c r="BX47" s="421">
        <v>65816.83780627932</v>
      </c>
      <c r="BY47" s="421">
        <v>111410.15812594573</v>
      </c>
      <c r="BZ47" s="419"/>
      <c r="CA47" s="421">
        <v>-11706.83174474837</v>
      </c>
      <c r="CB47" s="419"/>
      <c r="CC47" s="419"/>
      <c r="CD47" s="419"/>
      <c r="CE47" s="421">
        <v>158179.8958285775</v>
      </c>
      <c r="CF47" s="421">
        <v>83222.4554142887</v>
      </c>
      <c r="CG47" s="421">
        <v>95386.34557390974</v>
      </c>
      <c r="CH47" s="421">
        <v>-7089.625189770046</v>
      </c>
      <c r="CI47" s="419"/>
      <c r="CJ47" s="421">
        <v>1750511.9469124302</v>
      </c>
      <c r="CK47" s="421">
        <v>-508908</v>
      </c>
      <c r="CL47" s="421">
        <v>26827.992000000002</v>
      </c>
      <c r="CM47" s="421">
        <v>67069.98000000001</v>
      </c>
      <c r="CN47" s="421">
        <v>-40241.98800000001</v>
      </c>
      <c r="CO47" s="419"/>
      <c r="CP47" s="419"/>
      <c r="CQ47" s="419"/>
      <c r="CR47" s="171">
        <v>448</v>
      </c>
    </row>
    <row r="48" spans="1:96" ht="9.75">
      <c r="A48" s="203">
        <v>152</v>
      </c>
      <c r="B48" s="203" t="s">
        <v>104</v>
      </c>
      <c r="C48" s="421">
        <v>4471</v>
      </c>
      <c r="D48" s="419"/>
      <c r="E48" s="419"/>
      <c r="F48" s="419"/>
      <c r="G48" s="419"/>
      <c r="H48" s="500">
        <v>4291.05</v>
      </c>
      <c r="I48" s="419"/>
      <c r="J48" s="419"/>
      <c r="K48" s="419"/>
      <c r="L48" s="419"/>
      <c r="M48" s="419"/>
      <c r="N48" s="419"/>
      <c r="O48" s="419"/>
      <c r="P48" s="419"/>
      <c r="Q48" s="421">
        <v>205</v>
      </c>
      <c r="R48" s="421">
        <v>57</v>
      </c>
      <c r="S48" s="421">
        <v>333</v>
      </c>
      <c r="T48" s="421">
        <v>191</v>
      </c>
      <c r="U48" s="421">
        <v>159</v>
      </c>
      <c r="V48" s="421">
        <v>2252</v>
      </c>
      <c r="W48" s="421">
        <v>690</v>
      </c>
      <c r="X48" s="421">
        <v>402</v>
      </c>
      <c r="Y48" s="421">
        <v>182</v>
      </c>
      <c r="Z48" s="419"/>
      <c r="AA48" s="419"/>
      <c r="AB48" s="419"/>
      <c r="AC48" s="419"/>
      <c r="AD48" s="419"/>
      <c r="AE48" s="422">
        <v>1.1473867499402413</v>
      </c>
      <c r="AF48" s="421">
        <v>6820905.832611455</v>
      </c>
      <c r="AG48" s="420">
        <v>186</v>
      </c>
      <c r="AH48" s="420">
        <v>1970</v>
      </c>
      <c r="AJ48" s="420">
        <v>42</v>
      </c>
      <c r="AK48" s="420">
        <v>0.0093938716170879</v>
      </c>
      <c r="AM48" s="420">
        <v>0</v>
      </c>
      <c r="AN48" s="420">
        <v>34</v>
      </c>
      <c r="AP48" s="420">
        <v>0</v>
      </c>
      <c r="AQ48" s="420">
        <v>0</v>
      </c>
      <c r="AR48" s="420">
        <v>354.13</v>
      </c>
      <c r="AU48" s="420">
        <v>126</v>
      </c>
      <c r="AV48" s="420">
        <v>1224</v>
      </c>
      <c r="AW48" s="420">
        <v>0.10294117647058823</v>
      </c>
      <c r="AY48" s="420">
        <v>0</v>
      </c>
      <c r="AZ48" s="421">
        <v>1373</v>
      </c>
      <c r="BA48" s="420">
        <v>1797</v>
      </c>
      <c r="BB48" s="420">
        <v>0.7640511964385086</v>
      </c>
      <c r="BD48" s="420">
        <v>0</v>
      </c>
      <c r="BE48" s="420">
        <v>0</v>
      </c>
      <c r="BF48" s="421">
        <v>0</v>
      </c>
      <c r="BG48" s="421">
        <v>0</v>
      </c>
      <c r="BH48" s="419"/>
      <c r="BI48" s="421">
        <v>0</v>
      </c>
      <c r="BJ48" s="419"/>
      <c r="BK48" s="421">
        <v>1609.56</v>
      </c>
      <c r="BL48" s="421">
        <v>-42666</v>
      </c>
      <c r="BM48" s="421">
        <v>-162185.905</v>
      </c>
      <c r="BN48" s="419"/>
      <c r="BO48" s="421">
        <v>-4805.183234481141</v>
      </c>
      <c r="BP48" s="421">
        <v>453574</v>
      </c>
      <c r="BQ48" s="421">
        <v>149113</v>
      </c>
      <c r="BR48" s="421">
        <v>365093.086581899</v>
      </c>
      <c r="BS48" s="421">
        <v>18504.183119397294</v>
      </c>
      <c r="BT48" s="421">
        <v>39985.40308242453</v>
      </c>
      <c r="BU48" s="421">
        <v>140431.9440813769</v>
      </c>
      <c r="BV48" s="421">
        <v>268667.9662523781</v>
      </c>
      <c r="BW48" s="421">
        <v>453481.51872165385</v>
      </c>
      <c r="BX48" s="421">
        <v>123945.84333360156</v>
      </c>
      <c r="BY48" s="421">
        <v>220230.03564561004</v>
      </c>
      <c r="BZ48" s="419"/>
      <c r="CA48" s="421">
        <v>4564.141548284166</v>
      </c>
      <c r="CB48" s="419"/>
      <c r="CC48" s="419"/>
      <c r="CD48" s="419"/>
      <c r="CE48" s="421">
        <v>293845.323661813</v>
      </c>
      <c r="CF48" s="421">
        <v>168991.04064593383</v>
      </c>
      <c r="CG48" s="421">
        <v>199973.59762692984</v>
      </c>
      <c r="CH48" s="421">
        <v>-17790.975416456247</v>
      </c>
      <c r="CI48" s="419"/>
      <c r="CJ48" s="421">
        <v>3762608.899784565</v>
      </c>
      <c r="CK48" s="421">
        <v>83201</v>
      </c>
      <c r="CL48" s="421">
        <v>344292.564</v>
      </c>
      <c r="CM48" s="421">
        <v>118862.909</v>
      </c>
      <c r="CN48" s="421">
        <v>225429.65500000003</v>
      </c>
      <c r="CO48" s="419"/>
      <c r="CP48" s="419"/>
      <c r="CQ48" s="419"/>
      <c r="CR48" s="171">
        <v>1256</v>
      </c>
    </row>
    <row r="49" spans="1:96" ht="9.75">
      <c r="A49" s="203">
        <v>165</v>
      </c>
      <c r="B49" s="203" t="s">
        <v>105</v>
      </c>
      <c r="C49" s="421">
        <v>16237</v>
      </c>
      <c r="D49" s="419"/>
      <c r="E49" s="419"/>
      <c r="F49" s="419"/>
      <c r="G49" s="419"/>
      <c r="H49" s="500">
        <v>4291.05</v>
      </c>
      <c r="I49" s="419"/>
      <c r="J49" s="419"/>
      <c r="K49" s="419"/>
      <c r="L49" s="419"/>
      <c r="M49" s="419"/>
      <c r="N49" s="419"/>
      <c r="O49" s="419"/>
      <c r="P49" s="419"/>
      <c r="Q49" s="421">
        <v>863</v>
      </c>
      <c r="R49" s="421">
        <v>194</v>
      </c>
      <c r="S49" s="421">
        <v>1135</v>
      </c>
      <c r="T49" s="421">
        <v>634</v>
      </c>
      <c r="U49" s="421">
        <v>573</v>
      </c>
      <c r="V49" s="421">
        <v>8813</v>
      </c>
      <c r="W49" s="421">
        <v>2248</v>
      </c>
      <c r="X49" s="421">
        <v>1323</v>
      </c>
      <c r="Y49" s="421">
        <v>454</v>
      </c>
      <c r="Z49" s="419"/>
      <c r="AA49" s="419"/>
      <c r="AB49" s="419"/>
      <c r="AC49" s="419"/>
      <c r="AD49" s="419"/>
      <c r="AE49" s="422">
        <v>0.9730169831257908</v>
      </c>
      <c r="AF49" s="421">
        <v>21006503.220437683</v>
      </c>
      <c r="AG49" s="420">
        <v>791</v>
      </c>
      <c r="AH49" s="420">
        <v>7585</v>
      </c>
      <c r="AJ49" s="420">
        <v>488</v>
      </c>
      <c r="AK49" s="420">
        <v>0.030054813081234217</v>
      </c>
      <c r="AM49" s="420">
        <v>0</v>
      </c>
      <c r="AN49" s="420">
        <v>67</v>
      </c>
      <c r="AP49" s="420">
        <v>0</v>
      </c>
      <c r="AQ49" s="420">
        <v>0</v>
      </c>
      <c r="AR49" s="420">
        <v>547.41</v>
      </c>
      <c r="AU49" s="420">
        <v>662</v>
      </c>
      <c r="AV49" s="420">
        <v>5133</v>
      </c>
      <c r="AW49" s="420">
        <v>0.1289694135982856</v>
      </c>
      <c r="AY49" s="420">
        <v>0</v>
      </c>
      <c r="AZ49" s="421">
        <v>5015</v>
      </c>
      <c r="BA49" s="420">
        <v>6970</v>
      </c>
      <c r="BB49" s="420">
        <v>0.7195121951219512</v>
      </c>
      <c r="BD49" s="420">
        <v>0</v>
      </c>
      <c r="BE49" s="420">
        <v>0</v>
      </c>
      <c r="BF49" s="421">
        <v>0</v>
      </c>
      <c r="BG49" s="421">
        <v>0</v>
      </c>
      <c r="BH49" s="419"/>
      <c r="BI49" s="421">
        <v>0</v>
      </c>
      <c r="BJ49" s="419"/>
      <c r="BK49" s="421">
        <v>5845.32</v>
      </c>
      <c r="BL49" s="421">
        <v>-107529</v>
      </c>
      <c r="BM49" s="421">
        <v>-806228.2761</v>
      </c>
      <c r="BN49" s="419"/>
      <c r="BO49" s="421">
        <v>-98206.12784617394</v>
      </c>
      <c r="BP49" s="421">
        <v>1200523</v>
      </c>
      <c r="BQ49" s="421">
        <v>390977</v>
      </c>
      <c r="BR49" s="421">
        <v>770002.6127360079</v>
      </c>
      <c r="BS49" s="421">
        <v>16847.511053475086</v>
      </c>
      <c r="BT49" s="421">
        <v>79300.42876373355</v>
      </c>
      <c r="BU49" s="421">
        <v>347639.4998992068</v>
      </c>
      <c r="BV49" s="421">
        <v>766328.7059845112</v>
      </c>
      <c r="BW49" s="421">
        <v>1292371.9047316522</v>
      </c>
      <c r="BX49" s="421">
        <v>326396.5147712025</v>
      </c>
      <c r="BY49" s="421">
        <v>611765.1005247397</v>
      </c>
      <c r="BZ49" s="419"/>
      <c r="CA49" s="421">
        <v>41943.760558050475</v>
      </c>
      <c r="CB49" s="419"/>
      <c r="CC49" s="419"/>
      <c r="CD49" s="419"/>
      <c r="CE49" s="421">
        <v>776913.4007362706</v>
      </c>
      <c r="CF49" s="421">
        <v>513307.9554093963</v>
      </c>
      <c r="CG49" s="421">
        <v>658801.9103052907</v>
      </c>
      <c r="CH49" s="421">
        <v>-77792.07233884447</v>
      </c>
      <c r="CI49" s="419"/>
      <c r="CJ49" s="421">
        <v>5296405.927394961</v>
      </c>
      <c r="CK49" s="421">
        <v>-2047241</v>
      </c>
      <c r="CL49" s="421">
        <v>636494.1102000001</v>
      </c>
      <c r="CM49" s="421">
        <v>431915.7667600001</v>
      </c>
      <c r="CN49" s="421">
        <v>204578.34344000003</v>
      </c>
      <c r="CO49" s="419"/>
      <c r="CP49" s="419"/>
      <c r="CQ49" s="419"/>
      <c r="CR49" s="171">
        <v>4591</v>
      </c>
    </row>
    <row r="50" spans="1:96" ht="9.75">
      <c r="A50" s="203">
        <v>167</v>
      </c>
      <c r="B50" s="203" t="s">
        <v>106</v>
      </c>
      <c r="C50" s="421">
        <v>76935</v>
      </c>
      <c r="D50" s="419"/>
      <c r="E50" s="419"/>
      <c r="F50" s="419"/>
      <c r="G50" s="419"/>
      <c r="H50" s="500">
        <v>4291.05</v>
      </c>
      <c r="I50" s="419"/>
      <c r="J50" s="419"/>
      <c r="K50" s="419"/>
      <c r="L50" s="419"/>
      <c r="M50" s="419"/>
      <c r="N50" s="419"/>
      <c r="O50" s="419"/>
      <c r="P50" s="419"/>
      <c r="Q50" s="421">
        <v>3776</v>
      </c>
      <c r="R50" s="421">
        <v>717</v>
      </c>
      <c r="S50" s="421">
        <v>4393</v>
      </c>
      <c r="T50" s="421">
        <v>2196</v>
      </c>
      <c r="U50" s="421">
        <v>2401</v>
      </c>
      <c r="V50" s="421">
        <v>46160</v>
      </c>
      <c r="W50" s="421">
        <v>9845</v>
      </c>
      <c r="X50" s="421">
        <v>5361</v>
      </c>
      <c r="Y50" s="421">
        <v>2086</v>
      </c>
      <c r="Z50" s="419"/>
      <c r="AA50" s="419"/>
      <c r="AB50" s="419"/>
      <c r="AC50" s="419"/>
      <c r="AD50" s="419"/>
      <c r="AE50" s="422">
        <v>1.1350174206734263</v>
      </c>
      <c r="AF50" s="421">
        <v>116105832.87593089</v>
      </c>
      <c r="AG50" s="420">
        <v>6059</v>
      </c>
      <c r="AH50" s="420">
        <v>35429</v>
      </c>
      <c r="AJ50" s="420">
        <v>3969</v>
      </c>
      <c r="AK50" s="420">
        <v>0.05158900370442581</v>
      </c>
      <c r="AM50" s="420">
        <v>0</v>
      </c>
      <c r="AN50" s="420">
        <v>69</v>
      </c>
      <c r="AP50" s="420">
        <v>0</v>
      </c>
      <c r="AQ50" s="420">
        <v>0</v>
      </c>
      <c r="AR50" s="420">
        <v>2381.69</v>
      </c>
      <c r="AU50" s="420">
        <v>2072</v>
      </c>
      <c r="AV50" s="420">
        <v>21667</v>
      </c>
      <c r="AW50" s="420">
        <v>0.09562929801079983</v>
      </c>
      <c r="AY50" s="420">
        <v>0</v>
      </c>
      <c r="AZ50" s="421">
        <v>34321</v>
      </c>
      <c r="BA50" s="420">
        <v>30184</v>
      </c>
      <c r="BB50" s="420">
        <v>1.1370593692022264</v>
      </c>
      <c r="BD50" s="420">
        <v>0</v>
      </c>
      <c r="BE50" s="420">
        <v>4</v>
      </c>
      <c r="BF50" s="421">
        <v>0</v>
      </c>
      <c r="BG50" s="421">
        <v>0</v>
      </c>
      <c r="BH50" s="419"/>
      <c r="BI50" s="421">
        <v>0</v>
      </c>
      <c r="BJ50" s="419"/>
      <c r="BK50" s="421">
        <v>27696.6</v>
      </c>
      <c r="BL50" s="421">
        <v>1312533</v>
      </c>
      <c r="BM50" s="421">
        <v>-5623592.4876</v>
      </c>
      <c r="BN50" s="419"/>
      <c r="BO50" s="421">
        <v>12210.197223514318</v>
      </c>
      <c r="BP50" s="421">
        <v>5466814</v>
      </c>
      <c r="BQ50" s="421">
        <v>1850095</v>
      </c>
      <c r="BR50" s="421">
        <v>4594015.07155131</v>
      </c>
      <c r="BS50" s="421">
        <v>215631.76150351088</v>
      </c>
      <c r="BT50" s="421">
        <v>465003.0000221078</v>
      </c>
      <c r="BU50" s="421">
        <v>2009551.502761441</v>
      </c>
      <c r="BV50" s="421">
        <v>3964396.5649567964</v>
      </c>
      <c r="BW50" s="421">
        <v>5401227.402479835</v>
      </c>
      <c r="BX50" s="421">
        <v>2000363.9814795156</v>
      </c>
      <c r="BY50" s="421">
        <v>3459071.459052203</v>
      </c>
      <c r="BZ50" s="419"/>
      <c r="CA50" s="421">
        <v>702010.620022894</v>
      </c>
      <c r="CB50" s="419"/>
      <c r="CC50" s="419"/>
      <c r="CD50" s="419"/>
      <c r="CE50" s="421">
        <v>4389661.791918925</v>
      </c>
      <c r="CF50" s="421">
        <v>2728947.0007186937</v>
      </c>
      <c r="CG50" s="421">
        <v>3437597.4460706357</v>
      </c>
      <c r="CH50" s="421">
        <v>-320954.9175394026</v>
      </c>
      <c r="CI50" s="419"/>
      <c r="CJ50" s="421">
        <v>46358486.06582967</v>
      </c>
      <c r="CK50" s="421">
        <v>-85859</v>
      </c>
      <c r="CL50" s="421">
        <v>638431.6873999999</v>
      </c>
      <c r="CM50" s="421">
        <v>11442842.077568</v>
      </c>
      <c r="CN50" s="421">
        <v>-10804410.390168</v>
      </c>
      <c r="CO50" s="419"/>
      <c r="CP50" s="419"/>
      <c r="CQ50" s="419"/>
      <c r="CR50" s="171">
        <v>27079</v>
      </c>
    </row>
    <row r="51" spans="1:96" ht="9.75">
      <c r="A51" s="203">
        <v>169</v>
      </c>
      <c r="B51" s="203" t="s">
        <v>107</v>
      </c>
      <c r="C51" s="421">
        <v>5061</v>
      </c>
      <c r="D51" s="419"/>
      <c r="E51" s="419"/>
      <c r="F51" s="419"/>
      <c r="G51" s="419"/>
      <c r="H51" s="500">
        <v>4291.05</v>
      </c>
      <c r="I51" s="419"/>
      <c r="J51" s="419"/>
      <c r="K51" s="419"/>
      <c r="L51" s="419"/>
      <c r="M51" s="419"/>
      <c r="N51" s="419"/>
      <c r="O51" s="419"/>
      <c r="P51" s="419"/>
      <c r="Q51" s="421">
        <v>218</v>
      </c>
      <c r="R51" s="421">
        <v>51</v>
      </c>
      <c r="S51" s="421">
        <v>349</v>
      </c>
      <c r="T51" s="421">
        <v>188</v>
      </c>
      <c r="U51" s="421">
        <v>201</v>
      </c>
      <c r="V51" s="421">
        <v>2680</v>
      </c>
      <c r="W51" s="421">
        <v>817</v>
      </c>
      <c r="X51" s="421">
        <v>387</v>
      </c>
      <c r="Y51" s="421">
        <v>170</v>
      </c>
      <c r="Z51" s="419"/>
      <c r="AA51" s="419"/>
      <c r="AB51" s="419"/>
      <c r="AC51" s="419"/>
      <c r="AD51" s="419"/>
      <c r="AE51" s="422">
        <v>0.9913091026040077</v>
      </c>
      <c r="AF51" s="421">
        <v>6670724.201244922</v>
      </c>
      <c r="AG51" s="420">
        <v>218</v>
      </c>
      <c r="AH51" s="420">
        <v>2404</v>
      </c>
      <c r="AJ51" s="420">
        <v>129</v>
      </c>
      <c r="AK51" s="420">
        <v>0.025489033787788974</v>
      </c>
      <c r="AM51" s="420">
        <v>0</v>
      </c>
      <c r="AN51" s="420">
        <v>23</v>
      </c>
      <c r="AP51" s="420">
        <v>0</v>
      </c>
      <c r="AQ51" s="420">
        <v>0</v>
      </c>
      <c r="AR51" s="420">
        <v>180.42</v>
      </c>
      <c r="AU51" s="420">
        <v>196</v>
      </c>
      <c r="AV51" s="420">
        <v>1506</v>
      </c>
      <c r="AW51" s="420">
        <v>0.1301460823373174</v>
      </c>
      <c r="AY51" s="420">
        <v>0</v>
      </c>
      <c r="AZ51" s="421">
        <v>1728</v>
      </c>
      <c r="BA51" s="420">
        <v>2172</v>
      </c>
      <c r="BB51" s="420">
        <v>0.7955801104972375</v>
      </c>
      <c r="BD51" s="420">
        <v>0</v>
      </c>
      <c r="BE51" s="420">
        <v>0</v>
      </c>
      <c r="BF51" s="421">
        <v>0</v>
      </c>
      <c r="BG51" s="421">
        <v>0</v>
      </c>
      <c r="BH51" s="419"/>
      <c r="BI51" s="421">
        <v>0</v>
      </c>
      <c r="BJ51" s="419"/>
      <c r="BK51" s="421">
        <v>1821.96</v>
      </c>
      <c r="BL51" s="421">
        <v>-15340</v>
      </c>
      <c r="BM51" s="421">
        <v>-161155.335</v>
      </c>
      <c r="BN51" s="419"/>
      <c r="BO51" s="421">
        <v>222840.09286955744</v>
      </c>
      <c r="BP51" s="421">
        <v>431133</v>
      </c>
      <c r="BQ51" s="421">
        <v>139452</v>
      </c>
      <c r="BR51" s="421">
        <v>326940.78055129474</v>
      </c>
      <c r="BS51" s="421">
        <v>12066.66858147358</v>
      </c>
      <c r="BT51" s="421">
        <v>33921.12678390197</v>
      </c>
      <c r="BU51" s="421">
        <v>152770.26811155965</v>
      </c>
      <c r="BV51" s="421">
        <v>274456.85582012346</v>
      </c>
      <c r="BW51" s="421">
        <v>465128.85788012884</v>
      </c>
      <c r="BX51" s="421">
        <v>118944.17022397346</v>
      </c>
      <c r="BY51" s="421">
        <v>221103.60443573224</v>
      </c>
      <c r="BZ51" s="419"/>
      <c r="CA51" s="421">
        <v>12639.145820028927</v>
      </c>
      <c r="CB51" s="419"/>
      <c r="CC51" s="419"/>
      <c r="CD51" s="419"/>
      <c r="CE51" s="421">
        <v>289466.16991886846</v>
      </c>
      <c r="CF51" s="421">
        <v>170381.76330824205</v>
      </c>
      <c r="CG51" s="421">
        <v>223873.69480872795</v>
      </c>
      <c r="CH51" s="421">
        <v>-22601.91335456199</v>
      </c>
      <c r="CI51" s="419"/>
      <c r="CJ51" s="421">
        <v>2026151.1569787608</v>
      </c>
      <c r="CK51" s="421">
        <v>-1291424</v>
      </c>
      <c r="CL51" s="421">
        <v>247413.704</v>
      </c>
      <c r="CM51" s="421">
        <v>205040.38108000002</v>
      </c>
      <c r="CN51" s="421">
        <v>42373.32291999998</v>
      </c>
      <c r="CO51" s="419"/>
      <c r="CP51" s="419"/>
      <c r="CQ51" s="419"/>
      <c r="CR51" s="171">
        <v>1355</v>
      </c>
    </row>
    <row r="52" spans="1:96" ht="9.75">
      <c r="A52" s="203">
        <v>171</v>
      </c>
      <c r="B52" s="203" t="s">
        <v>108</v>
      </c>
      <c r="C52" s="421">
        <v>4689</v>
      </c>
      <c r="D52" s="419"/>
      <c r="E52" s="419"/>
      <c r="F52" s="419"/>
      <c r="G52" s="419"/>
      <c r="H52" s="500">
        <v>4291.05</v>
      </c>
      <c r="I52" s="419"/>
      <c r="J52" s="419"/>
      <c r="K52" s="419"/>
      <c r="L52" s="419"/>
      <c r="M52" s="419"/>
      <c r="N52" s="419"/>
      <c r="O52" s="419"/>
      <c r="P52" s="419"/>
      <c r="Q52" s="421">
        <v>201</v>
      </c>
      <c r="R52" s="421">
        <v>41</v>
      </c>
      <c r="S52" s="421">
        <v>293</v>
      </c>
      <c r="T52" s="421">
        <v>150</v>
      </c>
      <c r="U52" s="421">
        <v>131</v>
      </c>
      <c r="V52" s="421">
        <v>2412</v>
      </c>
      <c r="W52" s="421">
        <v>847</v>
      </c>
      <c r="X52" s="421">
        <v>449</v>
      </c>
      <c r="Y52" s="421">
        <v>165</v>
      </c>
      <c r="Z52" s="419"/>
      <c r="AA52" s="419"/>
      <c r="AB52" s="419"/>
      <c r="AC52" s="419"/>
      <c r="AD52" s="419"/>
      <c r="AE52" s="422">
        <v>1.306270173397874</v>
      </c>
      <c r="AF52" s="421">
        <v>8144056.854090013</v>
      </c>
      <c r="AG52" s="420">
        <v>214</v>
      </c>
      <c r="AH52" s="420">
        <v>2057</v>
      </c>
      <c r="AJ52" s="420">
        <v>170</v>
      </c>
      <c r="AK52" s="420">
        <v>0.03625506504585199</v>
      </c>
      <c r="AM52" s="420">
        <v>0</v>
      </c>
      <c r="AN52" s="420">
        <v>19</v>
      </c>
      <c r="AP52" s="420">
        <v>0</v>
      </c>
      <c r="AQ52" s="420">
        <v>0</v>
      </c>
      <c r="AR52" s="420">
        <v>574.9</v>
      </c>
      <c r="AU52" s="420">
        <v>177</v>
      </c>
      <c r="AV52" s="420">
        <v>1240</v>
      </c>
      <c r="AW52" s="420">
        <v>0.14274193548387096</v>
      </c>
      <c r="AY52" s="420">
        <v>0</v>
      </c>
      <c r="AZ52" s="421">
        <v>1433</v>
      </c>
      <c r="BA52" s="420">
        <v>1840</v>
      </c>
      <c r="BB52" s="420">
        <v>0.778804347826087</v>
      </c>
      <c r="BD52" s="420">
        <v>0</v>
      </c>
      <c r="BE52" s="420">
        <v>0</v>
      </c>
      <c r="BF52" s="421">
        <v>0</v>
      </c>
      <c r="BG52" s="421">
        <v>0</v>
      </c>
      <c r="BH52" s="419"/>
      <c r="BI52" s="421">
        <v>0</v>
      </c>
      <c r="BJ52" s="419"/>
      <c r="BK52" s="421">
        <v>1688.04</v>
      </c>
      <c r="BL52" s="421">
        <v>-25108</v>
      </c>
      <c r="BM52" s="421">
        <v>-153562.315</v>
      </c>
      <c r="BN52" s="419"/>
      <c r="BO52" s="421">
        <v>-48409.14895039052</v>
      </c>
      <c r="BP52" s="421">
        <v>458018</v>
      </c>
      <c r="BQ52" s="421">
        <v>146662</v>
      </c>
      <c r="BR52" s="421">
        <v>360067.20291200245</v>
      </c>
      <c r="BS52" s="421">
        <v>19282.32906391698</v>
      </c>
      <c r="BT52" s="421">
        <v>64627.10886705624</v>
      </c>
      <c r="BU52" s="421">
        <v>183244.2423845158</v>
      </c>
      <c r="BV52" s="421">
        <v>271733.55857463356</v>
      </c>
      <c r="BW52" s="421">
        <v>427994.98927957815</v>
      </c>
      <c r="BX52" s="421">
        <v>126552.7523738924</v>
      </c>
      <c r="BY52" s="421">
        <v>232621.35515414388</v>
      </c>
      <c r="BZ52" s="419"/>
      <c r="CA52" s="421">
        <v>-1513.2737967293433</v>
      </c>
      <c r="CB52" s="419"/>
      <c r="CC52" s="419"/>
      <c r="CD52" s="419"/>
      <c r="CE52" s="421">
        <v>306777.74972593767</v>
      </c>
      <c r="CF52" s="421">
        <v>173650.14984700282</v>
      </c>
      <c r="CG52" s="421">
        <v>217411.5200095353</v>
      </c>
      <c r="CH52" s="421">
        <v>-19979.585752619572</v>
      </c>
      <c r="CI52" s="419"/>
      <c r="CJ52" s="421">
        <v>2581636.3440781143</v>
      </c>
      <c r="CK52" s="421">
        <v>-135669</v>
      </c>
      <c r="CL52" s="421">
        <v>34280.212</v>
      </c>
      <c r="CM52" s="421">
        <v>149104.01776000002</v>
      </c>
      <c r="CN52" s="421">
        <v>-114823.80576000002</v>
      </c>
      <c r="CO52" s="419"/>
      <c r="CP52" s="419"/>
      <c r="CQ52" s="419"/>
      <c r="CR52" s="171">
        <v>1096</v>
      </c>
    </row>
    <row r="53" spans="1:96" ht="9.75">
      <c r="A53" s="203">
        <v>172</v>
      </c>
      <c r="B53" s="203" t="s">
        <v>109</v>
      </c>
      <c r="C53" s="421">
        <v>4297</v>
      </c>
      <c r="D53" s="419"/>
      <c r="E53" s="419"/>
      <c r="F53" s="419"/>
      <c r="G53" s="419"/>
      <c r="H53" s="500">
        <v>4291.05</v>
      </c>
      <c r="I53" s="419"/>
      <c r="J53" s="419"/>
      <c r="K53" s="419"/>
      <c r="L53" s="419"/>
      <c r="M53" s="419"/>
      <c r="N53" s="419"/>
      <c r="O53" s="419"/>
      <c r="P53" s="419"/>
      <c r="Q53" s="421">
        <v>119</v>
      </c>
      <c r="R53" s="421">
        <v>38</v>
      </c>
      <c r="S53" s="421">
        <v>205</v>
      </c>
      <c r="T53" s="421">
        <v>125</v>
      </c>
      <c r="U53" s="421">
        <v>105</v>
      </c>
      <c r="V53" s="421">
        <v>2021</v>
      </c>
      <c r="W53" s="421">
        <v>896</v>
      </c>
      <c r="X53" s="421">
        <v>557</v>
      </c>
      <c r="Y53" s="421">
        <v>231</v>
      </c>
      <c r="Z53" s="419"/>
      <c r="AA53" s="419"/>
      <c r="AB53" s="419"/>
      <c r="AC53" s="419"/>
      <c r="AD53" s="419"/>
      <c r="AE53" s="422">
        <v>1.4199169855856177</v>
      </c>
      <c r="AF53" s="421">
        <v>8112521.514352597</v>
      </c>
      <c r="AG53" s="420">
        <v>225</v>
      </c>
      <c r="AH53" s="420">
        <v>1748</v>
      </c>
      <c r="AJ53" s="420">
        <v>92</v>
      </c>
      <c r="AK53" s="420">
        <v>0.021410286246218293</v>
      </c>
      <c r="AM53" s="420">
        <v>0</v>
      </c>
      <c r="AN53" s="420">
        <v>9</v>
      </c>
      <c r="AP53" s="420">
        <v>3</v>
      </c>
      <c r="AQ53" s="420">
        <v>271</v>
      </c>
      <c r="AR53" s="420">
        <v>867.03</v>
      </c>
      <c r="AU53" s="420">
        <v>169</v>
      </c>
      <c r="AV53" s="420">
        <v>1030</v>
      </c>
      <c r="AW53" s="420">
        <v>0.16407766990291262</v>
      </c>
      <c r="AY53" s="420">
        <v>0.5597</v>
      </c>
      <c r="AZ53" s="421">
        <v>1414</v>
      </c>
      <c r="BA53" s="420">
        <v>1537</v>
      </c>
      <c r="BB53" s="420">
        <v>0.9199739752765127</v>
      </c>
      <c r="BD53" s="420">
        <v>0</v>
      </c>
      <c r="BE53" s="420">
        <v>0</v>
      </c>
      <c r="BF53" s="421">
        <v>0</v>
      </c>
      <c r="BG53" s="421">
        <v>0</v>
      </c>
      <c r="BH53" s="419"/>
      <c r="BI53" s="421">
        <v>0</v>
      </c>
      <c r="BJ53" s="419"/>
      <c r="BK53" s="421">
        <v>1546.9199999999998</v>
      </c>
      <c r="BL53" s="421">
        <v>46067</v>
      </c>
      <c r="BM53" s="421">
        <v>-192002.115</v>
      </c>
      <c r="BN53" s="419"/>
      <c r="BO53" s="421">
        <v>-40989.04836730845</v>
      </c>
      <c r="BP53" s="421">
        <v>509443</v>
      </c>
      <c r="BQ53" s="421">
        <v>157472</v>
      </c>
      <c r="BR53" s="421">
        <v>386498.84245449177</v>
      </c>
      <c r="BS53" s="421">
        <v>20618.110462585326</v>
      </c>
      <c r="BT53" s="421">
        <v>40447.19861348784</v>
      </c>
      <c r="BU53" s="421">
        <v>194577.63640664515</v>
      </c>
      <c r="BV53" s="421">
        <v>270506.83662957774</v>
      </c>
      <c r="BW53" s="421">
        <v>404843.30322021345</v>
      </c>
      <c r="BX53" s="421">
        <v>122326.54536871142</v>
      </c>
      <c r="BY53" s="421">
        <v>222307.7076019801</v>
      </c>
      <c r="BZ53" s="419"/>
      <c r="CA53" s="421">
        <v>18621.81460386124</v>
      </c>
      <c r="CB53" s="419"/>
      <c r="CC53" s="419"/>
      <c r="CD53" s="419"/>
      <c r="CE53" s="421">
        <v>301320.5863602104</v>
      </c>
      <c r="CF53" s="421">
        <v>162749.27209112822</v>
      </c>
      <c r="CG53" s="421">
        <v>194549.1102761464</v>
      </c>
      <c r="CH53" s="421">
        <v>-17532.00836315864</v>
      </c>
      <c r="CI53" s="419"/>
      <c r="CJ53" s="421">
        <v>3557418.651593743</v>
      </c>
      <c r="CK53" s="421">
        <v>78790</v>
      </c>
      <c r="CL53" s="421">
        <v>301218.73240000004</v>
      </c>
      <c r="CM53" s="421">
        <v>291635.17747999995</v>
      </c>
      <c r="CN53" s="421">
        <v>9583.554920000082</v>
      </c>
      <c r="CO53" s="419"/>
      <c r="CP53" s="419"/>
      <c r="CQ53" s="419"/>
      <c r="CR53" s="171">
        <v>785</v>
      </c>
    </row>
    <row r="54" spans="1:96" ht="9.75">
      <c r="A54" s="203">
        <v>176</v>
      </c>
      <c r="B54" s="203" t="s">
        <v>110</v>
      </c>
      <c r="C54" s="421">
        <v>4527</v>
      </c>
      <c r="D54" s="419"/>
      <c r="E54" s="419"/>
      <c r="F54" s="419"/>
      <c r="G54" s="419"/>
      <c r="H54" s="500">
        <v>4291.05</v>
      </c>
      <c r="I54" s="419"/>
      <c r="J54" s="419"/>
      <c r="K54" s="419"/>
      <c r="L54" s="419"/>
      <c r="M54" s="419"/>
      <c r="N54" s="419"/>
      <c r="O54" s="419"/>
      <c r="P54" s="419"/>
      <c r="Q54" s="421">
        <v>140</v>
      </c>
      <c r="R54" s="421">
        <v>24</v>
      </c>
      <c r="S54" s="421">
        <v>190</v>
      </c>
      <c r="T54" s="421">
        <v>147</v>
      </c>
      <c r="U54" s="421">
        <v>120</v>
      </c>
      <c r="V54" s="421">
        <v>2202</v>
      </c>
      <c r="W54" s="421">
        <v>941</v>
      </c>
      <c r="X54" s="421">
        <v>540</v>
      </c>
      <c r="Y54" s="421">
        <v>223</v>
      </c>
      <c r="Z54" s="419"/>
      <c r="AA54" s="419"/>
      <c r="AB54" s="419"/>
      <c r="AC54" s="419"/>
      <c r="AD54" s="419"/>
      <c r="AE54" s="422">
        <v>1.6815469886485164</v>
      </c>
      <c r="AF54" s="421">
        <v>10121550.706715627</v>
      </c>
      <c r="AG54" s="420">
        <v>311</v>
      </c>
      <c r="AH54" s="420">
        <v>1754</v>
      </c>
      <c r="AJ54" s="420">
        <v>95</v>
      </c>
      <c r="AK54" s="420">
        <v>0.020985199911641262</v>
      </c>
      <c r="AM54" s="420">
        <v>0</v>
      </c>
      <c r="AN54" s="420">
        <v>3</v>
      </c>
      <c r="AP54" s="420">
        <v>3</v>
      </c>
      <c r="AQ54" s="420">
        <v>185</v>
      </c>
      <c r="AR54" s="420">
        <v>1501.7</v>
      </c>
      <c r="AU54" s="420">
        <v>183</v>
      </c>
      <c r="AV54" s="420">
        <v>1019</v>
      </c>
      <c r="AW54" s="420">
        <v>0.17958783120706576</v>
      </c>
      <c r="AY54" s="420">
        <v>1.1655</v>
      </c>
      <c r="AZ54" s="421">
        <v>1399</v>
      </c>
      <c r="BA54" s="420">
        <v>1390</v>
      </c>
      <c r="BB54" s="420">
        <v>1.006474820143885</v>
      </c>
      <c r="BD54" s="420">
        <v>0</v>
      </c>
      <c r="BE54" s="420">
        <v>0</v>
      </c>
      <c r="BF54" s="421">
        <v>0</v>
      </c>
      <c r="BG54" s="421">
        <v>0</v>
      </c>
      <c r="BH54" s="419"/>
      <c r="BI54" s="421">
        <v>0</v>
      </c>
      <c r="BJ54" s="419"/>
      <c r="BK54" s="421">
        <v>1629.72</v>
      </c>
      <c r="BL54" s="421">
        <v>323163</v>
      </c>
      <c r="BM54" s="421">
        <v>-186255.17025</v>
      </c>
      <c r="BN54" s="419"/>
      <c r="BO54" s="421">
        <v>155506.09383029118</v>
      </c>
      <c r="BP54" s="421">
        <v>547362</v>
      </c>
      <c r="BQ54" s="421">
        <v>154414</v>
      </c>
      <c r="BR54" s="421">
        <v>415752.7127668068</v>
      </c>
      <c r="BS54" s="421">
        <v>24771.699430695844</v>
      </c>
      <c r="BT54" s="421">
        <v>66604.4829469826</v>
      </c>
      <c r="BU54" s="421">
        <v>225061.96261168466</v>
      </c>
      <c r="BV54" s="421">
        <v>273299.08005427447</v>
      </c>
      <c r="BW54" s="421">
        <v>416617.9246992255</v>
      </c>
      <c r="BX54" s="421">
        <v>135404.7667914273</v>
      </c>
      <c r="BY54" s="421">
        <v>238022.65096683003</v>
      </c>
      <c r="BZ54" s="419"/>
      <c r="CA54" s="421">
        <v>38822.141898413305</v>
      </c>
      <c r="CB54" s="419"/>
      <c r="CC54" s="419"/>
      <c r="CD54" s="419"/>
      <c r="CE54" s="421">
        <v>318006.4627669815</v>
      </c>
      <c r="CF54" s="421">
        <v>170454.05062057608</v>
      </c>
      <c r="CG54" s="421">
        <v>200684.76227130444</v>
      </c>
      <c r="CH54" s="421">
        <v>-16115.652179499575</v>
      </c>
      <c r="CI54" s="419"/>
      <c r="CJ54" s="421">
        <v>4553891.920316448</v>
      </c>
      <c r="CK54" s="421">
        <v>-103558</v>
      </c>
      <c r="CL54" s="421">
        <v>53655.984000000004</v>
      </c>
      <c r="CM54" s="421">
        <v>278072.13708</v>
      </c>
      <c r="CN54" s="421">
        <v>-224416.15308000002</v>
      </c>
      <c r="CO54" s="419"/>
      <c r="CP54" s="419"/>
      <c r="CQ54" s="419"/>
      <c r="CR54" s="171">
        <v>834</v>
      </c>
    </row>
    <row r="55" spans="1:96" ht="9.75">
      <c r="A55" s="203">
        <v>177</v>
      </c>
      <c r="B55" s="203" t="s">
        <v>111</v>
      </c>
      <c r="C55" s="421">
        <v>1800</v>
      </c>
      <c r="D55" s="419"/>
      <c r="E55" s="419"/>
      <c r="F55" s="419"/>
      <c r="G55" s="419"/>
      <c r="H55" s="500">
        <v>4291.05</v>
      </c>
      <c r="I55" s="419"/>
      <c r="J55" s="419"/>
      <c r="K55" s="419"/>
      <c r="L55" s="419"/>
      <c r="M55" s="419"/>
      <c r="N55" s="419"/>
      <c r="O55" s="419"/>
      <c r="P55" s="419"/>
      <c r="Q55" s="421">
        <v>68</v>
      </c>
      <c r="R55" s="421">
        <v>21</v>
      </c>
      <c r="S55" s="421">
        <v>124</v>
      </c>
      <c r="T55" s="421">
        <v>61</v>
      </c>
      <c r="U55" s="421">
        <v>55</v>
      </c>
      <c r="V55" s="421">
        <v>886</v>
      </c>
      <c r="W55" s="421">
        <v>325</v>
      </c>
      <c r="X55" s="421">
        <v>181</v>
      </c>
      <c r="Y55" s="421">
        <v>79</v>
      </c>
      <c r="Z55" s="419"/>
      <c r="AA55" s="419"/>
      <c r="AB55" s="419"/>
      <c r="AC55" s="419"/>
      <c r="AD55" s="419"/>
      <c r="AE55" s="422">
        <v>1.1756330147197909</v>
      </c>
      <c r="AF55" s="421">
        <v>2813661.398900825</v>
      </c>
      <c r="AG55" s="420">
        <v>65</v>
      </c>
      <c r="AH55" s="420">
        <v>768</v>
      </c>
      <c r="AJ55" s="420">
        <v>19</v>
      </c>
      <c r="AK55" s="420">
        <v>0.010555555555555556</v>
      </c>
      <c r="AM55" s="420">
        <v>0</v>
      </c>
      <c r="AN55" s="420">
        <v>4</v>
      </c>
      <c r="AP55" s="420">
        <v>0</v>
      </c>
      <c r="AQ55" s="420">
        <v>0</v>
      </c>
      <c r="AR55" s="420">
        <v>258.5</v>
      </c>
      <c r="AU55" s="420">
        <v>78</v>
      </c>
      <c r="AV55" s="420">
        <v>488</v>
      </c>
      <c r="AW55" s="420">
        <v>0.1598360655737705</v>
      </c>
      <c r="AY55" s="420">
        <v>0</v>
      </c>
      <c r="AZ55" s="421">
        <v>662</v>
      </c>
      <c r="BA55" s="420">
        <v>700</v>
      </c>
      <c r="BB55" s="420">
        <v>0.9457142857142857</v>
      </c>
      <c r="BD55" s="420">
        <v>0</v>
      </c>
      <c r="BE55" s="420">
        <v>0</v>
      </c>
      <c r="BF55" s="421">
        <v>0</v>
      </c>
      <c r="BG55" s="421">
        <v>0</v>
      </c>
      <c r="BH55" s="419"/>
      <c r="BI55" s="421">
        <v>0</v>
      </c>
      <c r="BJ55" s="419"/>
      <c r="BK55" s="421">
        <v>648</v>
      </c>
      <c r="BL55" s="421">
        <v>74543</v>
      </c>
      <c r="BM55" s="421">
        <v>-53487.39</v>
      </c>
      <c r="BN55" s="419"/>
      <c r="BO55" s="421">
        <v>63092.34340299107</v>
      </c>
      <c r="BP55" s="421">
        <v>184962</v>
      </c>
      <c r="BQ55" s="421">
        <v>59201</v>
      </c>
      <c r="BR55" s="421">
        <v>142388.02164284655</v>
      </c>
      <c r="BS55" s="421">
        <v>7441.130700675454</v>
      </c>
      <c r="BT55" s="421">
        <v>16358.817618945292</v>
      </c>
      <c r="BU55" s="421">
        <v>62158.934686852546</v>
      </c>
      <c r="BV55" s="421">
        <v>102466.6999239395</v>
      </c>
      <c r="BW55" s="421">
        <v>189943.87181631447</v>
      </c>
      <c r="BX55" s="421">
        <v>45709.12819189026</v>
      </c>
      <c r="BY55" s="421">
        <v>86024.32833867977</v>
      </c>
      <c r="BZ55" s="419"/>
      <c r="CA55" s="421">
        <v>-5277.876121368623</v>
      </c>
      <c r="CB55" s="419"/>
      <c r="CC55" s="419"/>
      <c r="CD55" s="419"/>
      <c r="CE55" s="421">
        <v>116895.3112175987</v>
      </c>
      <c r="CF55" s="421">
        <v>67157.52663625452</v>
      </c>
      <c r="CG55" s="421">
        <v>81047.7231657485</v>
      </c>
      <c r="CH55" s="421">
        <v>-8060.810686422391</v>
      </c>
      <c r="CI55" s="419"/>
      <c r="CJ55" s="421">
        <v>568879.6018302484</v>
      </c>
      <c r="CK55" s="421">
        <v>-479945</v>
      </c>
      <c r="CL55" s="421">
        <v>26827.992000000002</v>
      </c>
      <c r="CM55" s="421">
        <v>105106.11088000001</v>
      </c>
      <c r="CN55" s="421">
        <v>-78278.11888000001</v>
      </c>
      <c r="CO55" s="419"/>
      <c r="CP55" s="419"/>
      <c r="CQ55" s="419"/>
      <c r="CR55" s="171">
        <v>430</v>
      </c>
    </row>
    <row r="56" spans="1:96" ht="9.75">
      <c r="A56" s="203">
        <v>178</v>
      </c>
      <c r="B56" s="203" t="s">
        <v>112</v>
      </c>
      <c r="C56" s="421">
        <v>5932</v>
      </c>
      <c r="D56" s="419"/>
      <c r="E56" s="419"/>
      <c r="F56" s="419"/>
      <c r="G56" s="419"/>
      <c r="H56" s="500">
        <v>4291.05</v>
      </c>
      <c r="I56" s="419"/>
      <c r="J56" s="419"/>
      <c r="K56" s="419"/>
      <c r="L56" s="419"/>
      <c r="M56" s="419"/>
      <c r="N56" s="419"/>
      <c r="O56" s="419"/>
      <c r="P56" s="419"/>
      <c r="Q56" s="421">
        <v>216</v>
      </c>
      <c r="R56" s="421">
        <v>54</v>
      </c>
      <c r="S56" s="421">
        <v>283</v>
      </c>
      <c r="T56" s="421">
        <v>184</v>
      </c>
      <c r="U56" s="421">
        <v>163</v>
      </c>
      <c r="V56" s="421">
        <v>2866</v>
      </c>
      <c r="W56" s="421">
        <v>1139</v>
      </c>
      <c r="X56" s="421">
        <v>724</v>
      </c>
      <c r="Y56" s="421">
        <v>303</v>
      </c>
      <c r="Z56" s="419"/>
      <c r="AA56" s="419"/>
      <c r="AB56" s="419"/>
      <c r="AC56" s="419"/>
      <c r="AD56" s="419"/>
      <c r="AE56" s="422">
        <v>1.6014728109535636</v>
      </c>
      <c r="AF56" s="421">
        <v>12631306.230352826</v>
      </c>
      <c r="AG56" s="420">
        <v>271</v>
      </c>
      <c r="AH56" s="420">
        <v>2574</v>
      </c>
      <c r="AJ56" s="420">
        <v>131</v>
      </c>
      <c r="AK56" s="420">
        <v>0.02208361429534727</v>
      </c>
      <c r="AM56" s="420">
        <v>0</v>
      </c>
      <c r="AN56" s="420">
        <v>19</v>
      </c>
      <c r="AP56" s="420">
        <v>0</v>
      </c>
      <c r="AQ56" s="420">
        <v>0</v>
      </c>
      <c r="AR56" s="420">
        <v>1163.19</v>
      </c>
      <c r="AU56" s="420">
        <v>176</v>
      </c>
      <c r="AV56" s="420">
        <v>1412</v>
      </c>
      <c r="AW56" s="420">
        <v>0.12464589235127478</v>
      </c>
      <c r="AY56" s="420">
        <v>0.4924</v>
      </c>
      <c r="AZ56" s="421">
        <v>1947</v>
      </c>
      <c r="BA56" s="420">
        <v>2262</v>
      </c>
      <c r="BB56" s="420">
        <v>0.8607427055702918</v>
      </c>
      <c r="BD56" s="420">
        <v>0</v>
      </c>
      <c r="BE56" s="420">
        <v>0</v>
      </c>
      <c r="BF56" s="421">
        <v>0</v>
      </c>
      <c r="BG56" s="421">
        <v>0</v>
      </c>
      <c r="BH56" s="419"/>
      <c r="BI56" s="421">
        <v>0</v>
      </c>
      <c r="BJ56" s="419"/>
      <c r="BK56" s="421">
        <v>2135.52</v>
      </c>
      <c r="BL56" s="421">
        <v>-95379</v>
      </c>
      <c r="BM56" s="421">
        <v>-154005.25</v>
      </c>
      <c r="BN56" s="419"/>
      <c r="BO56" s="421">
        <v>90682.62796044722</v>
      </c>
      <c r="BP56" s="421">
        <v>705473</v>
      </c>
      <c r="BQ56" s="421">
        <v>224298</v>
      </c>
      <c r="BR56" s="421">
        <v>573341.1841903866</v>
      </c>
      <c r="BS56" s="421">
        <v>29992.922592651285</v>
      </c>
      <c r="BT56" s="421">
        <v>63985.8973245744</v>
      </c>
      <c r="BU56" s="421">
        <v>254616.91607701505</v>
      </c>
      <c r="BV56" s="421">
        <v>373516.89299610566</v>
      </c>
      <c r="BW56" s="421">
        <v>589182.0301147826</v>
      </c>
      <c r="BX56" s="421">
        <v>195151.42496183366</v>
      </c>
      <c r="BY56" s="421">
        <v>321168.96614469704</v>
      </c>
      <c r="BZ56" s="419"/>
      <c r="CA56" s="421">
        <v>-46056.889938327506</v>
      </c>
      <c r="CB56" s="419"/>
      <c r="CC56" s="419"/>
      <c r="CD56" s="419"/>
      <c r="CE56" s="421">
        <v>451019.73569176643</v>
      </c>
      <c r="CF56" s="421">
        <v>246029.35137396018</v>
      </c>
      <c r="CG56" s="421">
        <v>283931.073774857</v>
      </c>
      <c r="CH56" s="421">
        <v>-22765.294832038533</v>
      </c>
      <c r="CI56" s="419"/>
      <c r="CJ56" s="421">
        <v>4588897.160171095</v>
      </c>
      <c r="CK56" s="421">
        <v>-581018</v>
      </c>
      <c r="CL56" s="421">
        <v>114987.7546</v>
      </c>
      <c r="CM56" s="421">
        <v>139386.32288</v>
      </c>
      <c r="CN56" s="421">
        <v>-24398.568279999992</v>
      </c>
      <c r="CO56" s="419"/>
      <c r="CP56" s="419"/>
      <c r="CQ56" s="419"/>
      <c r="CR56" s="171">
        <v>1270</v>
      </c>
    </row>
    <row r="57" spans="1:96" ht="9.75">
      <c r="A57" s="203">
        <v>179</v>
      </c>
      <c r="B57" s="203" t="s">
        <v>113</v>
      </c>
      <c r="C57" s="421">
        <v>143420</v>
      </c>
      <c r="D57" s="419"/>
      <c r="E57" s="419"/>
      <c r="F57" s="419"/>
      <c r="G57" s="419"/>
      <c r="H57" s="500">
        <v>4291.05</v>
      </c>
      <c r="I57" s="419"/>
      <c r="J57" s="419"/>
      <c r="K57" s="419"/>
      <c r="L57" s="419"/>
      <c r="M57" s="419"/>
      <c r="N57" s="419"/>
      <c r="O57" s="419"/>
      <c r="P57" s="419"/>
      <c r="Q57" s="421">
        <v>7878</v>
      </c>
      <c r="R57" s="421">
        <v>1509</v>
      </c>
      <c r="S57" s="421">
        <v>9255</v>
      </c>
      <c r="T57" s="421">
        <v>4541</v>
      </c>
      <c r="U57" s="421">
        <v>4602</v>
      </c>
      <c r="V57" s="421">
        <v>88899</v>
      </c>
      <c r="W57" s="421">
        <v>15378</v>
      </c>
      <c r="X57" s="421">
        <v>8259</v>
      </c>
      <c r="Y57" s="421">
        <v>3099</v>
      </c>
      <c r="Z57" s="419"/>
      <c r="AA57" s="419"/>
      <c r="AB57" s="419"/>
      <c r="AC57" s="419"/>
      <c r="AD57" s="419"/>
      <c r="AE57" s="422">
        <v>0.9530768237116133</v>
      </c>
      <c r="AF57" s="421">
        <v>181746133.13564494</v>
      </c>
      <c r="AG57" s="420">
        <v>10639</v>
      </c>
      <c r="AH57" s="420">
        <v>69211</v>
      </c>
      <c r="AJ57" s="420">
        <v>7723</v>
      </c>
      <c r="AK57" s="420">
        <v>0.05384883558778413</v>
      </c>
      <c r="AM57" s="420">
        <v>0</v>
      </c>
      <c r="AN57" s="420">
        <v>296</v>
      </c>
      <c r="AP57" s="420">
        <v>3</v>
      </c>
      <c r="AQ57" s="420">
        <v>443</v>
      </c>
      <c r="AR57" s="420">
        <v>1171.02</v>
      </c>
      <c r="AU57" s="420">
        <v>3876</v>
      </c>
      <c r="AV57" s="420">
        <v>44206</v>
      </c>
      <c r="AW57" s="420">
        <v>0.087680405374836</v>
      </c>
      <c r="AY57" s="420">
        <v>0</v>
      </c>
      <c r="AZ57" s="421">
        <v>64937</v>
      </c>
      <c r="BA57" s="420">
        <v>60815</v>
      </c>
      <c r="BB57" s="420">
        <v>1.0677793307572145</v>
      </c>
      <c r="BD57" s="420">
        <v>0</v>
      </c>
      <c r="BE57" s="420">
        <v>16</v>
      </c>
      <c r="BF57" s="421">
        <v>0</v>
      </c>
      <c r="BG57" s="421">
        <v>0</v>
      </c>
      <c r="BH57" s="419"/>
      <c r="BI57" s="421">
        <v>0</v>
      </c>
      <c r="BJ57" s="419"/>
      <c r="BK57" s="421">
        <v>51631.2</v>
      </c>
      <c r="BL57" s="421">
        <v>802550</v>
      </c>
      <c r="BM57" s="421">
        <v>-13813472.1952</v>
      </c>
      <c r="BN57" s="419"/>
      <c r="BO57" s="421">
        <v>1194022.427228272</v>
      </c>
      <c r="BP57" s="421">
        <v>8785583</v>
      </c>
      <c r="BQ57" s="421">
        <v>3161859</v>
      </c>
      <c r="BR57" s="421">
        <v>7430869.090428259</v>
      </c>
      <c r="BS57" s="421">
        <v>300591.73226042686</v>
      </c>
      <c r="BT57" s="421">
        <v>289311.7897391442</v>
      </c>
      <c r="BU57" s="421">
        <v>3241992.4344182685</v>
      </c>
      <c r="BV57" s="421">
        <v>6842359.596594489</v>
      </c>
      <c r="BW57" s="421">
        <v>9234603.101677883</v>
      </c>
      <c r="BX57" s="421">
        <v>3555495.819735662</v>
      </c>
      <c r="BY57" s="421">
        <v>5933426.192848912</v>
      </c>
      <c r="BZ57" s="419"/>
      <c r="CA57" s="421">
        <v>1742652.803527923</v>
      </c>
      <c r="CB57" s="419"/>
      <c r="CC57" s="419"/>
      <c r="CD57" s="419"/>
      <c r="CE57" s="421">
        <v>7582047.633041279</v>
      </c>
      <c r="CF57" s="421">
        <v>4815455.33712762</v>
      </c>
      <c r="CG57" s="421">
        <v>6023173.334491994</v>
      </c>
      <c r="CH57" s="421">
        <v>-639487.9560984753</v>
      </c>
      <c r="CI57" s="419"/>
      <c r="CJ57" s="421">
        <v>58224618.28903089</v>
      </c>
      <c r="CK57" s="421">
        <v>-22721521</v>
      </c>
      <c r="CL57" s="421">
        <v>1141009.4042</v>
      </c>
      <c r="CM57" s="421">
        <v>11961087.341695996</v>
      </c>
      <c r="CN57" s="421">
        <v>-10820077.937495995</v>
      </c>
      <c r="CO57" s="419"/>
      <c r="CP57" s="419"/>
      <c r="CQ57" s="419"/>
      <c r="CR57" s="171">
        <v>54148</v>
      </c>
    </row>
    <row r="58" spans="1:96" ht="9.75">
      <c r="A58" s="203">
        <v>181</v>
      </c>
      <c r="B58" s="203" t="s">
        <v>114</v>
      </c>
      <c r="C58" s="421">
        <v>1707</v>
      </c>
      <c r="D58" s="419"/>
      <c r="E58" s="419"/>
      <c r="F58" s="419"/>
      <c r="G58" s="419"/>
      <c r="H58" s="500">
        <v>4291.05</v>
      </c>
      <c r="I58" s="419"/>
      <c r="J58" s="419"/>
      <c r="K58" s="419"/>
      <c r="L58" s="419"/>
      <c r="M58" s="419"/>
      <c r="N58" s="419"/>
      <c r="O58" s="419"/>
      <c r="P58" s="419"/>
      <c r="Q58" s="421">
        <v>74</v>
      </c>
      <c r="R58" s="421">
        <v>24</v>
      </c>
      <c r="S58" s="421">
        <v>115</v>
      </c>
      <c r="T58" s="421">
        <v>52</v>
      </c>
      <c r="U58" s="421">
        <v>56</v>
      </c>
      <c r="V58" s="421">
        <v>846</v>
      </c>
      <c r="W58" s="421">
        <v>314</v>
      </c>
      <c r="X58" s="421">
        <v>156</v>
      </c>
      <c r="Y58" s="421">
        <v>70</v>
      </c>
      <c r="Z58" s="419"/>
      <c r="AA58" s="419"/>
      <c r="AB58" s="419"/>
      <c r="AC58" s="419"/>
      <c r="AD58" s="419"/>
      <c r="AE58" s="422">
        <v>1.0879381455953523</v>
      </c>
      <c r="AF58" s="421">
        <v>2469251.2358712004</v>
      </c>
      <c r="AG58" s="420">
        <v>81</v>
      </c>
      <c r="AH58" s="420">
        <v>756</v>
      </c>
      <c r="AJ58" s="420">
        <v>35</v>
      </c>
      <c r="AK58" s="420">
        <v>0.020503807850029292</v>
      </c>
      <c r="AM58" s="420">
        <v>0</v>
      </c>
      <c r="AN58" s="420">
        <v>3</v>
      </c>
      <c r="AP58" s="420">
        <v>0</v>
      </c>
      <c r="AQ58" s="420">
        <v>0</v>
      </c>
      <c r="AR58" s="420">
        <v>214.63</v>
      </c>
      <c r="AU58" s="420">
        <v>67</v>
      </c>
      <c r="AV58" s="420">
        <v>439</v>
      </c>
      <c r="AW58" s="420">
        <v>0.15261958997722094</v>
      </c>
      <c r="AY58" s="420">
        <v>0</v>
      </c>
      <c r="AZ58" s="421">
        <v>444</v>
      </c>
      <c r="BA58" s="420">
        <v>666</v>
      </c>
      <c r="BB58" s="420">
        <v>0.6666666666666666</v>
      </c>
      <c r="BD58" s="420">
        <v>0</v>
      </c>
      <c r="BE58" s="420">
        <v>0</v>
      </c>
      <c r="BF58" s="421">
        <v>0</v>
      </c>
      <c r="BG58" s="421">
        <v>0</v>
      </c>
      <c r="BH58" s="419"/>
      <c r="BI58" s="421">
        <v>0</v>
      </c>
      <c r="BJ58" s="419"/>
      <c r="BK58" s="421">
        <v>614.52</v>
      </c>
      <c r="BL58" s="421">
        <v>110216</v>
      </c>
      <c r="BM58" s="421">
        <v>-33165.175</v>
      </c>
      <c r="BN58" s="419"/>
      <c r="BO58" s="421">
        <v>3841.2930621225387</v>
      </c>
      <c r="BP58" s="421">
        <v>217242</v>
      </c>
      <c r="BQ58" s="421">
        <v>62326</v>
      </c>
      <c r="BR58" s="421">
        <v>163679.80649145006</v>
      </c>
      <c r="BS58" s="421">
        <v>9322.772986339844</v>
      </c>
      <c r="BT58" s="421">
        <v>20546.144547529064</v>
      </c>
      <c r="BU58" s="421">
        <v>83560.39822784677</v>
      </c>
      <c r="BV58" s="421">
        <v>128322.02545125858</v>
      </c>
      <c r="BW58" s="421">
        <v>196867.21888913724</v>
      </c>
      <c r="BX58" s="421">
        <v>55474.804142205925</v>
      </c>
      <c r="BY58" s="421">
        <v>100521.38449145175</v>
      </c>
      <c r="BZ58" s="419"/>
      <c r="CA58" s="421">
        <v>-3725.4196630100014</v>
      </c>
      <c r="CB58" s="419"/>
      <c r="CC58" s="419"/>
      <c r="CD58" s="419"/>
      <c r="CE58" s="421">
        <v>133906.04585872657</v>
      </c>
      <c r="CF58" s="421">
        <v>72696.46235604478</v>
      </c>
      <c r="CG58" s="421">
        <v>84519.37866962417</v>
      </c>
      <c r="CH58" s="421">
        <v>-6863.5823057542775</v>
      </c>
      <c r="CI58" s="419"/>
      <c r="CJ58" s="421">
        <v>1756308.052815183</v>
      </c>
      <c r="CK58" s="421">
        <v>-369016</v>
      </c>
      <c r="CL58" s="421">
        <v>53655.984</v>
      </c>
      <c r="CM58" s="421">
        <v>120725.964</v>
      </c>
      <c r="CN58" s="421">
        <v>-67069.98000000001</v>
      </c>
      <c r="CO58" s="419"/>
      <c r="CP58" s="419"/>
      <c r="CQ58" s="419"/>
      <c r="CR58" s="171">
        <v>438</v>
      </c>
    </row>
    <row r="59" spans="1:96" ht="9.75">
      <c r="A59" s="203">
        <v>182</v>
      </c>
      <c r="B59" s="203" t="s">
        <v>115</v>
      </c>
      <c r="C59" s="421">
        <v>19887</v>
      </c>
      <c r="D59" s="419"/>
      <c r="E59" s="419"/>
      <c r="F59" s="419"/>
      <c r="G59" s="419"/>
      <c r="H59" s="500">
        <v>4291.05</v>
      </c>
      <c r="I59" s="419"/>
      <c r="J59" s="419"/>
      <c r="K59" s="419"/>
      <c r="L59" s="419"/>
      <c r="M59" s="419"/>
      <c r="N59" s="419"/>
      <c r="O59" s="419"/>
      <c r="P59" s="419"/>
      <c r="Q59" s="421">
        <v>723</v>
      </c>
      <c r="R59" s="421">
        <v>160</v>
      </c>
      <c r="S59" s="421">
        <v>1205</v>
      </c>
      <c r="T59" s="421">
        <v>623</v>
      </c>
      <c r="U59" s="421">
        <v>613</v>
      </c>
      <c r="V59" s="421">
        <v>10136</v>
      </c>
      <c r="W59" s="421">
        <v>3517</v>
      </c>
      <c r="X59" s="421">
        <v>2098</v>
      </c>
      <c r="Y59" s="421">
        <v>812</v>
      </c>
      <c r="Z59" s="419"/>
      <c r="AA59" s="419"/>
      <c r="AB59" s="419"/>
      <c r="AC59" s="419"/>
      <c r="AD59" s="419"/>
      <c r="AE59" s="422">
        <v>1.3342473549740523</v>
      </c>
      <c r="AF59" s="421">
        <v>35280373.70767968</v>
      </c>
      <c r="AG59" s="420">
        <v>1256</v>
      </c>
      <c r="AH59" s="420">
        <v>8814</v>
      </c>
      <c r="AJ59" s="420">
        <v>448</v>
      </c>
      <c r="AK59" s="420">
        <v>0.022527279127067933</v>
      </c>
      <c r="AM59" s="420">
        <v>0</v>
      </c>
      <c r="AN59" s="420">
        <v>31</v>
      </c>
      <c r="AP59" s="420">
        <v>0</v>
      </c>
      <c r="AQ59" s="420">
        <v>0</v>
      </c>
      <c r="AR59" s="420">
        <v>1571.37</v>
      </c>
      <c r="AU59" s="420">
        <v>596</v>
      </c>
      <c r="AV59" s="420">
        <v>5222</v>
      </c>
      <c r="AW59" s="420">
        <v>0.11413251627728839</v>
      </c>
      <c r="AY59" s="420">
        <v>0</v>
      </c>
      <c r="AZ59" s="421">
        <v>7400</v>
      </c>
      <c r="BA59" s="420">
        <v>7409</v>
      </c>
      <c r="BB59" s="420">
        <v>0.9987852611688487</v>
      </c>
      <c r="BD59" s="420">
        <v>0</v>
      </c>
      <c r="BE59" s="420">
        <v>1</v>
      </c>
      <c r="BF59" s="421">
        <v>0</v>
      </c>
      <c r="BG59" s="421">
        <v>0</v>
      </c>
      <c r="BH59" s="419"/>
      <c r="BI59" s="421">
        <v>0</v>
      </c>
      <c r="BJ59" s="419"/>
      <c r="BK59" s="421">
        <v>7159.32</v>
      </c>
      <c r="BL59" s="421">
        <v>679529</v>
      </c>
      <c r="BM59" s="421">
        <v>-1021250.5877</v>
      </c>
      <c r="BN59" s="419"/>
      <c r="BO59" s="421">
        <v>-265582.5474530235</v>
      </c>
      <c r="BP59" s="421">
        <v>1709403</v>
      </c>
      <c r="BQ59" s="421">
        <v>519708</v>
      </c>
      <c r="BR59" s="421">
        <v>1219725.933246363</v>
      </c>
      <c r="BS59" s="421">
        <v>52030.81360531352</v>
      </c>
      <c r="BT59" s="421">
        <v>106519.75003969</v>
      </c>
      <c r="BU59" s="421">
        <v>662484.2833680044</v>
      </c>
      <c r="BV59" s="421">
        <v>949791.640446603</v>
      </c>
      <c r="BW59" s="421">
        <v>1573152.60032277</v>
      </c>
      <c r="BX59" s="421">
        <v>463806.8679394927</v>
      </c>
      <c r="BY59" s="421">
        <v>847753.7983554073</v>
      </c>
      <c r="BZ59" s="419"/>
      <c r="CA59" s="421">
        <v>64844.726942492125</v>
      </c>
      <c r="CB59" s="419"/>
      <c r="CC59" s="419"/>
      <c r="CD59" s="419"/>
      <c r="CE59" s="421">
        <v>1031286.6775387488</v>
      </c>
      <c r="CF59" s="421">
        <v>634727.9032395068</v>
      </c>
      <c r="CG59" s="421">
        <v>796685.5427102785</v>
      </c>
      <c r="CH59" s="421">
        <v>-99085.21816652948</v>
      </c>
      <c r="CI59" s="419"/>
      <c r="CJ59" s="421">
        <v>1317041.309149692</v>
      </c>
      <c r="CK59" s="421">
        <v>-2110897</v>
      </c>
      <c r="CL59" s="421">
        <v>289146.136</v>
      </c>
      <c r="CM59" s="421">
        <v>469132.15343999997</v>
      </c>
      <c r="CN59" s="421">
        <v>-179986.01743999997</v>
      </c>
      <c r="CO59" s="419"/>
      <c r="CP59" s="419"/>
      <c r="CQ59" s="419"/>
      <c r="CR59" s="171">
        <v>4844</v>
      </c>
    </row>
    <row r="60" spans="1:96" ht="9.75">
      <c r="A60" s="203">
        <v>186</v>
      </c>
      <c r="B60" s="203" t="s">
        <v>116</v>
      </c>
      <c r="C60" s="421">
        <v>44455</v>
      </c>
      <c r="D60" s="419"/>
      <c r="E60" s="419"/>
      <c r="F60" s="419"/>
      <c r="G60" s="419"/>
      <c r="H60" s="500">
        <v>4291.05</v>
      </c>
      <c r="I60" s="419"/>
      <c r="J60" s="419"/>
      <c r="K60" s="419"/>
      <c r="L60" s="419"/>
      <c r="M60" s="419"/>
      <c r="N60" s="419"/>
      <c r="O60" s="419"/>
      <c r="P60" s="419"/>
      <c r="Q60" s="421">
        <v>2770</v>
      </c>
      <c r="R60" s="421">
        <v>496</v>
      </c>
      <c r="S60" s="421">
        <v>3221</v>
      </c>
      <c r="T60" s="421">
        <v>1468</v>
      </c>
      <c r="U60" s="421">
        <v>1519</v>
      </c>
      <c r="V60" s="421">
        <v>26583</v>
      </c>
      <c r="W60" s="421">
        <v>5199</v>
      </c>
      <c r="X60" s="421">
        <v>2437</v>
      </c>
      <c r="Y60" s="421">
        <v>762</v>
      </c>
      <c r="Z60" s="419"/>
      <c r="AA60" s="419"/>
      <c r="AB60" s="419"/>
      <c r="AC60" s="419"/>
      <c r="AD60" s="419"/>
      <c r="AE60" s="422">
        <v>0.8822169615272126</v>
      </c>
      <c r="AF60" s="421">
        <v>52146308.67089268</v>
      </c>
      <c r="AG60" s="420">
        <v>2699</v>
      </c>
      <c r="AH60" s="420">
        <v>22553</v>
      </c>
      <c r="AJ60" s="420">
        <v>2853</v>
      </c>
      <c r="AK60" s="420">
        <v>0.06417725790124845</v>
      </c>
      <c r="AM60" s="420">
        <v>0</v>
      </c>
      <c r="AN60" s="420">
        <v>459</v>
      </c>
      <c r="AP60" s="420">
        <v>0</v>
      </c>
      <c r="AQ60" s="420">
        <v>0</v>
      </c>
      <c r="AR60" s="420">
        <v>37.54</v>
      </c>
      <c r="AU60" s="420">
        <v>2009</v>
      </c>
      <c r="AV60" s="420">
        <v>14660</v>
      </c>
      <c r="AW60" s="420">
        <v>0.13703956343792634</v>
      </c>
      <c r="AY60" s="420">
        <v>0</v>
      </c>
      <c r="AZ60" s="421">
        <v>13699</v>
      </c>
      <c r="BA60" s="420">
        <v>20916</v>
      </c>
      <c r="BB60" s="420">
        <v>0.6549531459170014</v>
      </c>
      <c r="BD60" s="420">
        <v>0</v>
      </c>
      <c r="BE60" s="420">
        <v>4</v>
      </c>
      <c r="BF60" s="421">
        <v>0</v>
      </c>
      <c r="BG60" s="421">
        <v>0</v>
      </c>
      <c r="BH60" s="419"/>
      <c r="BI60" s="421">
        <v>0</v>
      </c>
      <c r="BJ60" s="419"/>
      <c r="BK60" s="421">
        <v>16003.8</v>
      </c>
      <c r="BL60" s="421">
        <v>-411492</v>
      </c>
      <c r="BM60" s="421">
        <v>-4304499.1255</v>
      </c>
      <c r="BN60" s="419"/>
      <c r="BO60" s="421">
        <v>6565.417614400387</v>
      </c>
      <c r="BP60" s="421">
        <v>2359895</v>
      </c>
      <c r="BQ60" s="421">
        <v>788024</v>
      </c>
      <c r="BR60" s="421">
        <v>1560793.0796292792</v>
      </c>
      <c r="BS60" s="421">
        <v>16432.02133447396</v>
      </c>
      <c r="BT60" s="421">
        <v>-52180.45663947103</v>
      </c>
      <c r="BU60" s="421">
        <v>532891.3765182814</v>
      </c>
      <c r="BV60" s="421">
        <v>1745645.3373874046</v>
      </c>
      <c r="BW60" s="421">
        <v>2615186.796961021</v>
      </c>
      <c r="BX60" s="421">
        <v>832380.7624925362</v>
      </c>
      <c r="BY60" s="421">
        <v>1405740.983470449</v>
      </c>
      <c r="BZ60" s="419"/>
      <c r="CA60" s="421">
        <v>185904.92260215647</v>
      </c>
      <c r="CB60" s="419"/>
      <c r="CC60" s="419"/>
      <c r="CD60" s="419"/>
      <c r="CE60" s="421">
        <v>1782545.3486394365</v>
      </c>
      <c r="CF60" s="421">
        <v>1280140.8701125057</v>
      </c>
      <c r="CG60" s="421">
        <v>1638572.7941772519</v>
      </c>
      <c r="CH60" s="421">
        <v>-235235.1564385459</v>
      </c>
      <c r="CI60" s="419"/>
      <c r="CJ60" s="421">
        <v>-4500850.656891738</v>
      </c>
      <c r="CK60" s="421">
        <v>-349842</v>
      </c>
      <c r="CL60" s="421">
        <v>710345.6104</v>
      </c>
      <c r="CM60" s="421">
        <v>3145480.7118080007</v>
      </c>
      <c r="CN60" s="421">
        <v>-2435135.1014080006</v>
      </c>
      <c r="CO60" s="419"/>
      <c r="CP60" s="419"/>
      <c r="CQ60" s="419"/>
      <c r="CR60" s="171">
        <v>14878</v>
      </c>
    </row>
    <row r="61" spans="1:96" ht="9.75">
      <c r="A61" s="203">
        <v>202</v>
      </c>
      <c r="B61" s="203" t="s">
        <v>117</v>
      </c>
      <c r="C61" s="421">
        <v>34667</v>
      </c>
      <c r="D61" s="419"/>
      <c r="E61" s="419"/>
      <c r="F61" s="419"/>
      <c r="G61" s="419"/>
      <c r="H61" s="500">
        <v>4291.05</v>
      </c>
      <c r="I61" s="419"/>
      <c r="J61" s="419"/>
      <c r="K61" s="419"/>
      <c r="L61" s="419"/>
      <c r="M61" s="419"/>
      <c r="N61" s="419"/>
      <c r="O61" s="419"/>
      <c r="P61" s="419"/>
      <c r="Q61" s="421">
        <v>2351</v>
      </c>
      <c r="R61" s="421">
        <v>434</v>
      </c>
      <c r="S61" s="421">
        <v>2760</v>
      </c>
      <c r="T61" s="421">
        <v>1309</v>
      </c>
      <c r="U61" s="421">
        <v>1195</v>
      </c>
      <c r="V61" s="421">
        <v>19283</v>
      </c>
      <c r="W61" s="421">
        <v>4200</v>
      </c>
      <c r="X61" s="421">
        <v>2356</v>
      </c>
      <c r="Y61" s="421">
        <v>779</v>
      </c>
      <c r="Z61" s="419"/>
      <c r="AA61" s="419"/>
      <c r="AB61" s="419"/>
      <c r="AC61" s="419"/>
      <c r="AD61" s="419"/>
      <c r="AE61" s="422">
        <v>0.830328667750448</v>
      </c>
      <c r="AF61" s="421">
        <v>38273118.18380786</v>
      </c>
      <c r="AG61" s="420">
        <v>1504</v>
      </c>
      <c r="AH61" s="420">
        <v>16274</v>
      </c>
      <c r="AJ61" s="420">
        <v>1847</v>
      </c>
      <c r="AK61" s="420">
        <v>0.053278333862174405</v>
      </c>
      <c r="AM61" s="420">
        <v>0</v>
      </c>
      <c r="AN61" s="420">
        <v>1574</v>
      </c>
      <c r="AP61" s="420">
        <v>3</v>
      </c>
      <c r="AQ61" s="420">
        <v>232</v>
      </c>
      <c r="AR61" s="420">
        <v>150.65</v>
      </c>
      <c r="AU61" s="420">
        <v>1136</v>
      </c>
      <c r="AV61" s="420">
        <v>11844</v>
      </c>
      <c r="AW61" s="420">
        <v>0.09591354272205337</v>
      </c>
      <c r="AY61" s="420">
        <v>0</v>
      </c>
      <c r="AZ61" s="421">
        <v>9973</v>
      </c>
      <c r="BA61" s="420">
        <v>15417</v>
      </c>
      <c r="BB61" s="420">
        <v>0.6468833106311215</v>
      </c>
      <c r="BD61" s="420">
        <v>0</v>
      </c>
      <c r="BE61" s="420">
        <v>0</v>
      </c>
      <c r="BF61" s="421">
        <v>0</v>
      </c>
      <c r="BG61" s="421">
        <v>0</v>
      </c>
      <c r="BH61" s="419"/>
      <c r="BI61" s="421">
        <v>0</v>
      </c>
      <c r="BJ61" s="419"/>
      <c r="BK61" s="421">
        <v>12480.119999999999</v>
      </c>
      <c r="BL61" s="421">
        <v>-258828</v>
      </c>
      <c r="BM61" s="421">
        <v>-1174974.45</v>
      </c>
      <c r="BN61" s="419"/>
      <c r="BO61" s="421">
        <v>-589213.1656560749</v>
      </c>
      <c r="BP61" s="421">
        <v>1895488</v>
      </c>
      <c r="BQ61" s="421">
        <v>618556</v>
      </c>
      <c r="BR61" s="421">
        <v>1109986.7560428085</v>
      </c>
      <c r="BS61" s="421">
        <v>-1846.6552465841792</v>
      </c>
      <c r="BT61" s="421">
        <v>-517236.3332715238</v>
      </c>
      <c r="BU61" s="421">
        <v>530666.280176738</v>
      </c>
      <c r="BV61" s="421">
        <v>1161563.2820562536</v>
      </c>
      <c r="BW61" s="421">
        <v>2246161.297196478</v>
      </c>
      <c r="BX61" s="421">
        <v>554637.8307877718</v>
      </c>
      <c r="BY61" s="421">
        <v>1065917.3026987626</v>
      </c>
      <c r="BZ61" s="419"/>
      <c r="CA61" s="421">
        <v>-42342.1741211786</v>
      </c>
      <c r="CB61" s="419"/>
      <c r="CC61" s="419"/>
      <c r="CD61" s="419"/>
      <c r="CE61" s="421">
        <v>1326344.06973682</v>
      </c>
      <c r="CF61" s="421">
        <v>913121.7997588892</v>
      </c>
      <c r="CG61" s="421">
        <v>1244994.4264746807</v>
      </c>
      <c r="CH61" s="421">
        <v>-175455.7191908132</v>
      </c>
      <c r="CI61" s="419"/>
      <c r="CJ61" s="421">
        <v>-2947245.4062355394</v>
      </c>
      <c r="CK61" s="421">
        <v>-3482000</v>
      </c>
      <c r="CL61" s="421">
        <v>1268665.9327999996</v>
      </c>
      <c r="CM61" s="421">
        <v>3853241.892312002</v>
      </c>
      <c r="CN61" s="421">
        <v>-2584575.9595120023</v>
      </c>
      <c r="CO61" s="419"/>
      <c r="CP61" s="419"/>
      <c r="CQ61" s="419"/>
      <c r="CR61" s="171">
        <v>10799</v>
      </c>
    </row>
    <row r="62" spans="1:96" ht="9.75">
      <c r="A62" s="203">
        <v>204</v>
      </c>
      <c r="B62" s="203" t="s">
        <v>118</v>
      </c>
      <c r="C62" s="421">
        <v>2807</v>
      </c>
      <c r="D62" s="419"/>
      <c r="E62" s="419"/>
      <c r="F62" s="419"/>
      <c r="G62" s="419"/>
      <c r="H62" s="500">
        <v>4291.05</v>
      </c>
      <c r="I62" s="419"/>
      <c r="J62" s="419"/>
      <c r="K62" s="419"/>
      <c r="L62" s="419"/>
      <c r="M62" s="419"/>
      <c r="N62" s="419"/>
      <c r="O62" s="419"/>
      <c r="P62" s="419"/>
      <c r="Q62" s="421">
        <v>93</v>
      </c>
      <c r="R62" s="421">
        <v>22</v>
      </c>
      <c r="S62" s="421">
        <v>143</v>
      </c>
      <c r="T62" s="421">
        <v>85</v>
      </c>
      <c r="U62" s="421">
        <v>84</v>
      </c>
      <c r="V62" s="421">
        <v>1378</v>
      </c>
      <c r="W62" s="421">
        <v>541</v>
      </c>
      <c r="X62" s="421">
        <v>331</v>
      </c>
      <c r="Y62" s="421">
        <v>130</v>
      </c>
      <c r="Z62" s="419"/>
      <c r="AA62" s="419"/>
      <c r="AB62" s="419"/>
      <c r="AC62" s="419"/>
      <c r="AD62" s="419"/>
      <c r="AE62" s="422">
        <v>1.9723549463578947</v>
      </c>
      <c r="AF62" s="421">
        <v>7361308.8327976</v>
      </c>
      <c r="AG62" s="420">
        <v>168</v>
      </c>
      <c r="AH62" s="420">
        <v>1079</v>
      </c>
      <c r="AJ62" s="420">
        <v>47</v>
      </c>
      <c r="AK62" s="420">
        <v>0.016743854649091557</v>
      </c>
      <c r="AM62" s="420">
        <v>0</v>
      </c>
      <c r="AN62" s="420">
        <v>2</v>
      </c>
      <c r="AP62" s="420">
        <v>0</v>
      </c>
      <c r="AQ62" s="420">
        <v>0</v>
      </c>
      <c r="AR62" s="420">
        <v>674.07</v>
      </c>
      <c r="AU62" s="420">
        <v>111</v>
      </c>
      <c r="AV62" s="420">
        <v>700</v>
      </c>
      <c r="AW62" s="420">
        <v>0.15857142857142856</v>
      </c>
      <c r="AY62" s="420">
        <v>0.3161</v>
      </c>
      <c r="AZ62" s="421">
        <v>790</v>
      </c>
      <c r="BA62" s="420">
        <v>903</v>
      </c>
      <c r="BB62" s="420">
        <v>0.8748615725359912</v>
      </c>
      <c r="BD62" s="420">
        <v>0</v>
      </c>
      <c r="BE62" s="420">
        <v>0</v>
      </c>
      <c r="BF62" s="421">
        <v>0</v>
      </c>
      <c r="BG62" s="421">
        <v>0</v>
      </c>
      <c r="BH62" s="419"/>
      <c r="BI62" s="421">
        <v>0</v>
      </c>
      <c r="BJ62" s="419"/>
      <c r="BK62" s="421">
        <v>1010.52</v>
      </c>
      <c r="BL62" s="421">
        <v>-75363</v>
      </c>
      <c r="BM62" s="421">
        <v>-126710.82</v>
      </c>
      <c r="BN62" s="419"/>
      <c r="BO62" s="421">
        <v>-95514.19307007454</v>
      </c>
      <c r="BP62" s="421">
        <v>355721</v>
      </c>
      <c r="BQ62" s="421">
        <v>98791</v>
      </c>
      <c r="BR62" s="421">
        <v>249680.168300314</v>
      </c>
      <c r="BS62" s="421">
        <v>13431.18733569948</v>
      </c>
      <c r="BT62" s="421">
        <v>37694.39862510979</v>
      </c>
      <c r="BU62" s="421">
        <v>138561.89410991914</v>
      </c>
      <c r="BV62" s="421">
        <v>169510.2915271634</v>
      </c>
      <c r="BW62" s="421">
        <v>257725.92299652047</v>
      </c>
      <c r="BX62" s="421">
        <v>73820.34447128476</v>
      </c>
      <c r="BY62" s="421">
        <v>151372.51474612678</v>
      </c>
      <c r="BZ62" s="419"/>
      <c r="CA62" s="421">
        <v>-10263.528033585499</v>
      </c>
      <c r="CB62" s="419"/>
      <c r="CC62" s="419"/>
      <c r="CD62" s="419"/>
      <c r="CE62" s="421">
        <v>210947.05753419004</v>
      </c>
      <c r="CF62" s="421">
        <v>107571.5697510874</v>
      </c>
      <c r="CG62" s="421">
        <v>128865.36659837744</v>
      </c>
      <c r="CH62" s="421">
        <v>-11043.866512783605</v>
      </c>
      <c r="CI62" s="419"/>
      <c r="CJ62" s="421">
        <v>2702541.6362543083</v>
      </c>
      <c r="CK62" s="421">
        <v>-578178</v>
      </c>
      <c r="CL62" s="421">
        <v>14904.44</v>
      </c>
      <c r="CM62" s="421">
        <v>1048616.78064</v>
      </c>
      <c r="CN62" s="421">
        <v>-1033712.3406400001</v>
      </c>
      <c r="CO62" s="419"/>
      <c r="CP62" s="419"/>
      <c r="CQ62" s="419"/>
      <c r="CR62" s="171">
        <v>582</v>
      </c>
    </row>
    <row r="63" spans="1:96" ht="9.75">
      <c r="A63" s="203">
        <v>205</v>
      </c>
      <c r="B63" s="203" t="s">
        <v>119</v>
      </c>
      <c r="C63" s="421">
        <v>36567</v>
      </c>
      <c r="D63" s="419"/>
      <c r="E63" s="419"/>
      <c r="F63" s="419"/>
      <c r="G63" s="419"/>
      <c r="H63" s="500">
        <v>4291.05</v>
      </c>
      <c r="I63" s="419"/>
      <c r="J63" s="419"/>
      <c r="K63" s="419"/>
      <c r="L63" s="419"/>
      <c r="M63" s="419"/>
      <c r="N63" s="419"/>
      <c r="O63" s="419"/>
      <c r="P63" s="419"/>
      <c r="Q63" s="421">
        <v>1898</v>
      </c>
      <c r="R63" s="421">
        <v>427</v>
      </c>
      <c r="S63" s="421">
        <v>2545</v>
      </c>
      <c r="T63" s="421">
        <v>1250</v>
      </c>
      <c r="U63" s="421">
        <v>1199</v>
      </c>
      <c r="V63" s="421">
        <v>20475</v>
      </c>
      <c r="W63" s="421">
        <v>5052</v>
      </c>
      <c r="X63" s="421">
        <v>2632</v>
      </c>
      <c r="Y63" s="421">
        <v>1089</v>
      </c>
      <c r="Z63" s="419"/>
      <c r="AA63" s="419"/>
      <c r="AB63" s="419"/>
      <c r="AC63" s="419"/>
      <c r="AD63" s="419"/>
      <c r="AE63" s="422">
        <v>1.262510902258982</v>
      </c>
      <c r="AF63" s="421">
        <v>61383552.697989434</v>
      </c>
      <c r="AG63" s="420">
        <v>1951</v>
      </c>
      <c r="AH63" s="420">
        <v>16908</v>
      </c>
      <c r="AJ63" s="420">
        <v>1367</v>
      </c>
      <c r="AK63" s="420">
        <v>0.037383433150108024</v>
      </c>
      <c r="AM63" s="420">
        <v>0</v>
      </c>
      <c r="AN63" s="420">
        <v>42</v>
      </c>
      <c r="AP63" s="420">
        <v>0</v>
      </c>
      <c r="AQ63" s="420">
        <v>0</v>
      </c>
      <c r="AR63" s="420">
        <v>1834.73</v>
      </c>
      <c r="AU63" s="420">
        <v>891</v>
      </c>
      <c r="AV63" s="420">
        <v>10280</v>
      </c>
      <c r="AW63" s="420">
        <v>0.08667315175097276</v>
      </c>
      <c r="AY63" s="420">
        <v>0.1412</v>
      </c>
      <c r="AZ63" s="421">
        <v>15351</v>
      </c>
      <c r="BA63" s="420">
        <v>14794</v>
      </c>
      <c r="BB63" s="420">
        <v>1.0376503988103285</v>
      </c>
      <c r="BD63" s="420">
        <v>0</v>
      </c>
      <c r="BE63" s="420">
        <v>2</v>
      </c>
      <c r="BF63" s="421">
        <v>0</v>
      </c>
      <c r="BG63" s="421">
        <v>0</v>
      </c>
      <c r="BH63" s="419"/>
      <c r="BI63" s="421">
        <v>0</v>
      </c>
      <c r="BJ63" s="419"/>
      <c r="BK63" s="421">
        <v>13164.119999999999</v>
      </c>
      <c r="BL63" s="421">
        <v>1371592</v>
      </c>
      <c r="BM63" s="421">
        <v>-1913208.007</v>
      </c>
      <c r="BN63" s="419"/>
      <c r="BO63" s="421">
        <v>-536331.1401641965</v>
      </c>
      <c r="BP63" s="421">
        <v>2592766</v>
      </c>
      <c r="BQ63" s="421">
        <v>851137</v>
      </c>
      <c r="BR63" s="421">
        <v>1854193.7933830146</v>
      </c>
      <c r="BS63" s="421">
        <v>75734.94462794969</v>
      </c>
      <c r="BT63" s="421">
        <v>347880.491883763</v>
      </c>
      <c r="BU63" s="421">
        <v>1027227.4196650238</v>
      </c>
      <c r="BV63" s="421">
        <v>1791204.8751561167</v>
      </c>
      <c r="BW63" s="421">
        <v>2813546.3021177156</v>
      </c>
      <c r="BX63" s="421">
        <v>835976.783384323</v>
      </c>
      <c r="BY63" s="421">
        <v>1533689.289289748</v>
      </c>
      <c r="BZ63" s="419"/>
      <c r="CA63" s="421">
        <v>217453.75057552074</v>
      </c>
      <c r="CB63" s="419"/>
      <c r="CC63" s="419"/>
      <c r="CD63" s="419"/>
      <c r="CE63" s="421">
        <v>1872950.2847681872</v>
      </c>
      <c r="CF63" s="421">
        <v>1188753.3701668836</v>
      </c>
      <c r="CG63" s="421">
        <v>1508672.6791836913</v>
      </c>
      <c r="CH63" s="421">
        <v>-166374.76337300858</v>
      </c>
      <c r="CI63" s="419"/>
      <c r="CJ63" s="421">
        <v>17577473.73316381</v>
      </c>
      <c r="CK63" s="421">
        <v>27918667</v>
      </c>
      <c r="CL63" s="421">
        <v>469638.90440000006</v>
      </c>
      <c r="CM63" s="421">
        <v>659730.13216</v>
      </c>
      <c r="CN63" s="421">
        <v>-190091.22775999998</v>
      </c>
      <c r="CO63" s="419"/>
      <c r="CP63" s="419"/>
      <c r="CQ63" s="419"/>
      <c r="CR63" s="171">
        <v>11908</v>
      </c>
    </row>
    <row r="64" spans="1:96" ht="9.75">
      <c r="A64" s="203">
        <v>208</v>
      </c>
      <c r="B64" s="203" t="s">
        <v>120</v>
      </c>
      <c r="C64" s="421">
        <v>12400</v>
      </c>
      <c r="D64" s="419"/>
      <c r="E64" s="419"/>
      <c r="F64" s="419"/>
      <c r="G64" s="419"/>
      <c r="H64" s="500">
        <v>4291.05</v>
      </c>
      <c r="I64" s="419"/>
      <c r="J64" s="419"/>
      <c r="K64" s="419"/>
      <c r="L64" s="419"/>
      <c r="M64" s="419"/>
      <c r="N64" s="419"/>
      <c r="O64" s="419"/>
      <c r="P64" s="419"/>
      <c r="Q64" s="421">
        <v>759</v>
      </c>
      <c r="R64" s="421">
        <v>167</v>
      </c>
      <c r="S64" s="421">
        <v>978</v>
      </c>
      <c r="T64" s="421">
        <v>506</v>
      </c>
      <c r="U64" s="421">
        <v>473</v>
      </c>
      <c r="V64" s="421">
        <v>6271</v>
      </c>
      <c r="W64" s="421">
        <v>1847</v>
      </c>
      <c r="X64" s="421">
        <v>999</v>
      </c>
      <c r="Y64" s="421">
        <v>400</v>
      </c>
      <c r="Z64" s="419"/>
      <c r="AA64" s="419"/>
      <c r="AB64" s="419"/>
      <c r="AC64" s="419"/>
      <c r="AD64" s="419"/>
      <c r="AE64" s="422">
        <v>1.0899757009449789</v>
      </c>
      <c r="AF64" s="421">
        <v>17970743.880453777</v>
      </c>
      <c r="AG64" s="420">
        <v>558</v>
      </c>
      <c r="AH64" s="420">
        <v>5430</v>
      </c>
      <c r="AJ64" s="420">
        <v>322</v>
      </c>
      <c r="AK64" s="420">
        <v>0.02596774193548387</v>
      </c>
      <c r="AM64" s="420">
        <v>0</v>
      </c>
      <c r="AN64" s="420">
        <v>55</v>
      </c>
      <c r="AP64" s="420">
        <v>0</v>
      </c>
      <c r="AQ64" s="420">
        <v>0</v>
      </c>
      <c r="AR64" s="420">
        <v>924.09</v>
      </c>
      <c r="AU64" s="420">
        <v>411</v>
      </c>
      <c r="AV64" s="420">
        <v>3423</v>
      </c>
      <c r="AW64" s="420">
        <v>0.1200701139351446</v>
      </c>
      <c r="AY64" s="420">
        <v>0</v>
      </c>
      <c r="AZ64" s="421">
        <v>4509</v>
      </c>
      <c r="BA64" s="420">
        <v>4950</v>
      </c>
      <c r="BB64" s="420">
        <v>0.9109090909090909</v>
      </c>
      <c r="BD64" s="420">
        <v>0</v>
      </c>
      <c r="BE64" s="420">
        <v>1</v>
      </c>
      <c r="BF64" s="421">
        <v>0</v>
      </c>
      <c r="BG64" s="421">
        <v>0</v>
      </c>
      <c r="BH64" s="419"/>
      <c r="BI64" s="421">
        <v>0</v>
      </c>
      <c r="BJ64" s="419"/>
      <c r="BK64" s="421">
        <v>4464</v>
      </c>
      <c r="BL64" s="421">
        <v>27931</v>
      </c>
      <c r="BM64" s="421">
        <v>-259890.99</v>
      </c>
      <c r="BN64" s="419"/>
      <c r="BO64" s="421">
        <v>174079.73907664046</v>
      </c>
      <c r="BP64" s="421">
        <v>1129537</v>
      </c>
      <c r="BQ64" s="421">
        <v>361572</v>
      </c>
      <c r="BR64" s="421">
        <v>874686.7781186404</v>
      </c>
      <c r="BS64" s="421">
        <v>40153.21745856467</v>
      </c>
      <c r="BT64" s="421">
        <v>-24432.856551359495</v>
      </c>
      <c r="BU64" s="421">
        <v>371268.24533248646</v>
      </c>
      <c r="BV64" s="421">
        <v>697889.440491932</v>
      </c>
      <c r="BW64" s="421">
        <v>1075183.5111417584</v>
      </c>
      <c r="BX64" s="421">
        <v>341540.5014360135</v>
      </c>
      <c r="BY64" s="421">
        <v>582309.9376593543</v>
      </c>
      <c r="BZ64" s="419"/>
      <c r="CA64" s="421">
        <v>-18623.43962822322</v>
      </c>
      <c r="CB64" s="419"/>
      <c r="CC64" s="419"/>
      <c r="CD64" s="419"/>
      <c r="CE64" s="421">
        <v>841522.2256852281</v>
      </c>
      <c r="CF64" s="421">
        <v>451158.051447343</v>
      </c>
      <c r="CG64" s="421">
        <v>556691.5764156138</v>
      </c>
      <c r="CH64" s="421">
        <v>-49327.612641345164</v>
      </c>
      <c r="CI64" s="419"/>
      <c r="CJ64" s="421">
        <v>10798687.23848355</v>
      </c>
      <c r="CK64" s="421">
        <v>-485989</v>
      </c>
      <c r="CL64" s="421">
        <v>68560.424</v>
      </c>
      <c r="CM64" s="421">
        <v>107192.73248000002</v>
      </c>
      <c r="CN64" s="421">
        <v>-38632.30848000002</v>
      </c>
      <c r="CO64" s="419"/>
      <c r="CP64" s="419"/>
      <c r="CQ64" s="419"/>
      <c r="CR64" s="171">
        <v>3893</v>
      </c>
    </row>
    <row r="65" spans="1:96" ht="9.75">
      <c r="A65" s="203">
        <v>211</v>
      </c>
      <c r="B65" s="203" t="s">
        <v>121</v>
      </c>
      <c r="C65" s="421">
        <v>32214</v>
      </c>
      <c r="D65" s="419"/>
      <c r="E65" s="419"/>
      <c r="F65" s="419"/>
      <c r="G65" s="419"/>
      <c r="H65" s="500">
        <v>4291.05</v>
      </c>
      <c r="I65" s="419"/>
      <c r="J65" s="419"/>
      <c r="K65" s="419"/>
      <c r="L65" s="419"/>
      <c r="M65" s="419"/>
      <c r="N65" s="419"/>
      <c r="O65" s="419"/>
      <c r="P65" s="419"/>
      <c r="Q65" s="421">
        <v>2094</v>
      </c>
      <c r="R65" s="421">
        <v>401</v>
      </c>
      <c r="S65" s="421">
        <v>2661</v>
      </c>
      <c r="T65" s="421">
        <v>1351</v>
      </c>
      <c r="U65" s="421">
        <v>1233</v>
      </c>
      <c r="V65" s="421">
        <v>17732</v>
      </c>
      <c r="W65" s="421">
        <v>3805</v>
      </c>
      <c r="X65" s="421">
        <v>2228</v>
      </c>
      <c r="Y65" s="421">
        <v>709</v>
      </c>
      <c r="Z65" s="419"/>
      <c r="AA65" s="419"/>
      <c r="AB65" s="419"/>
      <c r="AC65" s="419"/>
      <c r="AD65" s="419"/>
      <c r="AE65" s="422">
        <v>0.876139704172223</v>
      </c>
      <c r="AF65" s="421">
        <v>37527148.82979552</v>
      </c>
      <c r="AG65" s="420">
        <v>1543</v>
      </c>
      <c r="AH65" s="420">
        <v>15227</v>
      </c>
      <c r="AJ65" s="420">
        <v>847</v>
      </c>
      <c r="AK65" s="420">
        <v>0.026292916123424596</v>
      </c>
      <c r="AM65" s="420">
        <v>0</v>
      </c>
      <c r="AN65" s="420">
        <v>76</v>
      </c>
      <c r="AP65" s="420">
        <v>0</v>
      </c>
      <c r="AQ65" s="420">
        <v>0</v>
      </c>
      <c r="AR65" s="420">
        <v>658.09</v>
      </c>
      <c r="AU65" s="420">
        <v>871</v>
      </c>
      <c r="AV65" s="420">
        <v>10759</v>
      </c>
      <c r="AW65" s="420">
        <v>0.0809554791337485</v>
      </c>
      <c r="AY65" s="420">
        <v>0</v>
      </c>
      <c r="AZ65" s="421">
        <v>9084</v>
      </c>
      <c r="BA65" s="420">
        <v>14153</v>
      </c>
      <c r="BB65" s="420">
        <v>0.6418427188581927</v>
      </c>
      <c r="BD65" s="420">
        <v>0</v>
      </c>
      <c r="BE65" s="420">
        <v>1</v>
      </c>
      <c r="BF65" s="421">
        <v>0</v>
      </c>
      <c r="BG65" s="421">
        <v>0</v>
      </c>
      <c r="BH65" s="419"/>
      <c r="BI65" s="421">
        <v>0</v>
      </c>
      <c r="BJ65" s="419"/>
      <c r="BK65" s="421">
        <v>11597.039999999999</v>
      </c>
      <c r="BL65" s="421">
        <v>273558</v>
      </c>
      <c r="BM65" s="421">
        <v>-1259553.14</v>
      </c>
      <c r="BN65" s="419"/>
      <c r="BO65" s="421">
        <v>-235774.60303405012</v>
      </c>
      <c r="BP65" s="421">
        <v>2052330</v>
      </c>
      <c r="BQ65" s="421">
        <v>652472</v>
      </c>
      <c r="BR65" s="421">
        <v>1279438.3668590477</v>
      </c>
      <c r="BS65" s="421">
        <v>18609.676418183368</v>
      </c>
      <c r="BT65" s="421">
        <v>58558.191724880795</v>
      </c>
      <c r="BU65" s="421">
        <v>669339.416188655</v>
      </c>
      <c r="BV65" s="421">
        <v>1323883.3820436788</v>
      </c>
      <c r="BW65" s="421">
        <v>2274364.3120675283</v>
      </c>
      <c r="BX65" s="421">
        <v>569612.1484228717</v>
      </c>
      <c r="BY65" s="421">
        <v>1105365.9695999913</v>
      </c>
      <c r="BZ65" s="419"/>
      <c r="CA65" s="421">
        <v>156482.2637829409</v>
      </c>
      <c r="CB65" s="419"/>
      <c r="CC65" s="419"/>
      <c r="CD65" s="419"/>
      <c r="CE65" s="421">
        <v>1397718.227602798</v>
      </c>
      <c r="CF65" s="421">
        <v>931552.9171091621</v>
      </c>
      <c r="CG65" s="421">
        <v>1226563.2419846442</v>
      </c>
      <c r="CH65" s="421">
        <v>-159046.68260285468</v>
      </c>
      <c r="CI65" s="419"/>
      <c r="CJ65" s="421">
        <v>4176223.460942145</v>
      </c>
      <c r="CK65" s="421">
        <v>-4056909</v>
      </c>
      <c r="CL65" s="421">
        <v>648492.1843999999</v>
      </c>
      <c r="CM65" s="421">
        <v>2109562.5140479994</v>
      </c>
      <c r="CN65" s="421">
        <v>-1461070.3296479995</v>
      </c>
      <c r="CO65" s="419"/>
      <c r="CP65" s="419"/>
      <c r="CQ65" s="419"/>
      <c r="CR65" s="171">
        <v>10368</v>
      </c>
    </row>
    <row r="66" spans="1:96" ht="9.75">
      <c r="A66" s="203">
        <v>213</v>
      </c>
      <c r="B66" s="203" t="s">
        <v>122</v>
      </c>
      <c r="C66" s="421">
        <v>5312</v>
      </c>
      <c r="D66" s="419"/>
      <c r="E66" s="419"/>
      <c r="F66" s="419"/>
      <c r="G66" s="419"/>
      <c r="H66" s="500">
        <v>4291.05</v>
      </c>
      <c r="I66" s="419"/>
      <c r="J66" s="419"/>
      <c r="K66" s="419"/>
      <c r="L66" s="419"/>
      <c r="M66" s="419"/>
      <c r="N66" s="419"/>
      <c r="O66" s="419"/>
      <c r="P66" s="419"/>
      <c r="Q66" s="421">
        <v>191</v>
      </c>
      <c r="R66" s="421">
        <v>45</v>
      </c>
      <c r="S66" s="421">
        <v>284</v>
      </c>
      <c r="T66" s="421">
        <v>159</v>
      </c>
      <c r="U66" s="421">
        <v>136</v>
      </c>
      <c r="V66" s="421">
        <v>2545</v>
      </c>
      <c r="W66" s="421">
        <v>1048</v>
      </c>
      <c r="X66" s="421">
        <v>655</v>
      </c>
      <c r="Y66" s="421">
        <v>249</v>
      </c>
      <c r="Z66" s="419"/>
      <c r="AA66" s="419"/>
      <c r="AB66" s="419"/>
      <c r="AC66" s="419"/>
      <c r="AD66" s="419"/>
      <c r="AE66" s="422">
        <v>1.503455022984964</v>
      </c>
      <c r="AF66" s="421">
        <v>10618815.12701455</v>
      </c>
      <c r="AG66" s="420">
        <v>217</v>
      </c>
      <c r="AH66" s="420">
        <v>2094</v>
      </c>
      <c r="AJ66" s="420">
        <v>81</v>
      </c>
      <c r="AK66" s="420">
        <v>0.015248493975903615</v>
      </c>
      <c r="AM66" s="420">
        <v>0</v>
      </c>
      <c r="AN66" s="420">
        <v>6</v>
      </c>
      <c r="AP66" s="420">
        <v>0</v>
      </c>
      <c r="AQ66" s="420">
        <v>0</v>
      </c>
      <c r="AR66" s="420">
        <v>1068.88</v>
      </c>
      <c r="AU66" s="420">
        <v>164</v>
      </c>
      <c r="AV66" s="420">
        <v>1240</v>
      </c>
      <c r="AW66" s="420">
        <v>0.13225806451612904</v>
      </c>
      <c r="AY66" s="420">
        <v>0.5933</v>
      </c>
      <c r="AZ66" s="421">
        <v>1569</v>
      </c>
      <c r="BA66" s="420">
        <v>1823</v>
      </c>
      <c r="BB66" s="420">
        <v>0.8606692265496434</v>
      </c>
      <c r="BD66" s="420">
        <v>0</v>
      </c>
      <c r="BE66" s="420">
        <v>0</v>
      </c>
      <c r="BF66" s="421">
        <v>0</v>
      </c>
      <c r="BG66" s="421">
        <v>0</v>
      </c>
      <c r="BH66" s="419"/>
      <c r="BI66" s="421">
        <v>0</v>
      </c>
      <c r="BJ66" s="419"/>
      <c r="BK66" s="421">
        <v>1912.32</v>
      </c>
      <c r="BL66" s="421">
        <v>138646</v>
      </c>
      <c r="BM66" s="421">
        <v>-219976.915</v>
      </c>
      <c r="BN66" s="419"/>
      <c r="BO66" s="421">
        <v>104150.07537831739</v>
      </c>
      <c r="BP66" s="421">
        <v>651314</v>
      </c>
      <c r="BQ66" s="421">
        <v>187331</v>
      </c>
      <c r="BR66" s="421">
        <v>420197.3912115596</v>
      </c>
      <c r="BS66" s="421">
        <v>23328.6713788262</v>
      </c>
      <c r="BT66" s="421">
        <v>53778.54215605336</v>
      </c>
      <c r="BU66" s="421">
        <v>224519.7381976081</v>
      </c>
      <c r="BV66" s="421">
        <v>316250.0427699233</v>
      </c>
      <c r="BW66" s="421">
        <v>487700.4287774703</v>
      </c>
      <c r="BX66" s="421">
        <v>147284.1095061954</v>
      </c>
      <c r="BY66" s="421">
        <v>262226.2418956169</v>
      </c>
      <c r="BZ66" s="419"/>
      <c r="CA66" s="421">
        <v>-65631.13095753879</v>
      </c>
      <c r="CB66" s="419"/>
      <c r="CC66" s="419"/>
      <c r="CD66" s="419"/>
      <c r="CE66" s="421">
        <v>371316.05710509483</v>
      </c>
      <c r="CF66" s="421">
        <v>201801.63601443227</v>
      </c>
      <c r="CG66" s="421">
        <v>231420.544498254</v>
      </c>
      <c r="CH66" s="421">
        <v>-21303.86359986074</v>
      </c>
      <c r="CI66" s="419"/>
      <c r="CJ66" s="421">
        <v>3489756.87403978</v>
      </c>
      <c r="CK66" s="421">
        <v>-475025</v>
      </c>
      <c r="CL66" s="421">
        <v>11998.0742</v>
      </c>
      <c r="CM66" s="421">
        <v>146749.11624</v>
      </c>
      <c r="CN66" s="421">
        <v>-134751.04204</v>
      </c>
      <c r="CO66" s="419"/>
      <c r="CP66" s="419"/>
      <c r="CQ66" s="419"/>
      <c r="CR66" s="171">
        <v>1151</v>
      </c>
    </row>
    <row r="67" spans="1:96" ht="9.75">
      <c r="A67" s="203">
        <v>214</v>
      </c>
      <c r="B67" s="203" t="s">
        <v>123</v>
      </c>
      <c r="C67" s="421">
        <v>12758</v>
      </c>
      <c r="D67" s="419"/>
      <c r="E67" s="419"/>
      <c r="F67" s="419"/>
      <c r="G67" s="419"/>
      <c r="H67" s="500">
        <v>4291.05</v>
      </c>
      <c r="I67" s="419"/>
      <c r="J67" s="419"/>
      <c r="K67" s="419"/>
      <c r="L67" s="419"/>
      <c r="M67" s="419"/>
      <c r="N67" s="419"/>
      <c r="O67" s="419"/>
      <c r="P67" s="419"/>
      <c r="Q67" s="421">
        <v>655</v>
      </c>
      <c r="R67" s="421">
        <v>128</v>
      </c>
      <c r="S67" s="421">
        <v>777</v>
      </c>
      <c r="T67" s="421">
        <v>397</v>
      </c>
      <c r="U67" s="421">
        <v>397</v>
      </c>
      <c r="V67" s="421">
        <v>6763</v>
      </c>
      <c r="W67" s="421">
        <v>2107</v>
      </c>
      <c r="X67" s="421">
        <v>1118</v>
      </c>
      <c r="Y67" s="421">
        <v>416</v>
      </c>
      <c r="Z67" s="419"/>
      <c r="AA67" s="419"/>
      <c r="AB67" s="419"/>
      <c r="AC67" s="419"/>
      <c r="AD67" s="419"/>
      <c r="AE67" s="422">
        <v>1.1212189421263943</v>
      </c>
      <c r="AF67" s="421">
        <v>19019564.90275967</v>
      </c>
      <c r="AG67" s="420">
        <v>733</v>
      </c>
      <c r="AH67" s="420">
        <v>5721</v>
      </c>
      <c r="AJ67" s="420">
        <v>493</v>
      </c>
      <c r="AK67" s="420">
        <v>0.03864242044207556</v>
      </c>
      <c r="AM67" s="420">
        <v>0</v>
      </c>
      <c r="AN67" s="420">
        <v>14</v>
      </c>
      <c r="AP67" s="420">
        <v>0</v>
      </c>
      <c r="AQ67" s="420">
        <v>0</v>
      </c>
      <c r="AR67" s="420">
        <v>1021.12</v>
      </c>
      <c r="AU67" s="420">
        <v>554</v>
      </c>
      <c r="AV67" s="420">
        <v>3410</v>
      </c>
      <c r="AW67" s="420">
        <v>0.1624633431085044</v>
      </c>
      <c r="AY67" s="420">
        <v>0</v>
      </c>
      <c r="AZ67" s="421">
        <v>5339</v>
      </c>
      <c r="BA67" s="420">
        <v>4893</v>
      </c>
      <c r="BB67" s="420">
        <v>1.0911506233394646</v>
      </c>
      <c r="BD67" s="420">
        <v>0</v>
      </c>
      <c r="BE67" s="420">
        <v>0</v>
      </c>
      <c r="BF67" s="421">
        <v>0</v>
      </c>
      <c r="BG67" s="421">
        <v>0</v>
      </c>
      <c r="BH67" s="419"/>
      <c r="BI67" s="421">
        <v>0</v>
      </c>
      <c r="BJ67" s="419"/>
      <c r="BK67" s="421">
        <v>4592.88</v>
      </c>
      <c r="BL67" s="421">
        <v>429883</v>
      </c>
      <c r="BM67" s="421">
        <v>-377874.0225</v>
      </c>
      <c r="BN67" s="419"/>
      <c r="BO67" s="421">
        <v>449547.1877710875</v>
      </c>
      <c r="BP67" s="421">
        <v>1258360</v>
      </c>
      <c r="BQ67" s="421">
        <v>421034</v>
      </c>
      <c r="BR67" s="421">
        <v>1066554.4085110556</v>
      </c>
      <c r="BS67" s="421">
        <v>54399.034779693975</v>
      </c>
      <c r="BT67" s="421">
        <v>121871.93094268852</v>
      </c>
      <c r="BU67" s="421">
        <v>479461.13960020477</v>
      </c>
      <c r="BV67" s="421">
        <v>774197.0354030814</v>
      </c>
      <c r="BW67" s="421">
        <v>1162685.492595321</v>
      </c>
      <c r="BX67" s="421">
        <v>365207.37812721427</v>
      </c>
      <c r="BY67" s="421">
        <v>646525.63333498</v>
      </c>
      <c r="BZ67" s="419"/>
      <c r="CA67" s="421">
        <v>-30894.777433221498</v>
      </c>
      <c r="CB67" s="419"/>
      <c r="CC67" s="419"/>
      <c r="CD67" s="419"/>
      <c r="CE67" s="421">
        <v>872733.2132899932</v>
      </c>
      <c r="CF67" s="421">
        <v>491633.5547404884</v>
      </c>
      <c r="CG67" s="421">
        <v>594740.2011662618</v>
      </c>
      <c r="CH67" s="421">
        <v>-54680.512725876404</v>
      </c>
      <c r="CI67" s="419"/>
      <c r="CJ67" s="421">
        <v>9742359.186953327</v>
      </c>
      <c r="CK67" s="421">
        <v>-568649</v>
      </c>
      <c r="CL67" s="421">
        <v>501012.7506000002</v>
      </c>
      <c r="CM67" s="421">
        <v>168643.7386</v>
      </c>
      <c r="CN67" s="421">
        <v>332369.0120000002</v>
      </c>
      <c r="CO67" s="419"/>
      <c r="CP67" s="419"/>
      <c r="CQ67" s="419"/>
      <c r="CR67" s="171">
        <v>3476</v>
      </c>
    </row>
    <row r="68" spans="1:96" ht="9.75">
      <c r="A68" s="203">
        <v>216</v>
      </c>
      <c r="B68" s="203" t="s">
        <v>124</v>
      </c>
      <c r="C68" s="421">
        <v>1323</v>
      </c>
      <c r="D68" s="419"/>
      <c r="E68" s="419"/>
      <c r="F68" s="419"/>
      <c r="G68" s="419"/>
      <c r="H68" s="500">
        <v>4291.05</v>
      </c>
      <c r="I68" s="419"/>
      <c r="J68" s="419"/>
      <c r="K68" s="419"/>
      <c r="L68" s="419"/>
      <c r="M68" s="419"/>
      <c r="N68" s="419"/>
      <c r="O68" s="419"/>
      <c r="P68" s="419"/>
      <c r="Q68" s="421">
        <v>46</v>
      </c>
      <c r="R68" s="421">
        <v>4</v>
      </c>
      <c r="S68" s="421">
        <v>80</v>
      </c>
      <c r="T68" s="421">
        <v>50</v>
      </c>
      <c r="U68" s="421">
        <v>39</v>
      </c>
      <c r="V68" s="421">
        <v>613</v>
      </c>
      <c r="W68" s="421">
        <v>264</v>
      </c>
      <c r="X68" s="421">
        <v>150</v>
      </c>
      <c r="Y68" s="421">
        <v>77</v>
      </c>
      <c r="Z68" s="419"/>
      <c r="AA68" s="419"/>
      <c r="AB68" s="419"/>
      <c r="AC68" s="419"/>
      <c r="AD68" s="419"/>
      <c r="AE68" s="422">
        <v>1.6923738061716367</v>
      </c>
      <c r="AF68" s="421">
        <v>2977033.2922835015</v>
      </c>
      <c r="AG68" s="420">
        <v>76</v>
      </c>
      <c r="AH68" s="420">
        <v>508</v>
      </c>
      <c r="AJ68" s="420">
        <v>25</v>
      </c>
      <c r="AK68" s="420">
        <v>0.01889644746787604</v>
      </c>
      <c r="AM68" s="420">
        <v>0</v>
      </c>
      <c r="AN68" s="420">
        <v>1</v>
      </c>
      <c r="AP68" s="420">
        <v>0</v>
      </c>
      <c r="AQ68" s="420">
        <v>0</v>
      </c>
      <c r="AR68" s="420">
        <v>445.01</v>
      </c>
      <c r="AU68" s="420">
        <v>52</v>
      </c>
      <c r="AV68" s="420">
        <v>300</v>
      </c>
      <c r="AW68" s="420">
        <v>0.17333333333333334</v>
      </c>
      <c r="AY68" s="420">
        <v>1.0373</v>
      </c>
      <c r="AZ68" s="421">
        <v>401</v>
      </c>
      <c r="BA68" s="420">
        <v>441</v>
      </c>
      <c r="BB68" s="420">
        <v>0.909297052154195</v>
      </c>
      <c r="BD68" s="420">
        <v>0</v>
      </c>
      <c r="BE68" s="420">
        <v>0</v>
      </c>
      <c r="BF68" s="421">
        <v>0</v>
      </c>
      <c r="BG68" s="421">
        <v>0</v>
      </c>
      <c r="BH68" s="419"/>
      <c r="BI68" s="421">
        <v>0</v>
      </c>
      <c r="BJ68" s="419"/>
      <c r="BK68" s="421">
        <v>476.28</v>
      </c>
      <c r="BL68" s="421">
        <v>12874</v>
      </c>
      <c r="BM68" s="421">
        <v>-30985.595</v>
      </c>
      <c r="BN68" s="419"/>
      <c r="BO68" s="421">
        <v>53822.27823724039</v>
      </c>
      <c r="BP68" s="421">
        <v>158615</v>
      </c>
      <c r="BQ68" s="421">
        <v>47512</v>
      </c>
      <c r="BR68" s="421">
        <v>119051.56090819609</v>
      </c>
      <c r="BS68" s="421">
        <v>7616.3543238918255</v>
      </c>
      <c r="BT68" s="421">
        <v>21503.490366428287</v>
      </c>
      <c r="BU68" s="421">
        <v>69878.34002194715</v>
      </c>
      <c r="BV68" s="421">
        <v>85699.80887111144</v>
      </c>
      <c r="BW68" s="421">
        <v>125186.9110305073</v>
      </c>
      <c r="BX68" s="421">
        <v>40962.804342577336</v>
      </c>
      <c r="BY68" s="421">
        <v>73882.99939650185</v>
      </c>
      <c r="BZ68" s="419"/>
      <c r="CA68" s="421">
        <v>4202.1696548657055</v>
      </c>
      <c r="CB68" s="419"/>
      <c r="CC68" s="419"/>
      <c r="CD68" s="419"/>
      <c r="CE68" s="421">
        <v>102594.63270089612</v>
      </c>
      <c r="CF68" s="421">
        <v>53522.176944315106</v>
      </c>
      <c r="CG68" s="421">
        <v>63010.37424014767</v>
      </c>
      <c r="CH68" s="421">
        <v>-4622.636636351148</v>
      </c>
      <c r="CI68" s="419"/>
      <c r="CJ68" s="421">
        <v>1193991.392893606</v>
      </c>
      <c r="CK68" s="421">
        <v>-350406</v>
      </c>
      <c r="CL68" s="421">
        <v>61108.204000000005</v>
      </c>
      <c r="CM68" s="421">
        <v>67069.98000000001</v>
      </c>
      <c r="CN68" s="421">
        <v>-5961.776000000005</v>
      </c>
      <c r="CO68" s="419"/>
      <c r="CP68" s="419"/>
      <c r="CQ68" s="419"/>
      <c r="CR68" s="171">
        <v>290</v>
      </c>
    </row>
    <row r="69" spans="1:96" ht="9.75">
      <c r="A69" s="203">
        <v>217</v>
      </c>
      <c r="B69" s="203" t="s">
        <v>125</v>
      </c>
      <c r="C69" s="421">
        <v>5426</v>
      </c>
      <c r="D69" s="419"/>
      <c r="E69" s="419"/>
      <c r="F69" s="419"/>
      <c r="G69" s="419"/>
      <c r="H69" s="500">
        <v>4291.05</v>
      </c>
      <c r="I69" s="419"/>
      <c r="J69" s="419"/>
      <c r="K69" s="419"/>
      <c r="L69" s="419"/>
      <c r="M69" s="419"/>
      <c r="N69" s="419"/>
      <c r="O69" s="419"/>
      <c r="P69" s="419"/>
      <c r="Q69" s="421">
        <v>358</v>
      </c>
      <c r="R69" s="421">
        <v>83</v>
      </c>
      <c r="S69" s="421">
        <v>417</v>
      </c>
      <c r="T69" s="421">
        <v>214</v>
      </c>
      <c r="U69" s="421">
        <v>211</v>
      </c>
      <c r="V69" s="421">
        <v>2820</v>
      </c>
      <c r="W69" s="421">
        <v>775</v>
      </c>
      <c r="X69" s="421">
        <v>364</v>
      </c>
      <c r="Y69" s="421">
        <v>184</v>
      </c>
      <c r="Z69" s="419"/>
      <c r="AA69" s="419"/>
      <c r="AB69" s="419"/>
      <c r="AC69" s="419"/>
      <c r="AD69" s="419"/>
      <c r="AE69" s="422">
        <v>1.0912986893615337</v>
      </c>
      <c r="AF69" s="421">
        <v>7873194.421213191</v>
      </c>
      <c r="AG69" s="420">
        <v>239</v>
      </c>
      <c r="AH69" s="420">
        <v>2437</v>
      </c>
      <c r="AJ69" s="420">
        <v>101</v>
      </c>
      <c r="AK69" s="420">
        <v>0.018614080353851824</v>
      </c>
      <c r="AM69" s="420">
        <v>0</v>
      </c>
      <c r="AN69" s="420">
        <v>19</v>
      </c>
      <c r="AP69" s="420">
        <v>0</v>
      </c>
      <c r="AQ69" s="420">
        <v>0</v>
      </c>
      <c r="AR69" s="420">
        <v>468.04</v>
      </c>
      <c r="AU69" s="420">
        <v>204</v>
      </c>
      <c r="AV69" s="420">
        <v>1490</v>
      </c>
      <c r="AW69" s="420">
        <v>0.13691275167785236</v>
      </c>
      <c r="AY69" s="420">
        <v>0</v>
      </c>
      <c r="AZ69" s="421">
        <v>2088</v>
      </c>
      <c r="BA69" s="420">
        <v>2180</v>
      </c>
      <c r="BB69" s="420">
        <v>0.9577981651376147</v>
      </c>
      <c r="BD69" s="420">
        <v>0</v>
      </c>
      <c r="BE69" s="420">
        <v>0</v>
      </c>
      <c r="BF69" s="421">
        <v>0</v>
      </c>
      <c r="BG69" s="421">
        <v>0</v>
      </c>
      <c r="BH69" s="419"/>
      <c r="BI69" s="421">
        <v>0</v>
      </c>
      <c r="BJ69" s="419"/>
      <c r="BK69" s="421">
        <v>1953.36</v>
      </c>
      <c r="BL69" s="421">
        <v>-39125</v>
      </c>
      <c r="BM69" s="421">
        <v>-142573.41</v>
      </c>
      <c r="BN69" s="419"/>
      <c r="BO69" s="421">
        <v>-29314.746329082176</v>
      </c>
      <c r="BP69" s="421">
        <v>472563</v>
      </c>
      <c r="BQ69" s="421">
        <v>155789</v>
      </c>
      <c r="BR69" s="421">
        <v>373453.802525867</v>
      </c>
      <c r="BS69" s="421">
        <v>18040.573836712447</v>
      </c>
      <c r="BT69" s="421">
        <v>72786.55766004905</v>
      </c>
      <c r="BU69" s="421">
        <v>176020.8346108859</v>
      </c>
      <c r="BV69" s="421">
        <v>301129.87290488865</v>
      </c>
      <c r="BW69" s="421">
        <v>492919.3720727344</v>
      </c>
      <c r="BX69" s="421">
        <v>137422.61225023714</v>
      </c>
      <c r="BY69" s="421">
        <v>254096.82971160897</v>
      </c>
      <c r="BZ69" s="419"/>
      <c r="CA69" s="421">
        <v>-23927.031731544248</v>
      </c>
      <c r="CB69" s="419"/>
      <c r="CC69" s="419"/>
      <c r="CD69" s="419"/>
      <c r="CE69" s="421">
        <v>352688.1636357854</v>
      </c>
      <c r="CF69" s="421">
        <v>205683.64919256553</v>
      </c>
      <c r="CG69" s="421">
        <v>254323.0994484774</v>
      </c>
      <c r="CH69" s="421">
        <v>-21556.247575591606</v>
      </c>
      <c r="CI69" s="419"/>
      <c r="CJ69" s="421">
        <v>4601523.1729003675</v>
      </c>
      <c r="CK69" s="421">
        <v>40606</v>
      </c>
      <c r="CL69" s="421">
        <v>86520.2742</v>
      </c>
      <c r="CM69" s="421">
        <v>58127.316000000006</v>
      </c>
      <c r="CN69" s="421">
        <v>28392.958199999994</v>
      </c>
      <c r="CO69" s="419"/>
      <c r="CP69" s="419"/>
      <c r="CQ69" s="419"/>
      <c r="CR69" s="171">
        <v>1769</v>
      </c>
    </row>
    <row r="70" spans="1:96" ht="9.75">
      <c r="A70" s="203">
        <v>218</v>
      </c>
      <c r="B70" s="203" t="s">
        <v>126</v>
      </c>
      <c r="C70" s="421">
        <v>1207</v>
      </c>
      <c r="D70" s="419"/>
      <c r="E70" s="419"/>
      <c r="F70" s="419"/>
      <c r="G70" s="419"/>
      <c r="H70" s="500">
        <v>4291.05</v>
      </c>
      <c r="I70" s="419"/>
      <c r="J70" s="419"/>
      <c r="K70" s="419"/>
      <c r="L70" s="419"/>
      <c r="M70" s="419"/>
      <c r="N70" s="419"/>
      <c r="O70" s="419"/>
      <c r="P70" s="419"/>
      <c r="Q70" s="421">
        <v>55</v>
      </c>
      <c r="R70" s="421">
        <v>4</v>
      </c>
      <c r="S70" s="421">
        <v>60</v>
      </c>
      <c r="T70" s="421">
        <v>29</v>
      </c>
      <c r="U70" s="421">
        <v>29</v>
      </c>
      <c r="V70" s="421">
        <v>592</v>
      </c>
      <c r="W70" s="421">
        <v>222</v>
      </c>
      <c r="X70" s="421">
        <v>131</v>
      </c>
      <c r="Y70" s="421">
        <v>85</v>
      </c>
      <c r="Z70" s="419"/>
      <c r="AA70" s="419"/>
      <c r="AB70" s="419"/>
      <c r="AC70" s="419"/>
      <c r="AD70" s="419"/>
      <c r="AE70" s="422">
        <v>1.7460042328596235</v>
      </c>
      <c r="AF70" s="421">
        <v>2802077.3119506743</v>
      </c>
      <c r="AG70" s="420">
        <v>44</v>
      </c>
      <c r="AH70" s="420">
        <v>551</v>
      </c>
      <c r="AJ70" s="420">
        <v>10</v>
      </c>
      <c r="AK70" s="420">
        <v>0.008285004142502071</v>
      </c>
      <c r="AM70" s="420">
        <v>0</v>
      </c>
      <c r="AN70" s="420">
        <v>21</v>
      </c>
      <c r="AP70" s="420">
        <v>0</v>
      </c>
      <c r="AQ70" s="420">
        <v>0</v>
      </c>
      <c r="AR70" s="420">
        <v>185.57</v>
      </c>
      <c r="AU70" s="420">
        <v>45</v>
      </c>
      <c r="AV70" s="420">
        <v>297</v>
      </c>
      <c r="AW70" s="420">
        <v>0.15151515151515152</v>
      </c>
      <c r="AY70" s="420">
        <v>0.1103</v>
      </c>
      <c r="AZ70" s="421">
        <v>419</v>
      </c>
      <c r="BA70" s="420">
        <v>512</v>
      </c>
      <c r="BB70" s="420">
        <v>0.818359375</v>
      </c>
      <c r="BD70" s="420">
        <v>0</v>
      </c>
      <c r="BE70" s="420">
        <v>0</v>
      </c>
      <c r="BF70" s="421">
        <v>0</v>
      </c>
      <c r="BG70" s="421">
        <v>0</v>
      </c>
      <c r="BH70" s="419"/>
      <c r="BI70" s="421">
        <v>0</v>
      </c>
      <c r="BJ70" s="419"/>
      <c r="BK70" s="421">
        <v>434.52</v>
      </c>
      <c r="BL70" s="421">
        <v>-17238</v>
      </c>
      <c r="BM70" s="421">
        <v>-29418.605</v>
      </c>
      <c r="BN70" s="419"/>
      <c r="BO70" s="421">
        <v>87483.34700512048</v>
      </c>
      <c r="BP70" s="421">
        <v>162602</v>
      </c>
      <c r="BQ70" s="421">
        <v>51113</v>
      </c>
      <c r="BR70" s="421">
        <v>118966.60017293353</v>
      </c>
      <c r="BS70" s="421">
        <v>8090.23369131995</v>
      </c>
      <c r="BT70" s="421">
        <v>21888.878572067195</v>
      </c>
      <c r="BU70" s="421">
        <v>65271.60570674855</v>
      </c>
      <c r="BV70" s="421">
        <v>96252.52713104039</v>
      </c>
      <c r="BW70" s="421">
        <v>159066.5523161456</v>
      </c>
      <c r="BX70" s="421">
        <v>50378.74084016659</v>
      </c>
      <c r="BY70" s="421">
        <v>77954.38721156617</v>
      </c>
      <c r="BZ70" s="419"/>
      <c r="CA70" s="421">
        <v>-3240.6521807183854</v>
      </c>
      <c r="CB70" s="419"/>
      <c r="CC70" s="419"/>
      <c r="CD70" s="419"/>
      <c r="CE70" s="421">
        <v>108771.4209370696</v>
      </c>
      <c r="CF70" s="421">
        <v>57114.206207231044</v>
      </c>
      <c r="CG70" s="421">
        <v>66117.79054361377</v>
      </c>
      <c r="CH70" s="421">
        <v>-4595.312071525706</v>
      </c>
      <c r="CI70" s="419"/>
      <c r="CJ70" s="421">
        <v>1268058.2405684595</v>
      </c>
      <c r="CK70" s="421">
        <v>-287088</v>
      </c>
      <c r="CL70" s="421">
        <v>29808.88</v>
      </c>
      <c r="CM70" s="421">
        <v>380063.2200000001</v>
      </c>
      <c r="CN70" s="421">
        <v>-350254.3400000001</v>
      </c>
      <c r="CO70" s="419"/>
      <c r="CP70" s="419"/>
      <c r="CQ70" s="419"/>
      <c r="CR70" s="171">
        <v>261</v>
      </c>
    </row>
    <row r="71" spans="1:96" ht="9.75">
      <c r="A71" s="203">
        <v>224</v>
      </c>
      <c r="B71" s="203" t="s">
        <v>127</v>
      </c>
      <c r="C71" s="421">
        <v>8696</v>
      </c>
      <c r="D71" s="419"/>
      <c r="E71" s="419"/>
      <c r="F71" s="419"/>
      <c r="G71" s="419"/>
      <c r="H71" s="500">
        <v>4291.05</v>
      </c>
      <c r="I71" s="419"/>
      <c r="J71" s="419"/>
      <c r="K71" s="419"/>
      <c r="L71" s="419"/>
      <c r="M71" s="419"/>
      <c r="N71" s="419"/>
      <c r="O71" s="419"/>
      <c r="P71" s="419"/>
      <c r="Q71" s="421">
        <v>384</v>
      </c>
      <c r="R71" s="421">
        <v>78</v>
      </c>
      <c r="S71" s="421">
        <v>614</v>
      </c>
      <c r="T71" s="421">
        <v>332</v>
      </c>
      <c r="U71" s="421">
        <v>328</v>
      </c>
      <c r="V71" s="421">
        <v>4635</v>
      </c>
      <c r="W71" s="421">
        <v>1355</v>
      </c>
      <c r="X71" s="421">
        <v>673</v>
      </c>
      <c r="Y71" s="421">
        <v>297</v>
      </c>
      <c r="Z71" s="419"/>
      <c r="AA71" s="419"/>
      <c r="AB71" s="419"/>
      <c r="AC71" s="419"/>
      <c r="AD71" s="419"/>
      <c r="AE71" s="422">
        <v>1.0445243581872343</v>
      </c>
      <c r="AF71" s="421">
        <v>12077183.275871385</v>
      </c>
      <c r="AG71" s="420">
        <v>499</v>
      </c>
      <c r="AH71" s="420">
        <v>3954</v>
      </c>
      <c r="AJ71" s="420">
        <v>554</v>
      </c>
      <c r="AK71" s="420">
        <v>0.06370745170193193</v>
      </c>
      <c r="AM71" s="420">
        <v>0</v>
      </c>
      <c r="AN71" s="420">
        <v>66</v>
      </c>
      <c r="AP71" s="420">
        <v>0</v>
      </c>
      <c r="AQ71" s="420">
        <v>0</v>
      </c>
      <c r="AR71" s="420">
        <v>242.35</v>
      </c>
      <c r="AU71" s="420">
        <v>581</v>
      </c>
      <c r="AV71" s="420">
        <v>2688</v>
      </c>
      <c r="AW71" s="420">
        <v>0.21614583333333334</v>
      </c>
      <c r="AY71" s="420">
        <v>0</v>
      </c>
      <c r="AZ71" s="421">
        <v>2753</v>
      </c>
      <c r="BA71" s="420">
        <v>3546</v>
      </c>
      <c r="BB71" s="420">
        <v>0.7763677382966723</v>
      </c>
      <c r="BD71" s="420">
        <v>0</v>
      </c>
      <c r="BE71" s="420">
        <v>1</v>
      </c>
      <c r="BF71" s="421">
        <v>0</v>
      </c>
      <c r="BG71" s="421">
        <v>0</v>
      </c>
      <c r="BH71" s="419"/>
      <c r="BI71" s="421">
        <v>0</v>
      </c>
      <c r="BJ71" s="419"/>
      <c r="BK71" s="421">
        <v>3130.56</v>
      </c>
      <c r="BL71" s="421">
        <v>-176375</v>
      </c>
      <c r="BM71" s="421">
        <v>-538471.67055</v>
      </c>
      <c r="BN71" s="419"/>
      <c r="BO71" s="421">
        <v>-10497.994075188413</v>
      </c>
      <c r="BP71" s="421">
        <v>685735</v>
      </c>
      <c r="BQ71" s="421">
        <v>228313</v>
      </c>
      <c r="BR71" s="421">
        <v>466962.71765660605</v>
      </c>
      <c r="BS71" s="421">
        <v>11345.00072373815</v>
      </c>
      <c r="BT71" s="421">
        <v>67552.37743129855</v>
      </c>
      <c r="BU71" s="421">
        <v>178336.21752535802</v>
      </c>
      <c r="BV71" s="421">
        <v>429863.58683494903</v>
      </c>
      <c r="BW71" s="421">
        <v>726820.3431030754</v>
      </c>
      <c r="BX71" s="421">
        <v>196777.54589011226</v>
      </c>
      <c r="BY71" s="421">
        <v>363343.8147733445</v>
      </c>
      <c r="BZ71" s="419"/>
      <c r="CA71" s="421">
        <v>33725.91950516996</v>
      </c>
      <c r="CB71" s="419"/>
      <c r="CC71" s="419"/>
      <c r="CD71" s="419"/>
      <c r="CE71" s="421">
        <v>456143.48341494775</v>
      </c>
      <c r="CF71" s="421">
        <v>292608.9522354163</v>
      </c>
      <c r="CG71" s="421">
        <v>379729.60825601465</v>
      </c>
      <c r="CH71" s="421">
        <v>-37314.77811206652</v>
      </c>
      <c r="CI71" s="419"/>
      <c r="CJ71" s="421">
        <v>5061614.71616424</v>
      </c>
      <c r="CK71" s="421">
        <v>-414361</v>
      </c>
      <c r="CL71" s="421">
        <v>244432.816</v>
      </c>
      <c r="CM71" s="421">
        <v>141726.31996</v>
      </c>
      <c r="CN71" s="421">
        <v>102706.49604</v>
      </c>
      <c r="CO71" s="419"/>
      <c r="CP71" s="419"/>
      <c r="CQ71" s="419"/>
      <c r="CR71" s="171">
        <v>2358</v>
      </c>
    </row>
    <row r="72" spans="1:96" ht="9.75">
      <c r="A72" s="203">
        <v>226</v>
      </c>
      <c r="B72" s="203" t="s">
        <v>128</v>
      </c>
      <c r="C72" s="421">
        <v>3858</v>
      </c>
      <c r="D72" s="419"/>
      <c r="E72" s="419"/>
      <c r="F72" s="419"/>
      <c r="G72" s="419"/>
      <c r="H72" s="500">
        <v>4291.05</v>
      </c>
      <c r="I72" s="419"/>
      <c r="J72" s="419"/>
      <c r="K72" s="419"/>
      <c r="L72" s="419"/>
      <c r="M72" s="419"/>
      <c r="N72" s="419"/>
      <c r="O72" s="419"/>
      <c r="P72" s="419"/>
      <c r="Q72" s="421">
        <v>132</v>
      </c>
      <c r="R72" s="421">
        <v>36</v>
      </c>
      <c r="S72" s="421">
        <v>214</v>
      </c>
      <c r="T72" s="421">
        <v>141</v>
      </c>
      <c r="U72" s="421">
        <v>133</v>
      </c>
      <c r="V72" s="421">
        <v>1856</v>
      </c>
      <c r="W72" s="421">
        <v>725</v>
      </c>
      <c r="X72" s="421">
        <v>428</v>
      </c>
      <c r="Y72" s="421">
        <v>193</v>
      </c>
      <c r="Z72" s="419"/>
      <c r="AA72" s="419"/>
      <c r="AB72" s="419"/>
      <c r="AC72" s="419"/>
      <c r="AD72" s="419"/>
      <c r="AE72" s="422">
        <v>1.399908503572469</v>
      </c>
      <c r="AF72" s="421">
        <v>7181074.441559538</v>
      </c>
      <c r="AG72" s="420">
        <v>229</v>
      </c>
      <c r="AH72" s="420">
        <v>1624</v>
      </c>
      <c r="AJ72" s="420">
        <v>50</v>
      </c>
      <c r="AK72" s="420">
        <v>0.012960082944530845</v>
      </c>
      <c r="AM72" s="420">
        <v>0</v>
      </c>
      <c r="AN72" s="420">
        <v>3</v>
      </c>
      <c r="AP72" s="420">
        <v>0</v>
      </c>
      <c r="AQ72" s="420">
        <v>0</v>
      </c>
      <c r="AR72" s="420">
        <v>887.08</v>
      </c>
      <c r="AU72" s="420">
        <v>122</v>
      </c>
      <c r="AV72" s="420">
        <v>959</v>
      </c>
      <c r="AW72" s="420">
        <v>0.12721584984358708</v>
      </c>
      <c r="AY72" s="420">
        <v>1.0686</v>
      </c>
      <c r="AZ72" s="421">
        <v>1356</v>
      </c>
      <c r="BA72" s="420">
        <v>1336</v>
      </c>
      <c r="BB72" s="420">
        <v>1.0149700598802396</v>
      </c>
      <c r="BD72" s="420">
        <v>0</v>
      </c>
      <c r="BE72" s="420">
        <v>0</v>
      </c>
      <c r="BF72" s="421">
        <v>0</v>
      </c>
      <c r="BG72" s="421">
        <v>0</v>
      </c>
      <c r="BH72" s="419"/>
      <c r="BI72" s="421">
        <v>0</v>
      </c>
      <c r="BJ72" s="419"/>
      <c r="BK72" s="421">
        <v>1388.8799999999999</v>
      </c>
      <c r="BL72" s="421">
        <v>77843</v>
      </c>
      <c r="BM72" s="421">
        <v>-106628.295</v>
      </c>
      <c r="BN72" s="419"/>
      <c r="BO72" s="421">
        <v>29320.945028565824</v>
      </c>
      <c r="BP72" s="421">
        <v>418140</v>
      </c>
      <c r="BQ72" s="421">
        <v>130108</v>
      </c>
      <c r="BR72" s="421">
        <v>326875.1375349644</v>
      </c>
      <c r="BS72" s="421">
        <v>18659.542831763487</v>
      </c>
      <c r="BT72" s="421">
        <v>35891.78501852707</v>
      </c>
      <c r="BU72" s="421">
        <v>158948.51525087937</v>
      </c>
      <c r="BV72" s="421">
        <v>230569.23956807284</v>
      </c>
      <c r="BW72" s="421">
        <v>370414.3147754081</v>
      </c>
      <c r="BX72" s="421">
        <v>114099.50544567108</v>
      </c>
      <c r="BY72" s="421">
        <v>203734.1396641163</v>
      </c>
      <c r="BZ72" s="419"/>
      <c r="CA72" s="421">
        <v>-3985.5236802705986</v>
      </c>
      <c r="CB72" s="419"/>
      <c r="CC72" s="419"/>
      <c r="CD72" s="419"/>
      <c r="CE72" s="421">
        <v>278815.83560663444</v>
      </c>
      <c r="CF72" s="421">
        <v>154196.14401359082</v>
      </c>
      <c r="CG72" s="421">
        <v>175323.4798515558</v>
      </c>
      <c r="CH72" s="421">
        <v>-14752.110884085541</v>
      </c>
      <c r="CI72" s="419"/>
      <c r="CJ72" s="421">
        <v>3670923.8040218605</v>
      </c>
      <c r="CK72" s="421">
        <v>82538</v>
      </c>
      <c r="CL72" s="421">
        <v>175872.392</v>
      </c>
      <c r="CM72" s="421">
        <v>117894.1204</v>
      </c>
      <c r="CN72" s="421">
        <v>57978.27159999999</v>
      </c>
      <c r="CO72" s="419"/>
      <c r="CP72" s="419"/>
      <c r="CQ72" s="419"/>
      <c r="CR72" s="171">
        <v>869</v>
      </c>
    </row>
    <row r="73" spans="1:96" ht="9.75">
      <c r="A73" s="203">
        <v>230</v>
      </c>
      <c r="B73" s="203" t="s">
        <v>129</v>
      </c>
      <c r="C73" s="421">
        <v>2322</v>
      </c>
      <c r="D73" s="419"/>
      <c r="E73" s="419"/>
      <c r="F73" s="419"/>
      <c r="G73" s="419"/>
      <c r="H73" s="500">
        <v>4291.05</v>
      </c>
      <c r="I73" s="419"/>
      <c r="J73" s="419"/>
      <c r="K73" s="419"/>
      <c r="L73" s="419"/>
      <c r="M73" s="419"/>
      <c r="N73" s="419"/>
      <c r="O73" s="419"/>
      <c r="P73" s="419"/>
      <c r="Q73" s="421">
        <v>105</v>
      </c>
      <c r="R73" s="421">
        <v>21</v>
      </c>
      <c r="S73" s="421">
        <v>113</v>
      </c>
      <c r="T73" s="421">
        <v>68</v>
      </c>
      <c r="U73" s="421">
        <v>62</v>
      </c>
      <c r="V73" s="421">
        <v>1149</v>
      </c>
      <c r="W73" s="421">
        <v>449</v>
      </c>
      <c r="X73" s="421">
        <v>243</v>
      </c>
      <c r="Y73" s="421">
        <v>112</v>
      </c>
      <c r="Z73" s="419"/>
      <c r="AA73" s="419"/>
      <c r="AB73" s="419"/>
      <c r="AC73" s="419"/>
      <c r="AD73" s="419"/>
      <c r="AE73" s="422">
        <v>1.1029142795151807</v>
      </c>
      <c r="AF73" s="421">
        <v>3405113.0100916335</v>
      </c>
      <c r="AG73" s="420">
        <v>111</v>
      </c>
      <c r="AH73" s="420">
        <v>998</v>
      </c>
      <c r="AJ73" s="420">
        <v>79</v>
      </c>
      <c r="AK73" s="420">
        <v>0.034022394487510765</v>
      </c>
      <c r="AM73" s="420">
        <v>0</v>
      </c>
      <c r="AN73" s="420">
        <v>2</v>
      </c>
      <c r="AP73" s="420">
        <v>0</v>
      </c>
      <c r="AQ73" s="420">
        <v>0</v>
      </c>
      <c r="AR73" s="420">
        <v>502.18</v>
      </c>
      <c r="AU73" s="420">
        <v>118</v>
      </c>
      <c r="AV73" s="420">
        <v>566</v>
      </c>
      <c r="AW73" s="420">
        <v>0.20848056537102475</v>
      </c>
      <c r="AY73" s="420">
        <v>0.6368</v>
      </c>
      <c r="AZ73" s="421">
        <v>757</v>
      </c>
      <c r="BA73" s="420">
        <v>861</v>
      </c>
      <c r="BB73" s="420">
        <v>0.8792102206736353</v>
      </c>
      <c r="BD73" s="420">
        <v>0</v>
      </c>
      <c r="BE73" s="420">
        <v>0</v>
      </c>
      <c r="BF73" s="421">
        <v>0</v>
      </c>
      <c r="BG73" s="421">
        <v>0</v>
      </c>
      <c r="BH73" s="419"/>
      <c r="BI73" s="421">
        <v>0</v>
      </c>
      <c r="BJ73" s="419"/>
      <c r="BK73" s="421">
        <v>835.92</v>
      </c>
      <c r="BL73" s="421">
        <v>139899</v>
      </c>
      <c r="BM73" s="421">
        <v>-30669.49</v>
      </c>
      <c r="BN73" s="419"/>
      <c r="BO73" s="421">
        <v>9185.336451798677</v>
      </c>
      <c r="BP73" s="421">
        <v>291060</v>
      </c>
      <c r="BQ73" s="421">
        <v>92413</v>
      </c>
      <c r="BR73" s="421">
        <v>256894.05377211169</v>
      </c>
      <c r="BS73" s="421">
        <v>15394.886270220215</v>
      </c>
      <c r="BT73" s="421">
        <v>35647.9445174762</v>
      </c>
      <c r="BU73" s="421">
        <v>106520.14217974393</v>
      </c>
      <c r="BV73" s="421">
        <v>169559.83785104705</v>
      </c>
      <c r="BW73" s="421">
        <v>240230.03207086163</v>
      </c>
      <c r="BX73" s="421">
        <v>84367.24290657333</v>
      </c>
      <c r="BY73" s="421">
        <v>135286.7709038614</v>
      </c>
      <c r="BZ73" s="419"/>
      <c r="CA73" s="421">
        <v>-12620.190657605053</v>
      </c>
      <c r="CB73" s="419"/>
      <c r="CC73" s="419"/>
      <c r="CD73" s="419"/>
      <c r="CE73" s="421">
        <v>187251.82395396824</v>
      </c>
      <c r="CF73" s="421">
        <v>104374.68264764173</v>
      </c>
      <c r="CG73" s="421">
        <v>122016.34806486027</v>
      </c>
      <c r="CH73" s="421">
        <v>-7812.4012879553275</v>
      </c>
      <c r="CI73" s="419"/>
      <c r="CJ73" s="421">
        <v>2570707.696430869</v>
      </c>
      <c r="CK73" s="421">
        <v>-402247</v>
      </c>
      <c r="CL73" s="421">
        <v>83464.864</v>
      </c>
      <c r="CM73" s="421">
        <v>69405.505748</v>
      </c>
      <c r="CN73" s="421">
        <v>14059.358252000005</v>
      </c>
      <c r="CO73" s="419"/>
      <c r="CP73" s="419"/>
      <c r="CQ73" s="419"/>
      <c r="CR73" s="171">
        <v>551</v>
      </c>
    </row>
    <row r="74" spans="1:96" ht="9.75">
      <c r="A74" s="203">
        <v>231</v>
      </c>
      <c r="B74" s="203" t="s">
        <v>130</v>
      </c>
      <c r="C74" s="421">
        <v>1278</v>
      </c>
      <c r="D74" s="419"/>
      <c r="E74" s="419"/>
      <c r="F74" s="419"/>
      <c r="G74" s="419"/>
      <c r="H74" s="500">
        <v>4291.05</v>
      </c>
      <c r="I74" s="419"/>
      <c r="J74" s="419"/>
      <c r="K74" s="419"/>
      <c r="L74" s="419"/>
      <c r="M74" s="419"/>
      <c r="N74" s="419"/>
      <c r="O74" s="419"/>
      <c r="P74" s="419"/>
      <c r="Q74" s="421">
        <v>64</v>
      </c>
      <c r="R74" s="421">
        <v>6</v>
      </c>
      <c r="S74" s="421">
        <v>53</v>
      </c>
      <c r="T74" s="421">
        <v>31</v>
      </c>
      <c r="U74" s="421">
        <v>26</v>
      </c>
      <c r="V74" s="421">
        <v>565</v>
      </c>
      <c r="W74" s="421">
        <v>315</v>
      </c>
      <c r="X74" s="421">
        <v>174</v>
      </c>
      <c r="Y74" s="421">
        <v>44</v>
      </c>
      <c r="Z74" s="419"/>
      <c r="AA74" s="419"/>
      <c r="AB74" s="419"/>
      <c r="AC74" s="419"/>
      <c r="AD74" s="419"/>
      <c r="AE74" s="422">
        <v>1.1284519878897392</v>
      </c>
      <c r="AF74" s="421">
        <v>1917527.0279114887</v>
      </c>
      <c r="AG74" s="420">
        <v>39</v>
      </c>
      <c r="AH74" s="420">
        <v>487</v>
      </c>
      <c r="AJ74" s="420">
        <v>140</v>
      </c>
      <c r="AK74" s="420">
        <v>0.10954616588419405</v>
      </c>
      <c r="AM74" s="420">
        <v>1</v>
      </c>
      <c r="AN74" s="420">
        <v>357</v>
      </c>
      <c r="AP74" s="420">
        <v>0</v>
      </c>
      <c r="AQ74" s="420">
        <v>0</v>
      </c>
      <c r="AR74" s="420">
        <v>10.63</v>
      </c>
      <c r="AU74" s="420">
        <v>81</v>
      </c>
      <c r="AV74" s="420">
        <v>312</v>
      </c>
      <c r="AW74" s="420">
        <v>0.25961538461538464</v>
      </c>
      <c r="AY74" s="420">
        <v>0.4391</v>
      </c>
      <c r="AZ74" s="421">
        <v>477</v>
      </c>
      <c r="BA74" s="420">
        <v>448</v>
      </c>
      <c r="BB74" s="420">
        <v>1.0647321428571428</v>
      </c>
      <c r="BD74" s="420">
        <v>0</v>
      </c>
      <c r="BE74" s="420">
        <v>0</v>
      </c>
      <c r="BF74" s="421">
        <v>0</v>
      </c>
      <c r="BG74" s="421">
        <v>0</v>
      </c>
      <c r="BH74" s="419"/>
      <c r="BI74" s="421">
        <v>0</v>
      </c>
      <c r="BJ74" s="419"/>
      <c r="BK74" s="421">
        <v>460.08</v>
      </c>
      <c r="BL74" s="421">
        <v>23962</v>
      </c>
      <c r="BM74" s="421">
        <v>-21464.735</v>
      </c>
      <c r="BN74" s="419"/>
      <c r="BO74" s="421">
        <v>10795.96809515229</v>
      </c>
      <c r="BP74" s="421">
        <v>96307</v>
      </c>
      <c r="BQ74" s="421">
        <v>37918</v>
      </c>
      <c r="BR74" s="421">
        <v>84599.72105985375</v>
      </c>
      <c r="BS74" s="421">
        <v>4667.110441196863</v>
      </c>
      <c r="BT74" s="421">
        <v>14013.607726811122</v>
      </c>
      <c r="BU74" s="421">
        <v>34434.394086437955</v>
      </c>
      <c r="BV74" s="421">
        <v>64977.746840366635</v>
      </c>
      <c r="BW74" s="421">
        <v>108592.87659227524</v>
      </c>
      <c r="BX74" s="421">
        <v>32056.051184232758</v>
      </c>
      <c r="BY74" s="421">
        <v>55307.081604828636</v>
      </c>
      <c r="BZ74" s="419"/>
      <c r="CA74" s="421">
        <v>-29233.183312163666</v>
      </c>
      <c r="CB74" s="419"/>
      <c r="CC74" s="419"/>
      <c r="CD74" s="419"/>
      <c r="CE74" s="421">
        <v>63409.49882340392</v>
      </c>
      <c r="CF74" s="421">
        <v>43996.72407126676</v>
      </c>
      <c r="CG74" s="421">
        <v>58512.15652225771</v>
      </c>
      <c r="CH74" s="421">
        <v>-7641.69087635748</v>
      </c>
      <c r="CI74" s="419"/>
      <c r="CJ74" s="421">
        <v>-136282.60303671006</v>
      </c>
      <c r="CK74" s="421">
        <v>-201438</v>
      </c>
      <c r="CL74" s="421">
        <v>68709.4684</v>
      </c>
      <c r="CM74" s="421">
        <v>372611.00000000006</v>
      </c>
      <c r="CN74" s="421">
        <v>-303901.53160000005</v>
      </c>
      <c r="CO74" s="419"/>
      <c r="CP74" s="419"/>
      <c r="CQ74" s="419"/>
      <c r="CR74" s="171">
        <v>236</v>
      </c>
    </row>
    <row r="75" spans="1:96" ht="9.75">
      <c r="A75" s="203">
        <v>232</v>
      </c>
      <c r="B75" s="203" t="s">
        <v>131</v>
      </c>
      <c r="C75" s="421">
        <v>13007</v>
      </c>
      <c r="D75" s="419"/>
      <c r="E75" s="419"/>
      <c r="F75" s="419"/>
      <c r="G75" s="419"/>
      <c r="H75" s="500">
        <v>4291.05</v>
      </c>
      <c r="I75" s="419"/>
      <c r="J75" s="419"/>
      <c r="K75" s="419"/>
      <c r="L75" s="419"/>
      <c r="M75" s="419"/>
      <c r="N75" s="419"/>
      <c r="O75" s="419"/>
      <c r="P75" s="419"/>
      <c r="Q75" s="421">
        <v>670</v>
      </c>
      <c r="R75" s="421">
        <v>159</v>
      </c>
      <c r="S75" s="421">
        <v>873</v>
      </c>
      <c r="T75" s="421">
        <v>388</v>
      </c>
      <c r="U75" s="421">
        <v>496</v>
      </c>
      <c r="V75" s="421">
        <v>6786</v>
      </c>
      <c r="W75" s="421">
        <v>2107</v>
      </c>
      <c r="X75" s="421">
        <v>1055</v>
      </c>
      <c r="Y75" s="421">
        <v>473</v>
      </c>
      <c r="Z75" s="419"/>
      <c r="AA75" s="419"/>
      <c r="AB75" s="419"/>
      <c r="AC75" s="419"/>
      <c r="AD75" s="419"/>
      <c r="AE75" s="422">
        <v>1.4321629116396306</v>
      </c>
      <c r="AF75" s="421">
        <v>24768352.213515043</v>
      </c>
      <c r="AG75" s="420">
        <v>663</v>
      </c>
      <c r="AH75" s="420">
        <v>5792</v>
      </c>
      <c r="AJ75" s="420">
        <v>326</v>
      </c>
      <c r="AK75" s="420">
        <v>0.025063427385254095</v>
      </c>
      <c r="AM75" s="420">
        <v>0</v>
      </c>
      <c r="AN75" s="420">
        <v>42</v>
      </c>
      <c r="AP75" s="420">
        <v>0</v>
      </c>
      <c r="AQ75" s="420">
        <v>0</v>
      </c>
      <c r="AR75" s="420">
        <v>1298.96</v>
      </c>
      <c r="AU75" s="420">
        <v>506</v>
      </c>
      <c r="AV75" s="420">
        <v>3632</v>
      </c>
      <c r="AW75" s="420">
        <v>0.1393171806167401</v>
      </c>
      <c r="AY75" s="420">
        <v>0</v>
      </c>
      <c r="AZ75" s="421">
        <v>5269</v>
      </c>
      <c r="BA75" s="420">
        <v>5132</v>
      </c>
      <c r="BB75" s="420">
        <v>1.0266952455183165</v>
      </c>
      <c r="BD75" s="420">
        <v>0</v>
      </c>
      <c r="BE75" s="420">
        <v>0</v>
      </c>
      <c r="BF75" s="421">
        <v>0</v>
      </c>
      <c r="BG75" s="421">
        <v>0</v>
      </c>
      <c r="BH75" s="419"/>
      <c r="BI75" s="421">
        <v>0</v>
      </c>
      <c r="BJ75" s="419"/>
      <c r="BK75" s="421">
        <v>4682.5199999999995</v>
      </c>
      <c r="BL75" s="421">
        <v>-121273</v>
      </c>
      <c r="BM75" s="421">
        <v>-654622.815</v>
      </c>
      <c r="BN75" s="419"/>
      <c r="BO75" s="421">
        <v>220633.7152224183</v>
      </c>
      <c r="BP75" s="421">
        <v>1348002</v>
      </c>
      <c r="BQ75" s="421">
        <v>442548</v>
      </c>
      <c r="BR75" s="421">
        <v>1109041.4400691977</v>
      </c>
      <c r="BS75" s="421">
        <v>52325.6392268162</v>
      </c>
      <c r="BT75" s="421">
        <v>142064.68655123145</v>
      </c>
      <c r="BU75" s="421">
        <v>519039.0985858991</v>
      </c>
      <c r="BV75" s="421">
        <v>837154.959615151</v>
      </c>
      <c r="BW75" s="421">
        <v>1257961.1728310033</v>
      </c>
      <c r="BX75" s="421">
        <v>390550.8166091616</v>
      </c>
      <c r="BY75" s="421">
        <v>682682.4474769958</v>
      </c>
      <c r="BZ75" s="419"/>
      <c r="CA75" s="421">
        <v>-59106.117415934874</v>
      </c>
      <c r="CB75" s="419"/>
      <c r="CC75" s="419"/>
      <c r="CD75" s="419"/>
      <c r="CE75" s="421">
        <v>942314.583544774</v>
      </c>
      <c r="CF75" s="421">
        <v>524246.8197146242</v>
      </c>
      <c r="CG75" s="421">
        <v>625952.6531637491</v>
      </c>
      <c r="CH75" s="421">
        <v>-52168.836921019334</v>
      </c>
      <c r="CI75" s="419"/>
      <c r="CJ75" s="421">
        <v>10869745.480612226</v>
      </c>
      <c r="CK75" s="421">
        <v>-589482</v>
      </c>
      <c r="CL75" s="421">
        <v>269844.8862</v>
      </c>
      <c r="CM75" s="421">
        <v>207171.71600000001</v>
      </c>
      <c r="CN75" s="421">
        <v>62673.17019999999</v>
      </c>
      <c r="CO75" s="419"/>
      <c r="CP75" s="419"/>
      <c r="CQ75" s="419"/>
      <c r="CR75" s="171">
        <v>3688</v>
      </c>
    </row>
    <row r="76" spans="1:96" ht="9.75">
      <c r="A76" s="203">
        <v>233</v>
      </c>
      <c r="B76" s="203" t="s">
        <v>132</v>
      </c>
      <c r="C76" s="421">
        <v>15514</v>
      </c>
      <c r="D76" s="419"/>
      <c r="E76" s="419"/>
      <c r="F76" s="419"/>
      <c r="G76" s="419"/>
      <c r="H76" s="500">
        <v>4291.05</v>
      </c>
      <c r="I76" s="419"/>
      <c r="J76" s="419"/>
      <c r="K76" s="419"/>
      <c r="L76" s="419"/>
      <c r="M76" s="419"/>
      <c r="N76" s="419"/>
      <c r="O76" s="419"/>
      <c r="P76" s="419"/>
      <c r="Q76" s="421">
        <v>741</v>
      </c>
      <c r="R76" s="421">
        <v>145</v>
      </c>
      <c r="S76" s="421">
        <v>1082</v>
      </c>
      <c r="T76" s="421">
        <v>590</v>
      </c>
      <c r="U76" s="421">
        <v>578</v>
      </c>
      <c r="V76" s="421">
        <v>7822</v>
      </c>
      <c r="W76" s="421">
        <v>2440</v>
      </c>
      <c r="X76" s="421">
        <v>1407</v>
      </c>
      <c r="Y76" s="421">
        <v>709</v>
      </c>
      <c r="Z76" s="419"/>
      <c r="AA76" s="419"/>
      <c r="AB76" s="419"/>
      <c r="AC76" s="419"/>
      <c r="AD76" s="419"/>
      <c r="AE76" s="422">
        <v>1.3538948807891558</v>
      </c>
      <c r="AF76" s="421">
        <v>27927771.72193612</v>
      </c>
      <c r="AG76" s="420">
        <v>636</v>
      </c>
      <c r="AH76" s="420">
        <v>6865</v>
      </c>
      <c r="AJ76" s="420">
        <v>474</v>
      </c>
      <c r="AK76" s="420">
        <v>0.03055304885909501</v>
      </c>
      <c r="AM76" s="420">
        <v>0</v>
      </c>
      <c r="AN76" s="420">
        <v>107</v>
      </c>
      <c r="AP76" s="420">
        <v>0</v>
      </c>
      <c r="AQ76" s="420">
        <v>0</v>
      </c>
      <c r="AR76" s="420">
        <v>1313.82</v>
      </c>
      <c r="AU76" s="420">
        <v>561</v>
      </c>
      <c r="AV76" s="420">
        <v>4203</v>
      </c>
      <c r="AW76" s="420">
        <v>0.1334760885082084</v>
      </c>
      <c r="AY76" s="420">
        <v>0</v>
      </c>
      <c r="AZ76" s="421">
        <v>6253</v>
      </c>
      <c r="BA76" s="420">
        <v>6136</v>
      </c>
      <c r="BB76" s="420">
        <v>1.0190677966101696</v>
      </c>
      <c r="BD76" s="420">
        <v>0</v>
      </c>
      <c r="BE76" s="420">
        <v>0</v>
      </c>
      <c r="BF76" s="421">
        <v>0</v>
      </c>
      <c r="BG76" s="421">
        <v>0</v>
      </c>
      <c r="BH76" s="419"/>
      <c r="BI76" s="421">
        <v>0</v>
      </c>
      <c r="BJ76" s="419"/>
      <c r="BK76" s="421">
        <v>5585.04</v>
      </c>
      <c r="BL76" s="421">
        <v>-503126</v>
      </c>
      <c r="BM76" s="421">
        <v>-487263.125</v>
      </c>
      <c r="BN76" s="419"/>
      <c r="BO76" s="421">
        <v>55571.627510622144</v>
      </c>
      <c r="BP76" s="421">
        <v>1591871</v>
      </c>
      <c r="BQ76" s="421">
        <v>502839</v>
      </c>
      <c r="BR76" s="421">
        <v>1326433.255680016</v>
      </c>
      <c r="BS76" s="421">
        <v>67143.61223950218</v>
      </c>
      <c r="BT76" s="421">
        <v>136521.67357738214</v>
      </c>
      <c r="BU76" s="421">
        <v>582007.1615354746</v>
      </c>
      <c r="BV76" s="421">
        <v>978436.1017883895</v>
      </c>
      <c r="BW76" s="421">
        <v>1595489.3984866217</v>
      </c>
      <c r="BX76" s="421">
        <v>447314.7966168502</v>
      </c>
      <c r="BY76" s="421">
        <v>813149.6786126526</v>
      </c>
      <c r="BZ76" s="419"/>
      <c r="CA76" s="421">
        <v>-110289.80364847451</v>
      </c>
      <c r="CB76" s="419"/>
      <c r="CC76" s="419"/>
      <c r="CD76" s="419"/>
      <c r="CE76" s="421">
        <v>1097121.6731470108</v>
      </c>
      <c r="CF76" s="421">
        <v>614333.8633042228</v>
      </c>
      <c r="CG76" s="421">
        <v>728380.5770277365</v>
      </c>
      <c r="CH76" s="421">
        <v>-62402.83331958045</v>
      </c>
      <c r="CI76" s="419"/>
      <c r="CJ76" s="421">
        <v>13265662.426853208</v>
      </c>
      <c r="CK76" s="421">
        <v>-707248</v>
      </c>
      <c r="CL76" s="421">
        <v>301218.7324</v>
      </c>
      <c r="CM76" s="421">
        <v>252034.08039999998</v>
      </c>
      <c r="CN76" s="421">
        <v>49184.652</v>
      </c>
      <c r="CO76" s="419"/>
      <c r="CP76" s="419"/>
      <c r="CQ76" s="419"/>
      <c r="CR76" s="171">
        <v>4298</v>
      </c>
    </row>
    <row r="77" spans="1:96" ht="9.75">
      <c r="A77" s="203">
        <v>235</v>
      </c>
      <c r="B77" s="203" t="s">
        <v>133</v>
      </c>
      <c r="C77" s="421">
        <v>10178</v>
      </c>
      <c r="D77" s="419"/>
      <c r="E77" s="419"/>
      <c r="F77" s="419"/>
      <c r="G77" s="419"/>
      <c r="H77" s="500">
        <v>4291.05</v>
      </c>
      <c r="I77" s="419"/>
      <c r="J77" s="419"/>
      <c r="K77" s="419"/>
      <c r="L77" s="419"/>
      <c r="M77" s="419"/>
      <c r="N77" s="419"/>
      <c r="O77" s="419"/>
      <c r="P77" s="419"/>
      <c r="Q77" s="421">
        <v>524</v>
      </c>
      <c r="R77" s="421">
        <v>134</v>
      </c>
      <c r="S77" s="421">
        <v>836</v>
      </c>
      <c r="T77" s="421">
        <v>474</v>
      </c>
      <c r="U77" s="421">
        <v>468</v>
      </c>
      <c r="V77" s="421">
        <v>5534</v>
      </c>
      <c r="W77" s="421">
        <v>1034</v>
      </c>
      <c r="X77" s="421">
        <v>850</v>
      </c>
      <c r="Y77" s="421">
        <v>324</v>
      </c>
      <c r="Z77" s="419"/>
      <c r="AA77" s="419"/>
      <c r="AB77" s="419"/>
      <c r="AC77" s="419"/>
      <c r="AD77" s="419"/>
      <c r="AE77" s="422">
        <v>0.6911691895184042</v>
      </c>
      <c r="AF77" s="421">
        <v>9353504.735208126</v>
      </c>
      <c r="AG77" s="420">
        <v>418</v>
      </c>
      <c r="AH77" s="420">
        <v>4428</v>
      </c>
      <c r="AJ77" s="420">
        <v>917</v>
      </c>
      <c r="AK77" s="420">
        <v>0.09009628610729023</v>
      </c>
      <c r="AM77" s="420">
        <v>1</v>
      </c>
      <c r="AN77" s="420">
        <v>3215</v>
      </c>
      <c r="AP77" s="420">
        <v>0</v>
      </c>
      <c r="AQ77" s="420">
        <v>0</v>
      </c>
      <c r="AR77" s="420">
        <v>5.89</v>
      </c>
      <c r="AU77" s="420">
        <v>307</v>
      </c>
      <c r="AV77" s="420">
        <v>3222</v>
      </c>
      <c r="AW77" s="420">
        <v>0.09528243327126008</v>
      </c>
      <c r="AY77" s="420">
        <v>0</v>
      </c>
      <c r="AZ77" s="421">
        <v>2454</v>
      </c>
      <c r="BA77" s="420">
        <v>4213</v>
      </c>
      <c r="BB77" s="420">
        <v>0.582482791360076</v>
      </c>
      <c r="BD77" s="420">
        <v>0</v>
      </c>
      <c r="BE77" s="420">
        <v>3</v>
      </c>
      <c r="BF77" s="421">
        <v>0</v>
      </c>
      <c r="BG77" s="421">
        <v>0</v>
      </c>
      <c r="BH77" s="419"/>
      <c r="BI77" s="421">
        <v>0</v>
      </c>
      <c r="BJ77" s="419"/>
      <c r="BK77" s="421">
        <v>3664.08</v>
      </c>
      <c r="BL77" s="421">
        <v>-66218</v>
      </c>
      <c r="BM77" s="421">
        <v>-380609.3264</v>
      </c>
      <c r="BN77" s="419"/>
      <c r="BO77" s="421">
        <v>-383247.70536642754</v>
      </c>
      <c r="BP77" s="421">
        <v>400853</v>
      </c>
      <c r="BQ77" s="421">
        <v>140968</v>
      </c>
      <c r="BR77" s="421">
        <v>243665.55433787196</v>
      </c>
      <c r="BS77" s="421">
        <v>-364.4745045378025</v>
      </c>
      <c r="BT77" s="421">
        <v>-473805.29871285387</v>
      </c>
      <c r="BU77" s="421">
        <v>-38842.97927835519</v>
      </c>
      <c r="BV77" s="421">
        <v>238687.31922770882</v>
      </c>
      <c r="BW77" s="421">
        <v>389412.30320669874</v>
      </c>
      <c r="BX77" s="421">
        <v>143400.37083215994</v>
      </c>
      <c r="BY77" s="421">
        <v>228980.30962155422</v>
      </c>
      <c r="BZ77" s="419"/>
      <c r="CA77" s="421">
        <v>-21522.004490942032</v>
      </c>
      <c r="CB77" s="419"/>
      <c r="CC77" s="419"/>
      <c r="CD77" s="419"/>
      <c r="CE77" s="421">
        <v>319679.37208902265</v>
      </c>
      <c r="CF77" s="421">
        <v>195225.4461444899</v>
      </c>
      <c r="CG77" s="421">
        <v>255143.46517047074</v>
      </c>
      <c r="CH77" s="421">
        <v>-83433.59612727091</v>
      </c>
      <c r="CI77" s="419"/>
      <c r="CJ77" s="421">
        <v>-13999229.0298606</v>
      </c>
      <c r="CK77" s="421">
        <v>2808288</v>
      </c>
      <c r="CL77" s="421">
        <v>3863454.414600001</v>
      </c>
      <c r="CM77" s="421">
        <v>1585848.810884</v>
      </c>
      <c r="CN77" s="421">
        <v>2277605.603716001</v>
      </c>
      <c r="CO77" s="419"/>
      <c r="CP77" s="419"/>
      <c r="CQ77" s="419"/>
      <c r="CR77" s="171">
        <v>3403</v>
      </c>
    </row>
    <row r="78" spans="1:96" ht="9.75">
      <c r="A78" s="203">
        <v>236</v>
      </c>
      <c r="B78" s="203" t="s">
        <v>134</v>
      </c>
      <c r="C78" s="421">
        <v>4228</v>
      </c>
      <c r="D78" s="419"/>
      <c r="E78" s="419"/>
      <c r="F78" s="419"/>
      <c r="G78" s="419"/>
      <c r="H78" s="500">
        <v>4291.05</v>
      </c>
      <c r="I78" s="419"/>
      <c r="J78" s="419"/>
      <c r="K78" s="419"/>
      <c r="L78" s="419"/>
      <c r="M78" s="419"/>
      <c r="N78" s="419"/>
      <c r="O78" s="419"/>
      <c r="P78" s="419"/>
      <c r="Q78" s="421">
        <v>273</v>
      </c>
      <c r="R78" s="421">
        <v>56</v>
      </c>
      <c r="S78" s="421">
        <v>353</v>
      </c>
      <c r="T78" s="421">
        <v>156</v>
      </c>
      <c r="U78" s="421">
        <v>157</v>
      </c>
      <c r="V78" s="421">
        <v>2223</v>
      </c>
      <c r="W78" s="421">
        <v>551</v>
      </c>
      <c r="X78" s="421">
        <v>315</v>
      </c>
      <c r="Y78" s="421">
        <v>144</v>
      </c>
      <c r="Z78" s="419"/>
      <c r="AA78" s="419"/>
      <c r="AB78" s="419"/>
      <c r="AC78" s="419"/>
      <c r="AD78" s="419"/>
      <c r="AE78" s="422">
        <v>1.0053083324015541</v>
      </c>
      <c r="AF78" s="421">
        <v>5651475.046133866</v>
      </c>
      <c r="AG78" s="420">
        <v>172</v>
      </c>
      <c r="AH78" s="420">
        <v>2027</v>
      </c>
      <c r="AJ78" s="420">
        <v>93</v>
      </c>
      <c r="AK78" s="420">
        <v>0.021996215704824976</v>
      </c>
      <c r="AM78" s="420">
        <v>0</v>
      </c>
      <c r="AN78" s="420">
        <v>84</v>
      </c>
      <c r="AP78" s="420">
        <v>0</v>
      </c>
      <c r="AQ78" s="420">
        <v>0</v>
      </c>
      <c r="AR78" s="420">
        <v>353.91</v>
      </c>
      <c r="AU78" s="420">
        <v>128</v>
      </c>
      <c r="AV78" s="420">
        <v>1303</v>
      </c>
      <c r="AW78" s="420">
        <v>0.09823484267075978</v>
      </c>
      <c r="AY78" s="420">
        <v>0.1144</v>
      </c>
      <c r="AZ78" s="421">
        <v>1601</v>
      </c>
      <c r="BA78" s="420">
        <v>1864</v>
      </c>
      <c r="BB78" s="420">
        <v>0.8589055793991416</v>
      </c>
      <c r="BD78" s="420">
        <v>0</v>
      </c>
      <c r="BE78" s="420">
        <v>1</v>
      </c>
      <c r="BF78" s="421">
        <v>0</v>
      </c>
      <c r="BG78" s="421">
        <v>0</v>
      </c>
      <c r="BH78" s="419"/>
      <c r="BI78" s="421">
        <v>0</v>
      </c>
      <c r="BJ78" s="419"/>
      <c r="BK78" s="421">
        <v>1522.08</v>
      </c>
      <c r="BL78" s="421">
        <v>-23093</v>
      </c>
      <c r="BM78" s="421">
        <v>-65663.265</v>
      </c>
      <c r="BN78" s="419"/>
      <c r="BO78" s="421">
        <v>2179.703014673665</v>
      </c>
      <c r="BP78" s="421">
        <v>368269</v>
      </c>
      <c r="BQ78" s="421">
        <v>129763</v>
      </c>
      <c r="BR78" s="421">
        <v>323098.58050311817</v>
      </c>
      <c r="BS78" s="421">
        <v>16486.611000444092</v>
      </c>
      <c r="BT78" s="421">
        <v>25574.44655187277</v>
      </c>
      <c r="BU78" s="421">
        <v>131319.51174693956</v>
      </c>
      <c r="BV78" s="421">
        <v>267335.263164313</v>
      </c>
      <c r="BW78" s="421">
        <v>419922.6771925664</v>
      </c>
      <c r="BX78" s="421">
        <v>132581.03671430607</v>
      </c>
      <c r="BY78" s="421">
        <v>210045.2528847184</v>
      </c>
      <c r="BZ78" s="419"/>
      <c r="CA78" s="421">
        <v>-35653.57065223552</v>
      </c>
      <c r="CB78" s="419"/>
      <c r="CC78" s="419"/>
      <c r="CD78" s="419"/>
      <c r="CE78" s="421">
        <v>289368.6982293134</v>
      </c>
      <c r="CF78" s="421">
        <v>171402.48256731732</v>
      </c>
      <c r="CG78" s="421">
        <v>208330.85174286168</v>
      </c>
      <c r="CH78" s="421">
        <v>-16910.9468252573</v>
      </c>
      <c r="CI78" s="419"/>
      <c r="CJ78" s="421">
        <v>3841297.444775969</v>
      </c>
      <c r="CK78" s="421">
        <v>791784</v>
      </c>
      <c r="CL78" s="421">
        <v>298237.84440000006</v>
      </c>
      <c r="CM78" s="421">
        <v>100783.82328</v>
      </c>
      <c r="CN78" s="421">
        <v>197454.02112000005</v>
      </c>
      <c r="CO78" s="419"/>
      <c r="CP78" s="419"/>
      <c r="CQ78" s="419"/>
      <c r="CR78" s="171">
        <v>1326</v>
      </c>
    </row>
    <row r="79" spans="1:96" ht="9.75">
      <c r="A79" s="203">
        <v>239</v>
      </c>
      <c r="B79" s="203" t="s">
        <v>135</v>
      </c>
      <c r="C79" s="421">
        <v>2155</v>
      </c>
      <c r="D79" s="419"/>
      <c r="E79" s="419"/>
      <c r="F79" s="419"/>
      <c r="G79" s="419"/>
      <c r="H79" s="500">
        <v>4291.05</v>
      </c>
      <c r="I79" s="419"/>
      <c r="J79" s="419"/>
      <c r="K79" s="419"/>
      <c r="L79" s="419"/>
      <c r="M79" s="419"/>
      <c r="N79" s="419"/>
      <c r="O79" s="419"/>
      <c r="P79" s="419"/>
      <c r="Q79" s="421">
        <v>88</v>
      </c>
      <c r="R79" s="421">
        <v>15</v>
      </c>
      <c r="S79" s="421">
        <v>100</v>
      </c>
      <c r="T79" s="421">
        <v>58</v>
      </c>
      <c r="U79" s="421">
        <v>49</v>
      </c>
      <c r="V79" s="421">
        <v>1019</v>
      </c>
      <c r="W79" s="421">
        <v>485</v>
      </c>
      <c r="X79" s="421">
        <v>232</v>
      </c>
      <c r="Y79" s="421">
        <v>109</v>
      </c>
      <c r="Z79" s="419"/>
      <c r="AA79" s="419"/>
      <c r="AB79" s="419"/>
      <c r="AC79" s="419"/>
      <c r="AD79" s="419"/>
      <c r="AE79" s="422">
        <v>1.6082462285450871</v>
      </c>
      <c r="AF79" s="421">
        <v>4608158.07826502</v>
      </c>
      <c r="AG79" s="420">
        <v>90</v>
      </c>
      <c r="AH79" s="420">
        <v>885</v>
      </c>
      <c r="AJ79" s="420">
        <v>34</v>
      </c>
      <c r="AK79" s="420">
        <v>0.01577726218097448</v>
      </c>
      <c r="AM79" s="420">
        <v>0</v>
      </c>
      <c r="AN79" s="420">
        <v>1</v>
      </c>
      <c r="AP79" s="420">
        <v>0</v>
      </c>
      <c r="AQ79" s="420">
        <v>0</v>
      </c>
      <c r="AR79" s="420">
        <v>482.91</v>
      </c>
      <c r="AU79" s="420">
        <v>78</v>
      </c>
      <c r="AV79" s="420">
        <v>488</v>
      </c>
      <c r="AW79" s="420">
        <v>0.1598360655737705</v>
      </c>
      <c r="AY79" s="420">
        <v>1.1452</v>
      </c>
      <c r="AZ79" s="421">
        <v>878</v>
      </c>
      <c r="BA79" s="420">
        <v>773</v>
      </c>
      <c r="BB79" s="420">
        <v>1.1358344113842174</v>
      </c>
      <c r="BD79" s="420">
        <v>0</v>
      </c>
      <c r="BE79" s="420">
        <v>0</v>
      </c>
      <c r="BF79" s="421">
        <v>0</v>
      </c>
      <c r="BG79" s="421">
        <v>0</v>
      </c>
      <c r="BH79" s="419"/>
      <c r="BI79" s="421">
        <v>0</v>
      </c>
      <c r="BJ79" s="419"/>
      <c r="BK79" s="421">
        <v>775.8</v>
      </c>
      <c r="BL79" s="421">
        <v>21867</v>
      </c>
      <c r="BM79" s="421">
        <v>-67414.52</v>
      </c>
      <c r="BN79" s="419"/>
      <c r="BO79" s="421">
        <v>-73467.48825489823</v>
      </c>
      <c r="BP79" s="421">
        <v>226638</v>
      </c>
      <c r="BQ79" s="421">
        <v>72396</v>
      </c>
      <c r="BR79" s="421">
        <v>170170.74847539567</v>
      </c>
      <c r="BS79" s="421">
        <v>10042.96654919932</v>
      </c>
      <c r="BT79" s="421">
        <v>29392.02557690102</v>
      </c>
      <c r="BU79" s="421">
        <v>99747.90671494628</v>
      </c>
      <c r="BV79" s="421">
        <v>133009.6078486712</v>
      </c>
      <c r="BW79" s="421">
        <v>219225.60271605232</v>
      </c>
      <c r="BX79" s="421">
        <v>64395.621196392836</v>
      </c>
      <c r="BY79" s="421">
        <v>112596.59676961876</v>
      </c>
      <c r="BZ79" s="419"/>
      <c r="CA79" s="421">
        <v>-11689.349516808481</v>
      </c>
      <c r="CB79" s="419"/>
      <c r="CC79" s="419"/>
      <c r="CD79" s="419"/>
      <c r="CE79" s="421">
        <v>158375.81928912736</v>
      </c>
      <c r="CF79" s="421">
        <v>83295.28914251582</v>
      </c>
      <c r="CG79" s="421">
        <v>98908.9064476593</v>
      </c>
      <c r="CH79" s="421">
        <v>-8325.961188153244</v>
      </c>
      <c r="CI79" s="419"/>
      <c r="CJ79" s="421">
        <v>1485101.7175619337</v>
      </c>
      <c r="CK79" s="421">
        <v>-468504</v>
      </c>
      <c r="CL79" s="421">
        <v>77577.6102</v>
      </c>
      <c r="CM79" s="421">
        <v>19375.772</v>
      </c>
      <c r="CN79" s="421">
        <v>58201.8382</v>
      </c>
      <c r="CO79" s="419"/>
      <c r="CP79" s="419"/>
      <c r="CQ79" s="419"/>
      <c r="CR79" s="171">
        <v>430</v>
      </c>
    </row>
    <row r="80" spans="1:96" ht="9.75">
      <c r="A80" s="203">
        <v>240</v>
      </c>
      <c r="B80" s="203" t="s">
        <v>136</v>
      </c>
      <c r="C80" s="421">
        <v>20437</v>
      </c>
      <c r="D80" s="419"/>
      <c r="E80" s="419"/>
      <c r="F80" s="419"/>
      <c r="G80" s="419"/>
      <c r="H80" s="500">
        <v>4291.05</v>
      </c>
      <c r="I80" s="419"/>
      <c r="J80" s="419"/>
      <c r="K80" s="419"/>
      <c r="L80" s="419"/>
      <c r="M80" s="419"/>
      <c r="N80" s="419"/>
      <c r="O80" s="419"/>
      <c r="P80" s="419"/>
      <c r="Q80" s="421">
        <v>966</v>
      </c>
      <c r="R80" s="421">
        <v>220</v>
      </c>
      <c r="S80" s="421">
        <v>1310</v>
      </c>
      <c r="T80" s="421">
        <v>671</v>
      </c>
      <c r="U80" s="421">
        <v>594</v>
      </c>
      <c r="V80" s="421">
        <v>10872</v>
      </c>
      <c r="W80" s="421">
        <v>3303</v>
      </c>
      <c r="X80" s="421">
        <v>1737</v>
      </c>
      <c r="Y80" s="421">
        <v>764</v>
      </c>
      <c r="Z80" s="419"/>
      <c r="AA80" s="419"/>
      <c r="AB80" s="419"/>
      <c r="AC80" s="419"/>
      <c r="AD80" s="419"/>
      <c r="AE80" s="422">
        <v>1.3640785801534399</v>
      </c>
      <c r="AF80" s="421">
        <v>37066713.94786685</v>
      </c>
      <c r="AG80" s="420">
        <v>1485</v>
      </c>
      <c r="AH80" s="420">
        <v>8764</v>
      </c>
      <c r="AJ80" s="420">
        <v>943</v>
      </c>
      <c r="AK80" s="420">
        <v>0.04614180163429075</v>
      </c>
      <c r="AM80" s="420">
        <v>0</v>
      </c>
      <c r="AN80" s="420">
        <v>37</v>
      </c>
      <c r="AP80" s="420">
        <v>0</v>
      </c>
      <c r="AQ80" s="420">
        <v>0</v>
      </c>
      <c r="AR80" s="420">
        <v>95.3</v>
      </c>
      <c r="AU80" s="420">
        <v>797</v>
      </c>
      <c r="AV80" s="420">
        <v>5662</v>
      </c>
      <c r="AW80" s="420">
        <v>0.1407629812787001</v>
      </c>
      <c r="AY80" s="420">
        <v>0.061</v>
      </c>
      <c r="AZ80" s="421">
        <v>8853</v>
      </c>
      <c r="BA80" s="420">
        <v>7324</v>
      </c>
      <c r="BB80" s="420">
        <v>1.208765701802294</v>
      </c>
      <c r="BD80" s="420">
        <v>0</v>
      </c>
      <c r="BE80" s="420">
        <v>6</v>
      </c>
      <c r="BF80" s="421">
        <v>0</v>
      </c>
      <c r="BG80" s="421">
        <v>0</v>
      </c>
      <c r="BH80" s="419"/>
      <c r="BI80" s="421">
        <v>0</v>
      </c>
      <c r="BJ80" s="419"/>
      <c r="BK80" s="421">
        <v>7357.32</v>
      </c>
      <c r="BL80" s="421">
        <v>232014</v>
      </c>
      <c r="BM80" s="421">
        <v>-1485595.73815</v>
      </c>
      <c r="BN80" s="419"/>
      <c r="BO80" s="421">
        <v>-426000.6102620363</v>
      </c>
      <c r="BP80" s="421">
        <v>1605369</v>
      </c>
      <c r="BQ80" s="421">
        <v>494139</v>
      </c>
      <c r="BR80" s="421">
        <v>1234156.566630016</v>
      </c>
      <c r="BS80" s="421">
        <v>53563.42652370573</v>
      </c>
      <c r="BT80" s="421">
        <v>235749.92125511618</v>
      </c>
      <c r="BU80" s="421">
        <v>637343.6350922355</v>
      </c>
      <c r="BV80" s="421">
        <v>895758.6547334746</v>
      </c>
      <c r="BW80" s="421">
        <v>1519158.180637742</v>
      </c>
      <c r="BX80" s="421">
        <v>410155.71480379323</v>
      </c>
      <c r="BY80" s="421">
        <v>830678.3206041255</v>
      </c>
      <c r="BZ80" s="419"/>
      <c r="CA80" s="421">
        <v>101797.54154330323</v>
      </c>
      <c r="CB80" s="419"/>
      <c r="CC80" s="419"/>
      <c r="CD80" s="419"/>
      <c r="CE80" s="421">
        <v>1037051.0910106816</v>
      </c>
      <c r="CF80" s="421">
        <v>610944.8716476847</v>
      </c>
      <c r="CG80" s="421">
        <v>761766.3489937386</v>
      </c>
      <c r="CH80" s="421">
        <v>-102966.91984126641</v>
      </c>
      <c r="CI80" s="419"/>
      <c r="CJ80" s="421">
        <v>5622511.747064538</v>
      </c>
      <c r="CK80" s="421">
        <v>1211424</v>
      </c>
      <c r="CL80" s="421">
        <v>128327.22839999999</v>
      </c>
      <c r="CM80" s="421">
        <v>426878.06604000006</v>
      </c>
      <c r="CN80" s="421">
        <v>-298550.83764000004</v>
      </c>
      <c r="CO80" s="419"/>
      <c r="CP80" s="419"/>
      <c r="CQ80" s="419"/>
      <c r="CR80" s="171">
        <v>5648</v>
      </c>
    </row>
    <row r="81" spans="1:96" ht="9.75">
      <c r="A81" s="203">
        <v>320</v>
      </c>
      <c r="B81" s="203" t="s">
        <v>137</v>
      </c>
      <c r="C81" s="421">
        <v>7191</v>
      </c>
      <c r="D81" s="419"/>
      <c r="E81" s="419"/>
      <c r="F81" s="419"/>
      <c r="G81" s="419"/>
      <c r="H81" s="500">
        <v>4291.05</v>
      </c>
      <c r="I81" s="419"/>
      <c r="J81" s="419"/>
      <c r="K81" s="419"/>
      <c r="L81" s="419"/>
      <c r="M81" s="419"/>
      <c r="N81" s="419"/>
      <c r="O81" s="419"/>
      <c r="P81" s="419"/>
      <c r="Q81" s="421">
        <v>226</v>
      </c>
      <c r="R81" s="421">
        <v>48</v>
      </c>
      <c r="S81" s="421">
        <v>308</v>
      </c>
      <c r="T81" s="421">
        <v>152</v>
      </c>
      <c r="U81" s="421">
        <v>162</v>
      </c>
      <c r="V81" s="421">
        <v>3416</v>
      </c>
      <c r="W81" s="421">
        <v>1556</v>
      </c>
      <c r="X81" s="421">
        <v>929</v>
      </c>
      <c r="Y81" s="421">
        <v>394</v>
      </c>
      <c r="Z81" s="419"/>
      <c r="AA81" s="419"/>
      <c r="AB81" s="419"/>
      <c r="AC81" s="419"/>
      <c r="AD81" s="419"/>
      <c r="AE81" s="422">
        <v>1.4645639501216792</v>
      </c>
      <c r="AF81" s="421">
        <v>14003132.013084875</v>
      </c>
      <c r="AG81" s="420">
        <v>479</v>
      </c>
      <c r="AH81" s="420">
        <v>2876</v>
      </c>
      <c r="AJ81" s="420">
        <v>103</v>
      </c>
      <c r="AK81" s="420">
        <v>0.014323459880406062</v>
      </c>
      <c r="AM81" s="420">
        <v>0</v>
      </c>
      <c r="AN81" s="420">
        <v>5</v>
      </c>
      <c r="AP81" s="420">
        <v>0</v>
      </c>
      <c r="AQ81" s="420">
        <v>0</v>
      </c>
      <c r="AR81" s="420">
        <v>3504.36</v>
      </c>
      <c r="AU81" s="420">
        <v>188</v>
      </c>
      <c r="AV81" s="420">
        <v>1594</v>
      </c>
      <c r="AW81" s="420">
        <v>0.11794228356336262</v>
      </c>
      <c r="AY81" s="420">
        <v>1.4036</v>
      </c>
      <c r="AZ81" s="421">
        <v>2258</v>
      </c>
      <c r="BA81" s="420">
        <v>2389</v>
      </c>
      <c r="BB81" s="420">
        <v>0.9451653411469234</v>
      </c>
      <c r="BD81" s="420">
        <v>0</v>
      </c>
      <c r="BE81" s="420">
        <v>2</v>
      </c>
      <c r="BF81" s="421">
        <v>0</v>
      </c>
      <c r="BG81" s="421">
        <v>0</v>
      </c>
      <c r="BH81" s="419"/>
      <c r="BI81" s="421">
        <v>0</v>
      </c>
      <c r="BJ81" s="419"/>
      <c r="BK81" s="421">
        <v>2588.7599999999998</v>
      </c>
      <c r="BL81" s="421">
        <v>102751</v>
      </c>
      <c r="BM81" s="421">
        <v>-211590.265</v>
      </c>
      <c r="BN81" s="419"/>
      <c r="BO81" s="421">
        <v>174912.97830431908</v>
      </c>
      <c r="BP81" s="421">
        <v>624747</v>
      </c>
      <c r="BQ81" s="421">
        <v>198738</v>
      </c>
      <c r="BR81" s="421">
        <v>550889.8707620313</v>
      </c>
      <c r="BS81" s="421">
        <v>29937.85605730105</v>
      </c>
      <c r="BT81" s="421">
        <v>97572.5961422533</v>
      </c>
      <c r="BU81" s="421">
        <v>274827.84891011514</v>
      </c>
      <c r="BV81" s="421">
        <v>359242.98619109433</v>
      </c>
      <c r="BW81" s="421">
        <v>642421.5521444445</v>
      </c>
      <c r="BX81" s="421">
        <v>183262.9981099569</v>
      </c>
      <c r="BY81" s="421">
        <v>335096.77977004676</v>
      </c>
      <c r="BZ81" s="419"/>
      <c r="CA81" s="421">
        <v>58891.88349091692</v>
      </c>
      <c r="CB81" s="419"/>
      <c r="CC81" s="419"/>
      <c r="CD81" s="419"/>
      <c r="CE81" s="421">
        <v>420631.1405987296</v>
      </c>
      <c r="CF81" s="421">
        <v>240691.98056754092</v>
      </c>
      <c r="CG81" s="421">
        <v>297064.9980329805</v>
      </c>
      <c r="CH81" s="421">
        <v>-35447.57681616656</v>
      </c>
      <c r="CI81" s="419"/>
      <c r="CJ81" s="421">
        <v>4531281.853148543</v>
      </c>
      <c r="CK81" s="421">
        <v>-236808</v>
      </c>
      <c r="CL81" s="421">
        <v>381628.1862</v>
      </c>
      <c r="CM81" s="421">
        <v>256430.8902</v>
      </c>
      <c r="CN81" s="421">
        <v>125197.296</v>
      </c>
      <c r="CO81" s="419"/>
      <c r="CP81" s="419"/>
      <c r="CQ81" s="419"/>
      <c r="CR81" s="171">
        <v>1272</v>
      </c>
    </row>
    <row r="82" spans="1:96" ht="9.75">
      <c r="A82" s="203">
        <v>241</v>
      </c>
      <c r="B82" s="203" t="s">
        <v>138</v>
      </c>
      <c r="C82" s="421">
        <v>7984</v>
      </c>
      <c r="D82" s="419"/>
      <c r="E82" s="419"/>
      <c r="F82" s="419"/>
      <c r="G82" s="419"/>
      <c r="H82" s="500">
        <v>4291.05</v>
      </c>
      <c r="I82" s="419"/>
      <c r="J82" s="419"/>
      <c r="K82" s="419"/>
      <c r="L82" s="419"/>
      <c r="M82" s="419"/>
      <c r="N82" s="419"/>
      <c r="O82" s="419"/>
      <c r="P82" s="419"/>
      <c r="Q82" s="421">
        <v>433</v>
      </c>
      <c r="R82" s="421">
        <v>91</v>
      </c>
      <c r="S82" s="421">
        <v>617</v>
      </c>
      <c r="T82" s="421">
        <v>288</v>
      </c>
      <c r="U82" s="421">
        <v>294</v>
      </c>
      <c r="V82" s="421">
        <v>4191</v>
      </c>
      <c r="W82" s="421">
        <v>1248</v>
      </c>
      <c r="X82" s="421">
        <v>596</v>
      </c>
      <c r="Y82" s="421">
        <v>226</v>
      </c>
      <c r="Z82" s="419"/>
      <c r="AA82" s="419"/>
      <c r="AB82" s="419"/>
      <c r="AC82" s="419"/>
      <c r="AD82" s="419"/>
      <c r="AE82" s="422">
        <v>1.0942482866228274</v>
      </c>
      <c r="AF82" s="421">
        <v>11616196.682232495</v>
      </c>
      <c r="AG82" s="420">
        <v>396</v>
      </c>
      <c r="AH82" s="420">
        <v>3640</v>
      </c>
      <c r="AJ82" s="420">
        <v>68</v>
      </c>
      <c r="AK82" s="420">
        <v>0.008517034068136272</v>
      </c>
      <c r="AM82" s="420">
        <v>0</v>
      </c>
      <c r="AN82" s="420">
        <v>12</v>
      </c>
      <c r="AP82" s="420">
        <v>0</v>
      </c>
      <c r="AQ82" s="420">
        <v>0</v>
      </c>
      <c r="AR82" s="420">
        <v>626.29</v>
      </c>
      <c r="AU82" s="420">
        <v>195</v>
      </c>
      <c r="AV82" s="420">
        <v>2330</v>
      </c>
      <c r="AW82" s="420">
        <v>0.08369098712446352</v>
      </c>
      <c r="AY82" s="420">
        <v>0.0604</v>
      </c>
      <c r="AZ82" s="421">
        <v>2819</v>
      </c>
      <c r="BA82" s="420">
        <v>3259</v>
      </c>
      <c r="BB82" s="420">
        <v>0.8649892605093586</v>
      </c>
      <c r="BD82" s="420">
        <v>0</v>
      </c>
      <c r="BE82" s="420">
        <v>4</v>
      </c>
      <c r="BF82" s="421">
        <v>0</v>
      </c>
      <c r="BG82" s="421">
        <v>0</v>
      </c>
      <c r="BH82" s="419"/>
      <c r="BI82" s="421">
        <v>0</v>
      </c>
      <c r="BJ82" s="419"/>
      <c r="BK82" s="421">
        <v>2874.24</v>
      </c>
      <c r="BL82" s="421">
        <v>199799</v>
      </c>
      <c r="BM82" s="421">
        <v>-167324.44</v>
      </c>
      <c r="BN82" s="419"/>
      <c r="BO82" s="421">
        <v>-51259.728174733</v>
      </c>
      <c r="BP82" s="421">
        <v>609472</v>
      </c>
      <c r="BQ82" s="421">
        <v>182802</v>
      </c>
      <c r="BR82" s="421">
        <v>410209.6764106429</v>
      </c>
      <c r="BS82" s="421">
        <v>10390.550986583485</v>
      </c>
      <c r="BT82" s="421">
        <v>43911.34983994796</v>
      </c>
      <c r="BU82" s="421">
        <v>190401.23360594365</v>
      </c>
      <c r="BV82" s="421">
        <v>342087.0324152052</v>
      </c>
      <c r="BW82" s="421">
        <v>603978.3826312033</v>
      </c>
      <c r="BX82" s="421">
        <v>150680.27355743415</v>
      </c>
      <c r="BY82" s="421">
        <v>289743.7860859026</v>
      </c>
      <c r="BZ82" s="419"/>
      <c r="CA82" s="421">
        <v>28371.6432735361</v>
      </c>
      <c r="CB82" s="419"/>
      <c r="CC82" s="419"/>
      <c r="CD82" s="419"/>
      <c r="CE82" s="421">
        <v>366354.93560880615</v>
      </c>
      <c r="CF82" s="421">
        <v>222926.0467328723</v>
      </c>
      <c r="CG82" s="421">
        <v>279674.32229392364</v>
      </c>
      <c r="CH82" s="421">
        <v>-41975.39111223361</v>
      </c>
      <c r="CI82" s="419"/>
      <c r="CJ82" s="421">
        <v>1060351.0426508004</v>
      </c>
      <c r="CK82" s="421">
        <v>-357449</v>
      </c>
      <c r="CL82" s="421">
        <v>326556.28040000005</v>
      </c>
      <c r="CM82" s="421">
        <v>235490.152</v>
      </c>
      <c r="CN82" s="421">
        <v>91066.12840000005</v>
      </c>
      <c r="CO82" s="419"/>
      <c r="CP82" s="419"/>
      <c r="CQ82" s="419"/>
      <c r="CR82" s="171">
        <v>2337</v>
      </c>
    </row>
    <row r="83" spans="1:96" ht="9.75">
      <c r="A83" s="203">
        <v>322</v>
      </c>
      <c r="B83" s="203" t="s">
        <v>139</v>
      </c>
      <c r="C83" s="421">
        <v>6609</v>
      </c>
      <c r="D83" s="419"/>
      <c r="E83" s="419"/>
      <c r="F83" s="419"/>
      <c r="G83" s="419"/>
      <c r="H83" s="500">
        <v>4291.05</v>
      </c>
      <c r="I83" s="419"/>
      <c r="J83" s="419"/>
      <c r="K83" s="419"/>
      <c r="L83" s="419"/>
      <c r="M83" s="419"/>
      <c r="N83" s="419"/>
      <c r="O83" s="419"/>
      <c r="P83" s="419"/>
      <c r="Q83" s="421">
        <v>254</v>
      </c>
      <c r="R83" s="421">
        <v>56</v>
      </c>
      <c r="S83" s="421">
        <v>359</v>
      </c>
      <c r="T83" s="421">
        <v>186</v>
      </c>
      <c r="U83" s="421">
        <v>181</v>
      </c>
      <c r="V83" s="421">
        <v>3275</v>
      </c>
      <c r="W83" s="421">
        <v>1269</v>
      </c>
      <c r="X83" s="421">
        <v>694</v>
      </c>
      <c r="Y83" s="421">
        <v>335</v>
      </c>
      <c r="Z83" s="419"/>
      <c r="AA83" s="419"/>
      <c r="AB83" s="419"/>
      <c r="AC83" s="419"/>
      <c r="AD83" s="419"/>
      <c r="AE83" s="422">
        <v>1.0550115035323584</v>
      </c>
      <c r="AF83" s="421">
        <v>9270870.19247483</v>
      </c>
      <c r="AG83" s="420">
        <v>292</v>
      </c>
      <c r="AH83" s="420">
        <v>2784</v>
      </c>
      <c r="AJ83" s="420">
        <v>217</v>
      </c>
      <c r="AK83" s="420">
        <v>0.0328340142230292</v>
      </c>
      <c r="AM83" s="420">
        <v>3</v>
      </c>
      <c r="AN83" s="420">
        <v>4464</v>
      </c>
      <c r="AP83" s="420">
        <v>1</v>
      </c>
      <c r="AQ83" s="420">
        <v>0</v>
      </c>
      <c r="AR83" s="420">
        <v>686.85</v>
      </c>
      <c r="AU83" s="420">
        <v>320</v>
      </c>
      <c r="AV83" s="420">
        <v>1764</v>
      </c>
      <c r="AW83" s="420">
        <v>0.18140589569160998</v>
      </c>
      <c r="AY83" s="420">
        <v>0.3797</v>
      </c>
      <c r="AZ83" s="421">
        <v>2148</v>
      </c>
      <c r="BA83" s="420">
        <v>2477</v>
      </c>
      <c r="BB83" s="420">
        <v>0.8671780379491321</v>
      </c>
      <c r="BD83" s="420">
        <v>0</v>
      </c>
      <c r="BE83" s="420">
        <v>0</v>
      </c>
      <c r="BF83" s="421">
        <v>0</v>
      </c>
      <c r="BG83" s="421">
        <v>0</v>
      </c>
      <c r="BH83" s="419"/>
      <c r="BI83" s="421">
        <v>0</v>
      </c>
      <c r="BJ83" s="419"/>
      <c r="BK83" s="421">
        <v>2379.24</v>
      </c>
      <c r="BL83" s="421">
        <v>-166132</v>
      </c>
      <c r="BM83" s="421">
        <v>-190149.685</v>
      </c>
      <c r="BN83" s="419"/>
      <c r="BO83" s="421">
        <v>440505.1809879467</v>
      </c>
      <c r="BP83" s="421">
        <v>618448</v>
      </c>
      <c r="BQ83" s="421">
        <v>210429</v>
      </c>
      <c r="BR83" s="421">
        <v>506104.77098058606</v>
      </c>
      <c r="BS83" s="421">
        <v>23784.463471682662</v>
      </c>
      <c r="BT83" s="421">
        <v>39674.23806238849</v>
      </c>
      <c r="BU83" s="421">
        <v>215753.55380291198</v>
      </c>
      <c r="BV83" s="421">
        <v>259976.03473993632</v>
      </c>
      <c r="BW83" s="421">
        <v>608328.9476458203</v>
      </c>
      <c r="BX83" s="421">
        <v>197346.3451692307</v>
      </c>
      <c r="BY83" s="421">
        <v>324896.3452087443</v>
      </c>
      <c r="BZ83" s="419"/>
      <c r="CA83" s="421">
        <v>7565.754596244784</v>
      </c>
      <c r="CB83" s="419"/>
      <c r="CC83" s="419"/>
      <c r="CD83" s="419"/>
      <c r="CE83" s="421">
        <v>410485.27131033037</v>
      </c>
      <c r="CF83" s="421">
        <v>240625.25481357274</v>
      </c>
      <c r="CG83" s="421">
        <v>300420.153886768</v>
      </c>
      <c r="CH83" s="421">
        <v>-27464.980270145083</v>
      </c>
      <c r="CI83" s="419"/>
      <c r="CJ83" s="421">
        <v>5201569.589814616</v>
      </c>
      <c r="CK83" s="421">
        <v>-653762</v>
      </c>
      <c r="CL83" s="421">
        <v>268279.92000000004</v>
      </c>
      <c r="CM83" s="421">
        <v>114644.95248</v>
      </c>
      <c r="CN83" s="421">
        <v>153634.96752000003</v>
      </c>
      <c r="CO83" s="419"/>
      <c r="CP83" s="419"/>
      <c r="CQ83" s="419"/>
      <c r="CR83" s="171">
        <v>1493</v>
      </c>
    </row>
    <row r="84" spans="1:96" ht="9.75">
      <c r="A84" s="203">
        <v>244</v>
      </c>
      <c r="B84" s="203" t="s">
        <v>140</v>
      </c>
      <c r="C84" s="421">
        <v>18796</v>
      </c>
      <c r="D84" s="419"/>
      <c r="E84" s="419"/>
      <c r="F84" s="419"/>
      <c r="G84" s="419"/>
      <c r="H84" s="500">
        <v>4291.05</v>
      </c>
      <c r="I84" s="419"/>
      <c r="J84" s="419"/>
      <c r="K84" s="419"/>
      <c r="L84" s="419"/>
      <c r="M84" s="419"/>
      <c r="N84" s="419"/>
      <c r="O84" s="419"/>
      <c r="P84" s="419"/>
      <c r="Q84" s="421">
        <v>1620</v>
      </c>
      <c r="R84" s="421">
        <v>322</v>
      </c>
      <c r="S84" s="421">
        <v>1939</v>
      </c>
      <c r="T84" s="421">
        <v>916</v>
      </c>
      <c r="U84" s="421">
        <v>812</v>
      </c>
      <c r="V84" s="421">
        <v>10250</v>
      </c>
      <c r="W84" s="421">
        <v>1690</v>
      </c>
      <c r="X84" s="421">
        <v>962</v>
      </c>
      <c r="Y84" s="421">
        <v>285</v>
      </c>
      <c r="Z84" s="419"/>
      <c r="AA84" s="419"/>
      <c r="AB84" s="419"/>
      <c r="AC84" s="419"/>
      <c r="AD84" s="419"/>
      <c r="AE84" s="422">
        <v>0.8518900211459973</v>
      </c>
      <c r="AF84" s="421">
        <v>21290042.116338238</v>
      </c>
      <c r="AG84" s="420">
        <v>899</v>
      </c>
      <c r="AH84" s="420">
        <v>8541</v>
      </c>
      <c r="AJ84" s="420">
        <v>236</v>
      </c>
      <c r="AK84" s="420">
        <v>0.012555862949563738</v>
      </c>
      <c r="AM84" s="420">
        <v>0</v>
      </c>
      <c r="AN84" s="420">
        <v>36</v>
      </c>
      <c r="AP84" s="420">
        <v>0</v>
      </c>
      <c r="AQ84" s="420">
        <v>0</v>
      </c>
      <c r="AR84" s="420">
        <v>110.14</v>
      </c>
      <c r="AU84" s="420">
        <v>360</v>
      </c>
      <c r="AV84" s="420">
        <v>6242</v>
      </c>
      <c r="AW84" s="420">
        <v>0.05767382249279077</v>
      </c>
      <c r="AY84" s="420">
        <v>0</v>
      </c>
      <c r="AZ84" s="421">
        <v>6627</v>
      </c>
      <c r="BA84" s="420">
        <v>8022</v>
      </c>
      <c r="BB84" s="420">
        <v>0.8261032161555721</v>
      </c>
      <c r="BD84" s="420">
        <v>0</v>
      </c>
      <c r="BE84" s="420">
        <v>11</v>
      </c>
      <c r="BF84" s="421">
        <v>0</v>
      </c>
      <c r="BG84" s="421">
        <v>0</v>
      </c>
      <c r="BH84" s="419"/>
      <c r="BI84" s="421">
        <v>0</v>
      </c>
      <c r="BJ84" s="419"/>
      <c r="BK84" s="421">
        <v>6766.5599999999995</v>
      </c>
      <c r="BL84" s="421">
        <v>263490</v>
      </c>
      <c r="BM84" s="421">
        <v>-442921.8475</v>
      </c>
      <c r="BN84" s="419"/>
      <c r="BO84" s="421">
        <v>-424852.51182803884</v>
      </c>
      <c r="BP84" s="421">
        <v>919994</v>
      </c>
      <c r="BQ84" s="421">
        <v>296488</v>
      </c>
      <c r="BR84" s="421">
        <v>624369.9919575528</v>
      </c>
      <c r="BS84" s="421">
        <v>3533.460709059112</v>
      </c>
      <c r="BT84" s="421">
        <v>-19829.64682387213</v>
      </c>
      <c r="BU84" s="421">
        <v>344264.08235237317</v>
      </c>
      <c r="BV84" s="421">
        <v>711241.7854187968</v>
      </c>
      <c r="BW84" s="421">
        <v>1092587.5394141623</v>
      </c>
      <c r="BX84" s="421">
        <v>278912.67665120785</v>
      </c>
      <c r="BY84" s="421">
        <v>571050.6286957175</v>
      </c>
      <c r="BZ84" s="419"/>
      <c r="CA84" s="421">
        <v>97870.91738614051</v>
      </c>
      <c r="CB84" s="419"/>
      <c r="CC84" s="419"/>
      <c r="CD84" s="419"/>
      <c r="CE84" s="421">
        <v>719245.3584738622</v>
      </c>
      <c r="CF84" s="421">
        <v>494479.5996807865</v>
      </c>
      <c r="CG84" s="421">
        <v>661250.6888492085</v>
      </c>
      <c r="CH84" s="421">
        <v>-86293.20088419765</v>
      </c>
      <c r="CI84" s="419"/>
      <c r="CJ84" s="421">
        <v>3132993.7883666204</v>
      </c>
      <c r="CK84" s="421">
        <v>-90146</v>
      </c>
      <c r="CL84" s="421">
        <v>480072.01239999995</v>
      </c>
      <c r="CM84" s="421">
        <v>685738.3799599999</v>
      </c>
      <c r="CN84" s="421">
        <v>-205666.36755999998</v>
      </c>
      <c r="CO84" s="419"/>
      <c r="CP84" s="419"/>
      <c r="CQ84" s="419"/>
      <c r="CR84" s="171">
        <v>7415</v>
      </c>
    </row>
    <row r="85" spans="1:96" ht="9.75">
      <c r="A85" s="203">
        <v>245</v>
      </c>
      <c r="B85" s="203" t="s">
        <v>141</v>
      </c>
      <c r="C85" s="421">
        <v>37105</v>
      </c>
      <c r="D85" s="419"/>
      <c r="E85" s="419"/>
      <c r="F85" s="419"/>
      <c r="G85" s="419"/>
      <c r="H85" s="500">
        <v>4291.05</v>
      </c>
      <c r="I85" s="419"/>
      <c r="J85" s="419"/>
      <c r="K85" s="419"/>
      <c r="L85" s="419"/>
      <c r="M85" s="419"/>
      <c r="N85" s="419"/>
      <c r="O85" s="419"/>
      <c r="P85" s="419"/>
      <c r="Q85" s="421">
        <v>2175</v>
      </c>
      <c r="R85" s="421">
        <v>418</v>
      </c>
      <c r="S85" s="421">
        <v>2570</v>
      </c>
      <c r="T85" s="421">
        <v>1287</v>
      </c>
      <c r="U85" s="421">
        <v>1240</v>
      </c>
      <c r="V85" s="421">
        <v>22034</v>
      </c>
      <c r="W85" s="421">
        <v>4400</v>
      </c>
      <c r="X85" s="421">
        <v>2293</v>
      </c>
      <c r="Y85" s="421">
        <v>688</v>
      </c>
      <c r="Z85" s="419"/>
      <c r="AA85" s="419"/>
      <c r="AB85" s="419"/>
      <c r="AC85" s="419"/>
      <c r="AD85" s="419"/>
      <c r="AE85" s="422">
        <v>0.8745228017578529</v>
      </c>
      <c r="AF85" s="421">
        <v>43145064.90243977</v>
      </c>
      <c r="AG85" s="420">
        <v>2450</v>
      </c>
      <c r="AH85" s="420">
        <v>18503</v>
      </c>
      <c r="AJ85" s="420">
        <v>4646</v>
      </c>
      <c r="AK85" s="420">
        <v>0.12521223554776983</v>
      </c>
      <c r="AM85" s="420">
        <v>0</v>
      </c>
      <c r="AN85" s="420">
        <v>454</v>
      </c>
      <c r="AP85" s="420">
        <v>0</v>
      </c>
      <c r="AQ85" s="420">
        <v>0</v>
      </c>
      <c r="AR85" s="420">
        <v>30.63</v>
      </c>
      <c r="AU85" s="420">
        <v>2331</v>
      </c>
      <c r="AV85" s="420">
        <v>12131</v>
      </c>
      <c r="AW85" s="420">
        <v>0.19215233698788228</v>
      </c>
      <c r="AY85" s="420">
        <v>0</v>
      </c>
      <c r="AZ85" s="421">
        <v>12098</v>
      </c>
      <c r="BA85" s="420">
        <v>17077</v>
      </c>
      <c r="BB85" s="420">
        <v>0.7084382502781519</v>
      </c>
      <c r="BD85" s="420">
        <v>0</v>
      </c>
      <c r="BE85" s="420">
        <v>0</v>
      </c>
      <c r="BF85" s="421">
        <v>0</v>
      </c>
      <c r="BG85" s="421">
        <v>0</v>
      </c>
      <c r="BH85" s="419"/>
      <c r="BI85" s="421">
        <v>0</v>
      </c>
      <c r="BJ85" s="419"/>
      <c r="BK85" s="421">
        <v>13357.8</v>
      </c>
      <c r="BL85" s="421">
        <v>-804283</v>
      </c>
      <c r="BM85" s="421">
        <v>-4175835.1488</v>
      </c>
      <c r="BN85" s="419"/>
      <c r="BO85" s="421">
        <v>-443347.1452234015</v>
      </c>
      <c r="BP85" s="421">
        <v>1849095</v>
      </c>
      <c r="BQ85" s="421">
        <v>688975</v>
      </c>
      <c r="BR85" s="421">
        <v>1471577.4084279276</v>
      </c>
      <c r="BS85" s="421">
        <v>31452.156286973168</v>
      </c>
      <c r="BT85" s="421">
        <v>-7625.718145323078</v>
      </c>
      <c r="BU85" s="421">
        <v>604880.6672849297</v>
      </c>
      <c r="BV85" s="421">
        <v>1576612.466004551</v>
      </c>
      <c r="BW85" s="421">
        <v>2363461.9138938366</v>
      </c>
      <c r="BX85" s="421">
        <v>782339.1932122004</v>
      </c>
      <c r="BY85" s="421">
        <v>1291310.6468326058</v>
      </c>
      <c r="BZ85" s="419"/>
      <c r="CA85" s="421">
        <v>-153704.06522452366</v>
      </c>
      <c r="CB85" s="419"/>
      <c r="CC85" s="419"/>
      <c r="CD85" s="419"/>
      <c r="CE85" s="421">
        <v>1583190.8299106376</v>
      </c>
      <c r="CF85" s="421">
        <v>1171402.6386964861</v>
      </c>
      <c r="CG85" s="421">
        <v>1455874.0208861334</v>
      </c>
      <c r="CH85" s="421">
        <v>-189651.99005165923</v>
      </c>
      <c r="CI85" s="419"/>
      <c r="CJ85" s="421">
        <v>-3009800.6762936707</v>
      </c>
      <c r="CK85" s="421">
        <v>-3828544</v>
      </c>
      <c r="CL85" s="421">
        <v>656093.4488000001</v>
      </c>
      <c r="CM85" s="421">
        <v>1920973.6538399993</v>
      </c>
      <c r="CN85" s="421">
        <v>-1264880.2050399992</v>
      </c>
      <c r="CO85" s="419"/>
      <c r="CP85" s="419"/>
      <c r="CQ85" s="419"/>
      <c r="CR85" s="171">
        <v>12317</v>
      </c>
    </row>
    <row r="86" spans="1:96" ht="9.75">
      <c r="A86" s="203">
        <v>249</v>
      </c>
      <c r="B86" s="203" t="s">
        <v>142</v>
      </c>
      <c r="C86" s="421">
        <v>9486</v>
      </c>
      <c r="D86" s="419"/>
      <c r="E86" s="419"/>
      <c r="F86" s="419"/>
      <c r="G86" s="419"/>
      <c r="H86" s="500">
        <v>4291.05</v>
      </c>
      <c r="I86" s="419"/>
      <c r="J86" s="419"/>
      <c r="K86" s="419"/>
      <c r="L86" s="419"/>
      <c r="M86" s="419"/>
      <c r="N86" s="419"/>
      <c r="O86" s="419"/>
      <c r="P86" s="419"/>
      <c r="Q86" s="421">
        <v>384</v>
      </c>
      <c r="R86" s="421">
        <v>101</v>
      </c>
      <c r="S86" s="421">
        <v>585</v>
      </c>
      <c r="T86" s="421">
        <v>266</v>
      </c>
      <c r="U86" s="421">
        <v>291</v>
      </c>
      <c r="V86" s="421">
        <v>4590</v>
      </c>
      <c r="W86" s="421">
        <v>1831</v>
      </c>
      <c r="X86" s="421">
        <v>1021</v>
      </c>
      <c r="Y86" s="421">
        <v>417</v>
      </c>
      <c r="Z86" s="419"/>
      <c r="AA86" s="419"/>
      <c r="AB86" s="419"/>
      <c r="AC86" s="419"/>
      <c r="AD86" s="419"/>
      <c r="AE86" s="422">
        <v>1.2888188232470092</v>
      </c>
      <c r="AF86" s="421">
        <v>16255582.786221894</v>
      </c>
      <c r="AG86" s="420">
        <v>482</v>
      </c>
      <c r="AH86" s="420">
        <v>3857</v>
      </c>
      <c r="AJ86" s="420">
        <v>198</v>
      </c>
      <c r="AK86" s="420">
        <v>0.020872865275142316</v>
      </c>
      <c r="AM86" s="420">
        <v>0</v>
      </c>
      <c r="AN86" s="420">
        <v>20</v>
      </c>
      <c r="AP86" s="420">
        <v>0</v>
      </c>
      <c r="AQ86" s="420">
        <v>0</v>
      </c>
      <c r="AR86" s="420">
        <v>1257.96</v>
      </c>
      <c r="AU86" s="420">
        <v>318</v>
      </c>
      <c r="AV86" s="420">
        <v>2376</v>
      </c>
      <c r="AW86" s="420">
        <v>0.13383838383838384</v>
      </c>
      <c r="AY86" s="420">
        <v>0.0589</v>
      </c>
      <c r="AZ86" s="421">
        <v>3275</v>
      </c>
      <c r="BA86" s="420">
        <v>3342</v>
      </c>
      <c r="BB86" s="420">
        <v>0.9799521244763615</v>
      </c>
      <c r="BD86" s="420">
        <v>0</v>
      </c>
      <c r="BE86" s="420">
        <v>0</v>
      </c>
      <c r="BF86" s="421">
        <v>0</v>
      </c>
      <c r="BG86" s="421">
        <v>0</v>
      </c>
      <c r="BH86" s="419"/>
      <c r="BI86" s="421">
        <v>0</v>
      </c>
      <c r="BJ86" s="419"/>
      <c r="BK86" s="421">
        <v>3414.96</v>
      </c>
      <c r="BL86" s="421">
        <v>189982</v>
      </c>
      <c r="BM86" s="421">
        <v>-451040.76</v>
      </c>
      <c r="BN86" s="419"/>
      <c r="BO86" s="421">
        <v>817469.7983167842</v>
      </c>
      <c r="BP86" s="421">
        <v>840543</v>
      </c>
      <c r="BQ86" s="421">
        <v>275658</v>
      </c>
      <c r="BR86" s="421">
        <v>616042.5769579562</v>
      </c>
      <c r="BS86" s="421">
        <v>27456.298720062765</v>
      </c>
      <c r="BT86" s="421">
        <v>-5142.00613193496</v>
      </c>
      <c r="BU86" s="421">
        <v>332187.6762118307</v>
      </c>
      <c r="BV86" s="421">
        <v>495814.7213768481</v>
      </c>
      <c r="BW86" s="421">
        <v>841513.2411016648</v>
      </c>
      <c r="BX86" s="421">
        <v>232149.0422632222</v>
      </c>
      <c r="BY86" s="421">
        <v>434604.91427646816</v>
      </c>
      <c r="BZ86" s="419"/>
      <c r="CA86" s="421">
        <v>11363.020061339732</v>
      </c>
      <c r="CB86" s="419"/>
      <c r="CC86" s="419"/>
      <c r="CD86" s="419"/>
      <c r="CE86" s="421">
        <v>556004.3115234884</v>
      </c>
      <c r="CF86" s="421">
        <v>329383.7362897206</v>
      </c>
      <c r="CG86" s="421">
        <v>407529.4814410117</v>
      </c>
      <c r="CH86" s="421">
        <v>-41509.662346817015</v>
      </c>
      <c r="CI86" s="419"/>
      <c r="CJ86" s="421">
        <v>5897677.247509582</v>
      </c>
      <c r="CK86" s="421">
        <v>-9609</v>
      </c>
      <c r="CL86" s="421">
        <v>205681.272</v>
      </c>
      <c r="CM86" s="421">
        <v>170134.1826</v>
      </c>
      <c r="CN86" s="421">
        <v>35547.0894</v>
      </c>
      <c r="CO86" s="419"/>
      <c r="CP86" s="419"/>
      <c r="CQ86" s="419"/>
      <c r="CR86" s="171">
        <v>2244</v>
      </c>
    </row>
    <row r="87" spans="1:96" ht="9.75">
      <c r="A87" s="203">
        <v>250</v>
      </c>
      <c r="B87" s="203" t="s">
        <v>143</v>
      </c>
      <c r="C87" s="421">
        <v>1822</v>
      </c>
      <c r="D87" s="419"/>
      <c r="E87" s="419"/>
      <c r="F87" s="419"/>
      <c r="G87" s="419"/>
      <c r="H87" s="500">
        <v>4291.05</v>
      </c>
      <c r="I87" s="419"/>
      <c r="J87" s="419"/>
      <c r="K87" s="419"/>
      <c r="L87" s="419"/>
      <c r="M87" s="419"/>
      <c r="N87" s="419"/>
      <c r="O87" s="419"/>
      <c r="P87" s="419"/>
      <c r="Q87" s="421">
        <v>56</v>
      </c>
      <c r="R87" s="421">
        <v>19</v>
      </c>
      <c r="S87" s="421">
        <v>110</v>
      </c>
      <c r="T87" s="421">
        <v>41</v>
      </c>
      <c r="U87" s="421">
        <v>56</v>
      </c>
      <c r="V87" s="421">
        <v>907</v>
      </c>
      <c r="W87" s="421">
        <v>352</v>
      </c>
      <c r="X87" s="421">
        <v>186</v>
      </c>
      <c r="Y87" s="421">
        <v>95</v>
      </c>
      <c r="Z87" s="419"/>
      <c r="AA87" s="419"/>
      <c r="AB87" s="419"/>
      <c r="AC87" s="419"/>
      <c r="AD87" s="419"/>
      <c r="AE87" s="422">
        <v>1.4461484046882112</v>
      </c>
      <c r="AF87" s="421">
        <v>3503392.441499239</v>
      </c>
      <c r="AG87" s="420">
        <v>90</v>
      </c>
      <c r="AH87" s="420">
        <v>803</v>
      </c>
      <c r="AJ87" s="420">
        <v>29</v>
      </c>
      <c r="AK87" s="420">
        <v>0.015916575192096598</v>
      </c>
      <c r="AM87" s="420">
        <v>0</v>
      </c>
      <c r="AN87" s="420">
        <v>0</v>
      </c>
      <c r="AP87" s="420">
        <v>0</v>
      </c>
      <c r="AQ87" s="420">
        <v>0</v>
      </c>
      <c r="AR87" s="420">
        <v>357.21</v>
      </c>
      <c r="AU87" s="420">
        <v>85</v>
      </c>
      <c r="AV87" s="420">
        <v>435</v>
      </c>
      <c r="AW87" s="420">
        <v>0.19540229885057472</v>
      </c>
      <c r="AY87" s="420">
        <v>0.6392</v>
      </c>
      <c r="AZ87" s="421">
        <v>628</v>
      </c>
      <c r="BA87" s="420">
        <v>702</v>
      </c>
      <c r="BB87" s="420">
        <v>0.8945868945868946</v>
      </c>
      <c r="BD87" s="420">
        <v>0</v>
      </c>
      <c r="BE87" s="420">
        <v>0</v>
      </c>
      <c r="BF87" s="421">
        <v>0</v>
      </c>
      <c r="BG87" s="421">
        <v>0</v>
      </c>
      <c r="BH87" s="419"/>
      <c r="BI87" s="421">
        <v>0</v>
      </c>
      <c r="BJ87" s="419"/>
      <c r="BK87" s="421">
        <v>655.92</v>
      </c>
      <c r="BL87" s="421">
        <v>-6236</v>
      </c>
      <c r="BM87" s="421">
        <v>-37323.505</v>
      </c>
      <c r="BN87" s="419"/>
      <c r="BO87" s="421">
        <v>82427.22236314509</v>
      </c>
      <c r="BP87" s="421">
        <v>219048</v>
      </c>
      <c r="BQ87" s="421">
        <v>68340</v>
      </c>
      <c r="BR87" s="421">
        <v>185745.72702158507</v>
      </c>
      <c r="BS87" s="421">
        <v>10832.417464142347</v>
      </c>
      <c r="BT87" s="421">
        <v>24966.191205261683</v>
      </c>
      <c r="BU87" s="421">
        <v>84210.02610541235</v>
      </c>
      <c r="BV87" s="421">
        <v>132963.3328811662</v>
      </c>
      <c r="BW87" s="421">
        <v>193905.06881895455</v>
      </c>
      <c r="BX87" s="421">
        <v>61753.68627254177</v>
      </c>
      <c r="BY87" s="421">
        <v>108331.3907709797</v>
      </c>
      <c r="BZ87" s="419"/>
      <c r="CA87" s="421">
        <v>-8920.778212885716</v>
      </c>
      <c r="CB87" s="419"/>
      <c r="CC87" s="419"/>
      <c r="CD87" s="419"/>
      <c r="CE87" s="421">
        <v>148028.05784063262</v>
      </c>
      <c r="CF87" s="421">
        <v>79267.65668065901</v>
      </c>
      <c r="CG87" s="421">
        <v>94478.06937872845</v>
      </c>
      <c r="CH87" s="421">
        <v>-6586.166506323</v>
      </c>
      <c r="CI87" s="419"/>
      <c r="CJ87" s="421">
        <v>1817597.0681431605</v>
      </c>
      <c r="CK87" s="421">
        <v>-375211</v>
      </c>
      <c r="CL87" s="421">
        <v>50675.096000000005</v>
      </c>
      <c r="CM87" s="421">
        <v>35770.656</v>
      </c>
      <c r="CN87" s="421">
        <v>14904.440000000002</v>
      </c>
      <c r="CO87" s="419"/>
      <c r="CP87" s="419"/>
      <c r="CQ87" s="419"/>
      <c r="CR87" s="171">
        <v>377</v>
      </c>
    </row>
    <row r="88" spans="1:96" ht="9.75">
      <c r="A88" s="203">
        <v>256</v>
      </c>
      <c r="B88" s="203" t="s">
        <v>144</v>
      </c>
      <c r="C88" s="421">
        <v>1597</v>
      </c>
      <c r="D88" s="419"/>
      <c r="E88" s="419"/>
      <c r="F88" s="419"/>
      <c r="G88" s="419"/>
      <c r="H88" s="500">
        <v>4291.05</v>
      </c>
      <c r="I88" s="419"/>
      <c r="J88" s="419"/>
      <c r="K88" s="419"/>
      <c r="L88" s="419"/>
      <c r="M88" s="419"/>
      <c r="N88" s="419"/>
      <c r="O88" s="419"/>
      <c r="P88" s="419"/>
      <c r="Q88" s="421">
        <v>112</v>
      </c>
      <c r="R88" s="421">
        <v>21</v>
      </c>
      <c r="S88" s="421">
        <v>107</v>
      </c>
      <c r="T88" s="421">
        <v>55</v>
      </c>
      <c r="U88" s="421">
        <v>53</v>
      </c>
      <c r="V88" s="421">
        <v>716</v>
      </c>
      <c r="W88" s="421">
        <v>298</v>
      </c>
      <c r="X88" s="421">
        <v>166</v>
      </c>
      <c r="Y88" s="421">
        <v>69</v>
      </c>
      <c r="Z88" s="419"/>
      <c r="AA88" s="419"/>
      <c r="AB88" s="419"/>
      <c r="AC88" s="419"/>
      <c r="AD88" s="419"/>
      <c r="AE88" s="422">
        <v>1.3156172069139216</v>
      </c>
      <c r="AF88" s="421">
        <v>2793585.799233403</v>
      </c>
      <c r="AG88" s="420">
        <v>84</v>
      </c>
      <c r="AH88" s="420">
        <v>596</v>
      </c>
      <c r="AJ88" s="420">
        <v>8</v>
      </c>
      <c r="AK88" s="420">
        <v>0.005009392611145898</v>
      </c>
      <c r="AM88" s="420">
        <v>0</v>
      </c>
      <c r="AN88" s="420">
        <v>1</v>
      </c>
      <c r="AP88" s="420">
        <v>0</v>
      </c>
      <c r="AQ88" s="420">
        <v>0</v>
      </c>
      <c r="AR88" s="420">
        <v>460.2</v>
      </c>
      <c r="AU88" s="420">
        <v>48</v>
      </c>
      <c r="AV88" s="420">
        <v>326</v>
      </c>
      <c r="AW88" s="420">
        <v>0.147239263803681</v>
      </c>
      <c r="AY88" s="420">
        <v>1.3498</v>
      </c>
      <c r="AZ88" s="421">
        <v>463</v>
      </c>
      <c r="BA88" s="420">
        <v>512</v>
      </c>
      <c r="BB88" s="420">
        <v>0.904296875</v>
      </c>
      <c r="BD88" s="420">
        <v>0</v>
      </c>
      <c r="BE88" s="420">
        <v>1</v>
      </c>
      <c r="BF88" s="421">
        <v>0</v>
      </c>
      <c r="BG88" s="421">
        <v>0</v>
      </c>
      <c r="BH88" s="419"/>
      <c r="BI88" s="421">
        <v>0</v>
      </c>
      <c r="BJ88" s="419"/>
      <c r="BK88" s="421">
        <v>574.92</v>
      </c>
      <c r="BL88" s="421">
        <v>96914</v>
      </c>
      <c r="BM88" s="421">
        <v>-16732.91</v>
      </c>
      <c r="BN88" s="419"/>
      <c r="BO88" s="421">
        <v>7985.68745491188</v>
      </c>
      <c r="BP88" s="421">
        <v>175069</v>
      </c>
      <c r="BQ88" s="421">
        <v>57344</v>
      </c>
      <c r="BR88" s="421">
        <v>155676.28894759898</v>
      </c>
      <c r="BS88" s="421">
        <v>8712.868785601755</v>
      </c>
      <c r="BT88" s="421">
        <v>29015.687809191466</v>
      </c>
      <c r="BU88" s="421">
        <v>73844.99649878072</v>
      </c>
      <c r="BV88" s="421">
        <v>86849.92761042874</v>
      </c>
      <c r="BW88" s="421">
        <v>141637.73046884115</v>
      </c>
      <c r="BX88" s="421">
        <v>38890.7408488016</v>
      </c>
      <c r="BY88" s="421">
        <v>73585.13520879087</v>
      </c>
      <c r="BZ88" s="419"/>
      <c r="CA88" s="421">
        <v>-13799.397084791897</v>
      </c>
      <c r="CB88" s="419"/>
      <c r="CC88" s="419"/>
      <c r="CD88" s="419"/>
      <c r="CE88" s="421">
        <v>100839.37673970064</v>
      </c>
      <c r="CF88" s="421">
        <v>53588.46331359698</v>
      </c>
      <c r="CG88" s="421">
        <v>67818.78840622393</v>
      </c>
      <c r="CH88" s="421">
        <v>-5493.027205714033</v>
      </c>
      <c r="CI88" s="419"/>
      <c r="CJ88" s="421">
        <v>1664396.1455122516</v>
      </c>
      <c r="CK88" s="421">
        <v>252937</v>
      </c>
      <c r="CL88" s="421">
        <v>99934.2702</v>
      </c>
      <c r="CM88" s="421">
        <v>11923.552000000001</v>
      </c>
      <c r="CN88" s="421">
        <v>88010.7182</v>
      </c>
      <c r="CO88" s="419"/>
      <c r="CP88" s="419"/>
      <c r="CQ88" s="419"/>
      <c r="CR88" s="171">
        <v>458</v>
      </c>
    </row>
    <row r="89" spans="1:96" ht="9.75">
      <c r="A89" s="203">
        <v>257</v>
      </c>
      <c r="B89" s="203" t="s">
        <v>145</v>
      </c>
      <c r="C89" s="421">
        <v>40082</v>
      </c>
      <c r="D89" s="419"/>
      <c r="E89" s="419"/>
      <c r="F89" s="419"/>
      <c r="G89" s="419"/>
      <c r="H89" s="500">
        <v>4291.05</v>
      </c>
      <c r="I89" s="419"/>
      <c r="J89" s="419"/>
      <c r="K89" s="419"/>
      <c r="L89" s="419"/>
      <c r="M89" s="419"/>
      <c r="N89" s="419"/>
      <c r="O89" s="419"/>
      <c r="P89" s="419"/>
      <c r="Q89" s="421">
        <v>2420</v>
      </c>
      <c r="R89" s="421">
        <v>536</v>
      </c>
      <c r="S89" s="421">
        <v>3440</v>
      </c>
      <c r="T89" s="421">
        <v>1803</v>
      </c>
      <c r="U89" s="421">
        <v>1691</v>
      </c>
      <c r="V89" s="421">
        <v>23421</v>
      </c>
      <c r="W89" s="421">
        <v>4174</v>
      </c>
      <c r="X89" s="421">
        <v>2051</v>
      </c>
      <c r="Y89" s="421">
        <v>546</v>
      </c>
      <c r="Z89" s="419"/>
      <c r="AA89" s="419"/>
      <c r="AB89" s="419"/>
      <c r="AC89" s="419"/>
      <c r="AD89" s="419"/>
      <c r="AE89" s="422">
        <v>0.7231449272660281</v>
      </c>
      <c r="AF89" s="421">
        <v>38539163.25000107</v>
      </c>
      <c r="AG89" s="420">
        <v>2054</v>
      </c>
      <c r="AH89" s="420">
        <v>19807</v>
      </c>
      <c r="AJ89" s="420">
        <v>3744</v>
      </c>
      <c r="AK89" s="420">
        <v>0.09340851254927399</v>
      </c>
      <c r="AM89" s="420">
        <v>1</v>
      </c>
      <c r="AN89" s="420">
        <v>6405</v>
      </c>
      <c r="AP89" s="420">
        <v>3</v>
      </c>
      <c r="AQ89" s="420">
        <v>689</v>
      </c>
      <c r="AR89" s="420">
        <v>366.23</v>
      </c>
      <c r="AU89" s="420">
        <v>1936</v>
      </c>
      <c r="AV89" s="420">
        <v>14168</v>
      </c>
      <c r="AW89" s="420">
        <v>0.13664596273291926</v>
      </c>
      <c r="AY89" s="420">
        <v>0</v>
      </c>
      <c r="AZ89" s="421">
        <v>10995</v>
      </c>
      <c r="BA89" s="420">
        <v>18770</v>
      </c>
      <c r="BB89" s="420">
        <v>0.5857751731486415</v>
      </c>
      <c r="BD89" s="420">
        <v>0</v>
      </c>
      <c r="BE89" s="420">
        <v>8</v>
      </c>
      <c r="BF89" s="421">
        <v>0</v>
      </c>
      <c r="BG89" s="421">
        <v>0</v>
      </c>
      <c r="BH89" s="419"/>
      <c r="BI89" s="421">
        <v>0</v>
      </c>
      <c r="BJ89" s="419"/>
      <c r="BK89" s="421">
        <v>14429.519999999999</v>
      </c>
      <c r="BL89" s="421">
        <v>95527</v>
      </c>
      <c r="BM89" s="421">
        <v>-2410223.79375</v>
      </c>
      <c r="BN89" s="419"/>
      <c r="BO89" s="421">
        <v>-115756.35312727839</v>
      </c>
      <c r="BP89" s="421">
        <v>2071727</v>
      </c>
      <c r="BQ89" s="421">
        <v>698246</v>
      </c>
      <c r="BR89" s="421">
        <v>1328514.603771267</v>
      </c>
      <c r="BS89" s="421">
        <v>-6999.652707042877</v>
      </c>
      <c r="BT89" s="421">
        <v>-330038.789723722</v>
      </c>
      <c r="BU89" s="421">
        <v>466855.0734799032</v>
      </c>
      <c r="BV89" s="421">
        <v>1443673.5638424095</v>
      </c>
      <c r="BW89" s="421">
        <v>2195705.452450867</v>
      </c>
      <c r="BX89" s="421">
        <v>680587.7115293582</v>
      </c>
      <c r="BY89" s="421">
        <v>1222246.1061520812</v>
      </c>
      <c r="BZ89" s="419"/>
      <c r="CA89" s="421">
        <v>-88794.18098608329</v>
      </c>
      <c r="CB89" s="419"/>
      <c r="CC89" s="419"/>
      <c r="CD89" s="419"/>
      <c r="CE89" s="421">
        <v>1501961.2373288022</v>
      </c>
      <c r="CF89" s="421">
        <v>1080365.8955797006</v>
      </c>
      <c r="CG89" s="421">
        <v>1405978.8798695635</v>
      </c>
      <c r="CH89" s="421">
        <v>-234926.35286566018</v>
      </c>
      <c r="CI89" s="419"/>
      <c r="CJ89" s="421">
        <v>-11163464.157039888</v>
      </c>
      <c r="CK89" s="421">
        <v>-2548784</v>
      </c>
      <c r="CL89" s="421">
        <v>1106058.4924</v>
      </c>
      <c r="CM89" s="421">
        <v>1753480.5380079998</v>
      </c>
      <c r="CN89" s="421">
        <v>-647422.0456079997</v>
      </c>
      <c r="CO89" s="419"/>
      <c r="CP89" s="419"/>
      <c r="CQ89" s="419"/>
      <c r="CR89" s="171">
        <v>13537</v>
      </c>
    </row>
    <row r="90" spans="1:96" ht="9.75">
      <c r="A90" s="203">
        <v>260</v>
      </c>
      <c r="B90" s="203" t="s">
        <v>146</v>
      </c>
      <c r="C90" s="421">
        <v>9933</v>
      </c>
      <c r="D90" s="419"/>
      <c r="E90" s="419"/>
      <c r="F90" s="419"/>
      <c r="G90" s="419"/>
      <c r="H90" s="500">
        <v>4291.05</v>
      </c>
      <c r="I90" s="419"/>
      <c r="J90" s="419"/>
      <c r="K90" s="419"/>
      <c r="L90" s="419"/>
      <c r="M90" s="419"/>
      <c r="N90" s="419"/>
      <c r="O90" s="419"/>
      <c r="P90" s="419"/>
      <c r="Q90" s="421">
        <v>338</v>
      </c>
      <c r="R90" s="421">
        <v>81</v>
      </c>
      <c r="S90" s="421">
        <v>493</v>
      </c>
      <c r="T90" s="421">
        <v>279</v>
      </c>
      <c r="U90" s="421">
        <v>293</v>
      </c>
      <c r="V90" s="421">
        <v>4771</v>
      </c>
      <c r="W90" s="421">
        <v>2020</v>
      </c>
      <c r="X90" s="421">
        <v>1177</v>
      </c>
      <c r="Y90" s="421">
        <v>481</v>
      </c>
      <c r="Z90" s="419"/>
      <c r="AA90" s="419"/>
      <c r="AB90" s="419"/>
      <c r="AC90" s="419"/>
      <c r="AD90" s="419"/>
      <c r="AE90" s="422">
        <v>1.708023445850042</v>
      </c>
      <c r="AF90" s="421">
        <v>22558063.552233215</v>
      </c>
      <c r="AG90" s="420">
        <v>687</v>
      </c>
      <c r="AH90" s="420">
        <v>4020</v>
      </c>
      <c r="AJ90" s="420">
        <v>502</v>
      </c>
      <c r="AK90" s="420">
        <v>0.05053860867814356</v>
      </c>
      <c r="AM90" s="420">
        <v>0</v>
      </c>
      <c r="AN90" s="420">
        <v>2</v>
      </c>
      <c r="AP90" s="420">
        <v>3</v>
      </c>
      <c r="AQ90" s="420">
        <v>380</v>
      </c>
      <c r="AR90" s="420">
        <v>1253.66</v>
      </c>
      <c r="AU90" s="420">
        <v>315</v>
      </c>
      <c r="AV90" s="420">
        <v>2305</v>
      </c>
      <c r="AW90" s="420">
        <v>0.13665943600867678</v>
      </c>
      <c r="AY90" s="420">
        <v>0.7212</v>
      </c>
      <c r="AZ90" s="421">
        <v>3372</v>
      </c>
      <c r="BA90" s="420">
        <v>3337</v>
      </c>
      <c r="BB90" s="420">
        <v>1.0104884626910398</v>
      </c>
      <c r="BD90" s="420">
        <v>0</v>
      </c>
      <c r="BE90" s="420">
        <v>1</v>
      </c>
      <c r="BF90" s="421">
        <v>0</v>
      </c>
      <c r="BG90" s="421">
        <v>0</v>
      </c>
      <c r="BH90" s="419"/>
      <c r="BI90" s="421">
        <v>0</v>
      </c>
      <c r="BJ90" s="419"/>
      <c r="BK90" s="421">
        <v>3575.8799999999997</v>
      </c>
      <c r="BL90" s="421">
        <v>489326</v>
      </c>
      <c r="BM90" s="421">
        <v>-322191.2075</v>
      </c>
      <c r="BN90" s="419"/>
      <c r="BO90" s="421">
        <v>-56715.47882780805</v>
      </c>
      <c r="BP90" s="421">
        <v>1158136</v>
      </c>
      <c r="BQ90" s="421">
        <v>342783</v>
      </c>
      <c r="BR90" s="421">
        <v>900533.8584845748</v>
      </c>
      <c r="BS90" s="421">
        <v>48990.33472329932</v>
      </c>
      <c r="BT90" s="421">
        <v>122919.64991699434</v>
      </c>
      <c r="BU90" s="421">
        <v>445395.39128702896</v>
      </c>
      <c r="BV90" s="421">
        <v>568926.4470514387</v>
      </c>
      <c r="BW90" s="421">
        <v>934562.5713683525</v>
      </c>
      <c r="BX90" s="421">
        <v>276798.53308393044</v>
      </c>
      <c r="BY90" s="421">
        <v>502502.5318486387</v>
      </c>
      <c r="BZ90" s="419"/>
      <c r="CA90" s="421">
        <v>67024.57424803644</v>
      </c>
      <c r="CB90" s="419"/>
      <c r="CC90" s="419"/>
      <c r="CD90" s="419"/>
      <c r="CE90" s="421">
        <v>659193.2819705079</v>
      </c>
      <c r="CF90" s="421">
        <v>361744.2499034599</v>
      </c>
      <c r="CG90" s="421">
        <v>429472.2468807671</v>
      </c>
      <c r="CH90" s="421">
        <v>-38200.74977704139</v>
      </c>
      <c r="CI90" s="419"/>
      <c r="CJ90" s="421">
        <v>9847720.829973338</v>
      </c>
      <c r="CK90" s="421">
        <v>-1126957</v>
      </c>
      <c r="CL90" s="421">
        <v>140176.2582</v>
      </c>
      <c r="CM90" s="421">
        <v>133499.06908000002</v>
      </c>
      <c r="CN90" s="421">
        <v>6677.1891199999955</v>
      </c>
      <c r="CO90" s="419"/>
      <c r="CP90" s="419"/>
      <c r="CQ90" s="419"/>
      <c r="CR90" s="171">
        <v>2013</v>
      </c>
    </row>
    <row r="91" spans="1:96" ht="9.75">
      <c r="A91" s="203">
        <v>261</v>
      </c>
      <c r="B91" s="203" t="s">
        <v>147</v>
      </c>
      <c r="C91" s="421">
        <v>6436</v>
      </c>
      <c r="D91" s="419"/>
      <c r="E91" s="419"/>
      <c r="F91" s="419"/>
      <c r="G91" s="419"/>
      <c r="H91" s="500">
        <v>4291.05</v>
      </c>
      <c r="I91" s="419"/>
      <c r="J91" s="419"/>
      <c r="K91" s="419"/>
      <c r="L91" s="419"/>
      <c r="M91" s="419"/>
      <c r="N91" s="419"/>
      <c r="O91" s="419"/>
      <c r="P91" s="419"/>
      <c r="Q91" s="421">
        <v>350</v>
      </c>
      <c r="R91" s="421">
        <v>66</v>
      </c>
      <c r="S91" s="421">
        <v>413</v>
      </c>
      <c r="T91" s="421">
        <v>196</v>
      </c>
      <c r="U91" s="421">
        <v>198</v>
      </c>
      <c r="V91" s="421">
        <v>3831</v>
      </c>
      <c r="W91" s="421">
        <v>838</v>
      </c>
      <c r="X91" s="421">
        <v>368</v>
      </c>
      <c r="Y91" s="421">
        <v>176</v>
      </c>
      <c r="Z91" s="419"/>
      <c r="AA91" s="419"/>
      <c r="AB91" s="419"/>
      <c r="AC91" s="419"/>
      <c r="AD91" s="419"/>
      <c r="AE91" s="422">
        <v>1.0000466568488386</v>
      </c>
      <c r="AF91" s="421">
        <v>8557833.87055219</v>
      </c>
      <c r="AG91" s="420">
        <v>591</v>
      </c>
      <c r="AH91" s="420">
        <v>3329</v>
      </c>
      <c r="AJ91" s="420">
        <v>240</v>
      </c>
      <c r="AK91" s="420">
        <v>0.037290242386575516</v>
      </c>
      <c r="AM91" s="420">
        <v>0</v>
      </c>
      <c r="AN91" s="420">
        <v>15</v>
      </c>
      <c r="AP91" s="420">
        <v>0</v>
      </c>
      <c r="AQ91" s="420">
        <v>0</v>
      </c>
      <c r="AR91" s="420">
        <v>8095.12</v>
      </c>
      <c r="AU91" s="420">
        <v>275</v>
      </c>
      <c r="AV91" s="420">
        <v>2143</v>
      </c>
      <c r="AW91" s="420">
        <v>0.12832477834811012</v>
      </c>
      <c r="AY91" s="420">
        <v>1.5759</v>
      </c>
      <c r="AZ91" s="421">
        <v>3578</v>
      </c>
      <c r="BA91" s="420">
        <v>3133</v>
      </c>
      <c r="BB91" s="420">
        <v>1.1420363868496648</v>
      </c>
      <c r="BD91" s="420">
        <v>0</v>
      </c>
      <c r="BE91" s="420">
        <v>20</v>
      </c>
      <c r="BF91" s="421">
        <v>0</v>
      </c>
      <c r="BG91" s="421">
        <v>0</v>
      </c>
      <c r="BH91" s="419"/>
      <c r="BI91" s="421">
        <v>0</v>
      </c>
      <c r="BJ91" s="419"/>
      <c r="BK91" s="421">
        <v>2316.96</v>
      </c>
      <c r="BL91" s="421">
        <v>76130</v>
      </c>
      <c r="BM91" s="421">
        <v>-147107.7825</v>
      </c>
      <c r="BN91" s="419"/>
      <c r="BO91" s="421">
        <v>194464.53024873324</v>
      </c>
      <c r="BP91" s="421">
        <v>488612</v>
      </c>
      <c r="BQ91" s="421">
        <v>183601</v>
      </c>
      <c r="BR91" s="421">
        <v>457147.0414309</v>
      </c>
      <c r="BS91" s="421">
        <v>22043.779874781118</v>
      </c>
      <c r="BT91" s="421">
        <v>46606.32555192929</v>
      </c>
      <c r="BU91" s="421">
        <v>166777.0942967512</v>
      </c>
      <c r="BV91" s="421">
        <v>428469.15121476783</v>
      </c>
      <c r="BW91" s="421">
        <v>556199.9498196029</v>
      </c>
      <c r="BX91" s="421">
        <v>214044.87345109828</v>
      </c>
      <c r="BY91" s="421">
        <v>316851.00909643696</v>
      </c>
      <c r="BZ91" s="419"/>
      <c r="CA91" s="421">
        <v>-86801.59332512844</v>
      </c>
      <c r="CB91" s="419"/>
      <c r="CC91" s="419"/>
      <c r="CD91" s="419"/>
      <c r="CE91" s="421">
        <v>426453.61393505306</v>
      </c>
      <c r="CF91" s="421">
        <v>256027.24057549203</v>
      </c>
      <c r="CG91" s="421">
        <v>321397.53164521675</v>
      </c>
      <c r="CH91" s="421">
        <v>-33891.13329089082</v>
      </c>
      <c r="CI91" s="419"/>
      <c r="CJ91" s="421">
        <v>1816698.4525238157</v>
      </c>
      <c r="CK91" s="421">
        <v>221131</v>
      </c>
      <c r="CL91" s="421">
        <v>205755.7942</v>
      </c>
      <c r="CM91" s="421">
        <v>162681.96260000003</v>
      </c>
      <c r="CN91" s="421">
        <v>43073.831599999976</v>
      </c>
      <c r="CO91" s="419"/>
      <c r="CP91" s="419"/>
      <c r="CQ91" s="419"/>
      <c r="CR91" s="171">
        <v>1786</v>
      </c>
    </row>
    <row r="92" spans="1:96" ht="9.75">
      <c r="A92" s="203">
        <v>263</v>
      </c>
      <c r="B92" s="203" t="s">
        <v>148</v>
      </c>
      <c r="C92" s="421">
        <v>7854</v>
      </c>
      <c r="D92" s="419"/>
      <c r="E92" s="419"/>
      <c r="F92" s="419"/>
      <c r="G92" s="419"/>
      <c r="H92" s="500">
        <v>4291.05</v>
      </c>
      <c r="I92" s="419"/>
      <c r="J92" s="419"/>
      <c r="K92" s="419"/>
      <c r="L92" s="419"/>
      <c r="M92" s="419"/>
      <c r="N92" s="419"/>
      <c r="O92" s="419"/>
      <c r="P92" s="419"/>
      <c r="Q92" s="421">
        <v>414</v>
      </c>
      <c r="R92" s="421">
        <v>73</v>
      </c>
      <c r="S92" s="421">
        <v>482</v>
      </c>
      <c r="T92" s="421">
        <v>262</v>
      </c>
      <c r="U92" s="421">
        <v>242</v>
      </c>
      <c r="V92" s="421">
        <v>3942</v>
      </c>
      <c r="W92" s="421">
        <v>1330</v>
      </c>
      <c r="X92" s="421">
        <v>749</v>
      </c>
      <c r="Y92" s="421">
        <v>360</v>
      </c>
      <c r="Z92" s="419"/>
      <c r="AA92" s="419"/>
      <c r="AB92" s="419"/>
      <c r="AC92" s="419"/>
      <c r="AD92" s="419"/>
      <c r="AE92" s="422">
        <v>1.575990109108588</v>
      </c>
      <c r="AF92" s="421">
        <v>16457805.912556183</v>
      </c>
      <c r="AG92" s="420">
        <v>501</v>
      </c>
      <c r="AH92" s="420">
        <v>3360</v>
      </c>
      <c r="AJ92" s="420">
        <v>113</v>
      </c>
      <c r="AK92" s="420">
        <v>0.014387573211102622</v>
      </c>
      <c r="AM92" s="420">
        <v>0</v>
      </c>
      <c r="AN92" s="420">
        <v>1</v>
      </c>
      <c r="AP92" s="420">
        <v>0</v>
      </c>
      <c r="AQ92" s="420">
        <v>0</v>
      </c>
      <c r="AR92" s="420">
        <v>1328.15</v>
      </c>
      <c r="AU92" s="420">
        <v>260</v>
      </c>
      <c r="AV92" s="420">
        <v>1961</v>
      </c>
      <c r="AW92" s="420">
        <v>0.13258541560428352</v>
      </c>
      <c r="AY92" s="420">
        <v>0.4355</v>
      </c>
      <c r="AZ92" s="421">
        <v>2456</v>
      </c>
      <c r="BA92" s="420">
        <v>2944</v>
      </c>
      <c r="BB92" s="420">
        <v>0.8342391304347826</v>
      </c>
      <c r="BD92" s="420">
        <v>0</v>
      </c>
      <c r="BE92" s="420">
        <v>0</v>
      </c>
      <c r="BF92" s="421">
        <v>0</v>
      </c>
      <c r="BG92" s="421">
        <v>0</v>
      </c>
      <c r="BH92" s="419"/>
      <c r="BI92" s="421">
        <v>0</v>
      </c>
      <c r="BJ92" s="419"/>
      <c r="BK92" s="421">
        <v>2827.44</v>
      </c>
      <c r="BL92" s="421">
        <v>232429</v>
      </c>
      <c r="BM92" s="421">
        <v>-266267.88</v>
      </c>
      <c r="BN92" s="419"/>
      <c r="BO92" s="421">
        <v>168045.4978406094</v>
      </c>
      <c r="BP92" s="421">
        <v>894473</v>
      </c>
      <c r="BQ92" s="421">
        <v>268110</v>
      </c>
      <c r="BR92" s="421">
        <v>682456.22900401</v>
      </c>
      <c r="BS92" s="421">
        <v>33966.257956521804</v>
      </c>
      <c r="BT92" s="421">
        <v>110226.00985128019</v>
      </c>
      <c r="BU92" s="421">
        <v>363392.41017846076</v>
      </c>
      <c r="BV92" s="421">
        <v>470200.3889638611</v>
      </c>
      <c r="BW92" s="421">
        <v>789309.2936602538</v>
      </c>
      <c r="BX92" s="421">
        <v>215961.5741476559</v>
      </c>
      <c r="BY92" s="421">
        <v>413121.78828615317</v>
      </c>
      <c r="BZ92" s="419"/>
      <c r="CA92" s="421">
        <v>42870.60125201153</v>
      </c>
      <c r="CB92" s="419"/>
      <c r="CC92" s="419"/>
      <c r="CD92" s="419"/>
      <c r="CE92" s="421">
        <v>579002.406190788</v>
      </c>
      <c r="CF92" s="421">
        <v>310689.5346628117</v>
      </c>
      <c r="CG92" s="421">
        <v>367162.5449111105</v>
      </c>
      <c r="CH92" s="421">
        <v>-28766.672401880485</v>
      </c>
      <c r="CI92" s="419"/>
      <c r="CJ92" s="421">
        <v>8330570.810021474</v>
      </c>
      <c r="CK92" s="421">
        <v>-354103</v>
      </c>
      <c r="CL92" s="421">
        <v>314483.684</v>
      </c>
      <c r="CM92" s="421">
        <v>155289.36036</v>
      </c>
      <c r="CN92" s="421">
        <v>159194.32364000002</v>
      </c>
      <c r="CO92" s="419"/>
      <c r="CP92" s="419"/>
      <c r="CQ92" s="419"/>
      <c r="CR92" s="171">
        <v>2072</v>
      </c>
    </row>
    <row r="93" spans="1:96" ht="9.75">
      <c r="A93" s="203">
        <v>265</v>
      </c>
      <c r="B93" s="203" t="s">
        <v>149</v>
      </c>
      <c r="C93" s="421">
        <v>1107</v>
      </c>
      <c r="D93" s="419"/>
      <c r="E93" s="419"/>
      <c r="F93" s="419"/>
      <c r="G93" s="419"/>
      <c r="H93" s="500">
        <v>4291.05</v>
      </c>
      <c r="I93" s="419"/>
      <c r="J93" s="419"/>
      <c r="K93" s="419"/>
      <c r="L93" s="419"/>
      <c r="M93" s="419"/>
      <c r="N93" s="419"/>
      <c r="O93" s="419"/>
      <c r="P93" s="419"/>
      <c r="Q93" s="421">
        <v>49</v>
      </c>
      <c r="R93" s="421">
        <v>11</v>
      </c>
      <c r="S93" s="421">
        <v>56</v>
      </c>
      <c r="T93" s="421">
        <v>45</v>
      </c>
      <c r="U93" s="421">
        <v>19</v>
      </c>
      <c r="V93" s="421">
        <v>497</v>
      </c>
      <c r="W93" s="421">
        <v>216</v>
      </c>
      <c r="X93" s="421">
        <v>156</v>
      </c>
      <c r="Y93" s="421">
        <v>58</v>
      </c>
      <c r="Z93" s="419"/>
      <c r="AA93" s="419"/>
      <c r="AB93" s="419"/>
      <c r="AC93" s="419"/>
      <c r="AD93" s="419"/>
      <c r="AE93" s="422">
        <v>1.6876511518756037</v>
      </c>
      <c r="AF93" s="421">
        <v>2484035.8229446006</v>
      </c>
      <c r="AG93" s="420">
        <v>55</v>
      </c>
      <c r="AH93" s="420">
        <v>382</v>
      </c>
      <c r="AJ93" s="420">
        <v>14</v>
      </c>
      <c r="AK93" s="420">
        <v>0.012646793134598013</v>
      </c>
      <c r="AM93" s="420">
        <v>0</v>
      </c>
      <c r="AN93" s="420">
        <v>0</v>
      </c>
      <c r="AP93" s="420">
        <v>3</v>
      </c>
      <c r="AQ93" s="420">
        <v>86</v>
      </c>
      <c r="AR93" s="420">
        <v>483.97</v>
      </c>
      <c r="AU93" s="420">
        <v>45</v>
      </c>
      <c r="AV93" s="420">
        <v>235</v>
      </c>
      <c r="AW93" s="420">
        <v>0.19148936170212766</v>
      </c>
      <c r="AY93" s="420">
        <v>1.2539</v>
      </c>
      <c r="AZ93" s="421">
        <v>239</v>
      </c>
      <c r="BA93" s="420">
        <v>334</v>
      </c>
      <c r="BB93" s="420">
        <v>0.7155688622754491</v>
      </c>
      <c r="BD93" s="420">
        <v>0</v>
      </c>
      <c r="BE93" s="420">
        <v>0</v>
      </c>
      <c r="BF93" s="421">
        <v>0</v>
      </c>
      <c r="BG93" s="421">
        <v>0</v>
      </c>
      <c r="BH93" s="419"/>
      <c r="BI93" s="421">
        <v>0</v>
      </c>
      <c r="BJ93" s="419"/>
      <c r="BK93" s="421">
        <v>398.52</v>
      </c>
      <c r="BL93" s="421">
        <v>43455</v>
      </c>
      <c r="BM93" s="421">
        <v>-41033.415</v>
      </c>
      <c r="BN93" s="419"/>
      <c r="BO93" s="421">
        <v>8762.558215379715</v>
      </c>
      <c r="BP93" s="421">
        <v>130215</v>
      </c>
      <c r="BQ93" s="421">
        <v>39878</v>
      </c>
      <c r="BR93" s="421">
        <v>113824.44832960851</v>
      </c>
      <c r="BS93" s="421">
        <v>7034.246968550097</v>
      </c>
      <c r="BT93" s="421">
        <v>18972.256087466867</v>
      </c>
      <c r="BU93" s="421">
        <v>56149.43615035633</v>
      </c>
      <c r="BV93" s="421">
        <v>64664.56799765929</v>
      </c>
      <c r="BW93" s="421">
        <v>103518.21061302294</v>
      </c>
      <c r="BX93" s="421">
        <v>34343.09810392604</v>
      </c>
      <c r="BY93" s="421">
        <v>61106.55490523123</v>
      </c>
      <c r="BZ93" s="419"/>
      <c r="CA93" s="421">
        <v>-8656.993000353701</v>
      </c>
      <c r="CB93" s="419"/>
      <c r="CC93" s="419"/>
      <c r="CD93" s="419"/>
      <c r="CE93" s="421">
        <v>72505.26726005852</v>
      </c>
      <c r="CF93" s="421">
        <v>38856.09963555358</v>
      </c>
      <c r="CG93" s="421">
        <v>50167.68439437771</v>
      </c>
      <c r="CH93" s="421">
        <v>-3927.5001846131336</v>
      </c>
      <c r="CI93" s="419"/>
      <c r="CJ93" s="421">
        <v>855489.4538477784</v>
      </c>
      <c r="CK93" s="421">
        <v>-292077</v>
      </c>
      <c r="CL93" s="421">
        <v>11923.552000000001</v>
      </c>
      <c r="CM93" s="421">
        <v>49184.652</v>
      </c>
      <c r="CN93" s="421">
        <v>-37261.1</v>
      </c>
      <c r="CO93" s="419"/>
      <c r="CP93" s="419"/>
      <c r="CQ93" s="419"/>
      <c r="CR93" s="171">
        <v>243</v>
      </c>
    </row>
    <row r="94" spans="1:96" ht="9.75">
      <c r="A94" s="203">
        <v>271</v>
      </c>
      <c r="B94" s="203" t="s">
        <v>150</v>
      </c>
      <c r="C94" s="421">
        <v>7013</v>
      </c>
      <c r="D94" s="419"/>
      <c r="E94" s="419"/>
      <c r="F94" s="419"/>
      <c r="G94" s="419"/>
      <c r="H94" s="500">
        <v>4291.05</v>
      </c>
      <c r="I94" s="419"/>
      <c r="J94" s="419"/>
      <c r="K94" s="419"/>
      <c r="L94" s="419"/>
      <c r="M94" s="419"/>
      <c r="N94" s="419"/>
      <c r="O94" s="419"/>
      <c r="P94" s="419"/>
      <c r="Q94" s="421">
        <v>319</v>
      </c>
      <c r="R94" s="421">
        <v>50</v>
      </c>
      <c r="S94" s="421">
        <v>370</v>
      </c>
      <c r="T94" s="421">
        <v>224</v>
      </c>
      <c r="U94" s="421">
        <v>212</v>
      </c>
      <c r="V94" s="421">
        <v>3674</v>
      </c>
      <c r="W94" s="421">
        <v>1171</v>
      </c>
      <c r="X94" s="421">
        <v>703</v>
      </c>
      <c r="Y94" s="421">
        <v>290</v>
      </c>
      <c r="Z94" s="419"/>
      <c r="AA94" s="419"/>
      <c r="AB94" s="419"/>
      <c r="AC94" s="419"/>
      <c r="AD94" s="419"/>
      <c r="AE94" s="422">
        <v>1.1823970449126886</v>
      </c>
      <c r="AF94" s="421">
        <v>11025409.485455278</v>
      </c>
      <c r="AG94" s="420">
        <v>354</v>
      </c>
      <c r="AH94" s="420">
        <v>3098</v>
      </c>
      <c r="AJ94" s="420">
        <v>218</v>
      </c>
      <c r="AK94" s="420">
        <v>0.03108512762013404</v>
      </c>
      <c r="AM94" s="420">
        <v>0</v>
      </c>
      <c r="AN94" s="420">
        <v>13</v>
      </c>
      <c r="AP94" s="420">
        <v>0</v>
      </c>
      <c r="AQ94" s="420">
        <v>0</v>
      </c>
      <c r="AR94" s="420">
        <v>480.2</v>
      </c>
      <c r="AU94" s="420">
        <v>309</v>
      </c>
      <c r="AV94" s="420">
        <v>1938</v>
      </c>
      <c r="AW94" s="420">
        <v>0.15944272445820434</v>
      </c>
      <c r="AY94" s="420">
        <v>0</v>
      </c>
      <c r="AZ94" s="421">
        <v>2361</v>
      </c>
      <c r="BA94" s="420">
        <v>2722</v>
      </c>
      <c r="BB94" s="420">
        <v>0.8673769287288758</v>
      </c>
      <c r="BD94" s="420">
        <v>0</v>
      </c>
      <c r="BE94" s="420">
        <v>0</v>
      </c>
      <c r="BF94" s="421">
        <v>0</v>
      </c>
      <c r="BG94" s="421">
        <v>0</v>
      </c>
      <c r="BH94" s="419"/>
      <c r="BI94" s="421">
        <v>0</v>
      </c>
      <c r="BJ94" s="419"/>
      <c r="BK94" s="421">
        <v>2524.68</v>
      </c>
      <c r="BL94" s="421">
        <v>41830</v>
      </c>
      <c r="BM94" s="421">
        <v>-278531.2325</v>
      </c>
      <c r="BN94" s="419"/>
      <c r="BO94" s="421">
        <v>-17435.946478638798</v>
      </c>
      <c r="BP94" s="421">
        <v>687986</v>
      </c>
      <c r="BQ94" s="421">
        <v>217878</v>
      </c>
      <c r="BR94" s="421">
        <v>550817.7150644845</v>
      </c>
      <c r="BS94" s="421">
        <v>28134.764337881366</v>
      </c>
      <c r="BT94" s="421">
        <v>78832.71425176546</v>
      </c>
      <c r="BU94" s="421">
        <v>250297.46366490252</v>
      </c>
      <c r="BV94" s="421">
        <v>386403.0682414612</v>
      </c>
      <c r="BW94" s="421">
        <v>667130.2318773058</v>
      </c>
      <c r="BX94" s="421">
        <v>191411.1151891651</v>
      </c>
      <c r="BY94" s="421">
        <v>341146.33984664205</v>
      </c>
      <c r="BZ94" s="419"/>
      <c r="CA94" s="421">
        <v>29544.070012153243</v>
      </c>
      <c r="CB94" s="419"/>
      <c r="CC94" s="419"/>
      <c r="CD94" s="419"/>
      <c r="CE94" s="421">
        <v>445519.8366882749</v>
      </c>
      <c r="CF94" s="421">
        <v>254752.16362010833</v>
      </c>
      <c r="CG94" s="421">
        <v>313723.1519732709</v>
      </c>
      <c r="CH94" s="421">
        <v>-30949.45296843633</v>
      </c>
      <c r="CI94" s="419"/>
      <c r="CJ94" s="421">
        <v>5213585.769221816</v>
      </c>
      <c r="CK94" s="421">
        <v>-526308</v>
      </c>
      <c r="CL94" s="421">
        <v>326481.75820000004</v>
      </c>
      <c r="CM94" s="421">
        <v>213531.44054800004</v>
      </c>
      <c r="CN94" s="421">
        <v>112950.317652</v>
      </c>
      <c r="CO94" s="419"/>
      <c r="CP94" s="419"/>
      <c r="CQ94" s="419"/>
      <c r="CR94" s="171">
        <v>1711</v>
      </c>
    </row>
    <row r="95" spans="1:96" ht="9.75">
      <c r="A95" s="203">
        <v>272</v>
      </c>
      <c r="B95" s="203" t="s">
        <v>151</v>
      </c>
      <c r="C95" s="421">
        <v>47772</v>
      </c>
      <c r="D95" s="419"/>
      <c r="E95" s="419"/>
      <c r="F95" s="419"/>
      <c r="G95" s="419"/>
      <c r="H95" s="500">
        <v>4291.05</v>
      </c>
      <c r="I95" s="419"/>
      <c r="J95" s="419"/>
      <c r="K95" s="419"/>
      <c r="L95" s="419"/>
      <c r="M95" s="419"/>
      <c r="N95" s="419"/>
      <c r="O95" s="419"/>
      <c r="P95" s="419"/>
      <c r="Q95" s="421">
        <v>3172</v>
      </c>
      <c r="R95" s="421">
        <v>663</v>
      </c>
      <c r="S95" s="421">
        <v>3811</v>
      </c>
      <c r="T95" s="421">
        <v>1828</v>
      </c>
      <c r="U95" s="421">
        <v>1775</v>
      </c>
      <c r="V95" s="421">
        <v>25729</v>
      </c>
      <c r="W95" s="421">
        <v>6151</v>
      </c>
      <c r="X95" s="421">
        <v>3316</v>
      </c>
      <c r="Y95" s="421">
        <v>1327</v>
      </c>
      <c r="Z95" s="419"/>
      <c r="AA95" s="419"/>
      <c r="AB95" s="419"/>
      <c r="AC95" s="419"/>
      <c r="AD95" s="419"/>
      <c r="AE95" s="422">
        <v>1.0177344573958764</v>
      </c>
      <c r="AF95" s="421">
        <v>64645076.7042449</v>
      </c>
      <c r="AG95" s="420">
        <v>2202</v>
      </c>
      <c r="AH95" s="420">
        <v>21737</v>
      </c>
      <c r="AJ95" s="420">
        <v>1756</v>
      </c>
      <c r="AK95" s="420">
        <v>0.036757933517541655</v>
      </c>
      <c r="AM95" s="420">
        <v>1</v>
      </c>
      <c r="AN95" s="420">
        <v>5974</v>
      </c>
      <c r="AP95" s="420">
        <v>0</v>
      </c>
      <c r="AQ95" s="420">
        <v>0</v>
      </c>
      <c r="AR95" s="420">
        <v>1445.95</v>
      </c>
      <c r="AU95" s="420">
        <v>1211</v>
      </c>
      <c r="AV95" s="420">
        <v>14266</v>
      </c>
      <c r="AW95" s="420">
        <v>0.08488714425907752</v>
      </c>
      <c r="AY95" s="420">
        <v>0</v>
      </c>
      <c r="AZ95" s="421">
        <v>20898</v>
      </c>
      <c r="BA95" s="420">
        <v>19898</v>
      </c>
      <c r="BB95" s="420">
        <v>1.0502563071665494</v>
      </c>
      <c r="BD95" s="420">
        <v>0</v>
      </c>
      <c r="BE95" s="420">
        <v>0</v>
      </c>
      <c r="BF95" s="421">
        <v>0</v>
      </c>
      <c r="BG95" s="421">
        <v>0</v>
      </c>
      <c r="BH95" s="419"/>
      <c r="BI95" s="421">
        <v>0</v>
      </c>
      <c r="BJ95" s="419"/>
      <c r="BK95" s="421">
        <v>17197.92</v>
      </c>
      <c r="BL95" s="421">
        <v>1459983</v>
      </c>
      <c r="BM95" s="421">
        <v>-1829757.56</v>
      </c>
      <c r="BN95" s="419"/>
      <c r="BO95" s="421">
        <v>193897.22869046032</v>
      </c>
      <c r="BP95" s="421">
        <v>3497904</v>
      </c>
      <c r="BQ95" s="421">
        <v>1150390</v>
      </c>
      <c r="BR95" s="421">
        <v>2560170.552761876</v>
      </c>
      <c r="BS95" s="421">
        <v>94908.11118518931</v>
      </c>
      <c r="BT95" s="421">
        <v>213758.12329429368</v>
      </c>
      <c r="BU95" s="421">
        <v>1350195.8835155452</v>
      </c>
      <c r="BV95" s="421">
        <v>2318477.82601972</v>
      </c>
      <c r="BW95" s="421">
        <v>3666399.002961733</v>
      </c>
      <c r="BX95" s="421">
        <v>1089465.1001585778</v>
      </c>
      <c r="BY95" s="421">
        <v>1979008.618864164</v>
      </c>
      <c r="BZ95" s="419"/>
      <c r="CA95" s="421">
        <v>-195665.7744376876</v>
      </c>
      <c r="CB95" s="419"/>
      <c r="CC95" s="419"/>
      <c r="CD95" s="419"/>
      <c r="CE95" s="421">
        <v>2506295.7796810432</v>
      </c>
      <c r="CF95" s="421">
        <v>1547086.8261575757</v>
      </c>
      <c r="CG95" s="421">
        <v>1945466.5036275538</v>
      </c>
      <c r="CH95" s="421">
        <v>-225862.48209874093</v>
      </c>
      <c r="CI95" s="419"/>
      <c r="CJ95" s="421">
        <v>12866226.864946263</v>
      </c>
      <c r="CK95" s="421">
        <v>-1143709</v>
      </c>
      <c r="CL95" s="421">
        <v>727783.8052000001</v>
      </c>
      <c r="CM95" s="421">
        <v>753747.3396800001</v>
      </c>
      <c r="CN95" s="421">
        <v>-25963.53448000003</v>
      </c>
      <c r="CO95" s="419"/>
      <c r="CP95" s="419"/>
      <c r="CQ95" s="419"/>
      <c r="CR95" s="171">
        <v>16598</v>
      </c>
    </row>
    <row r="96" spans="1:96" ht="9.75">
      <c r="A96" s="203">
        <v>273</v>
      </c>
      <c r="B96" s="203" t="s">
        <v>152</v>
      </c>
      <c r="C96" s="421">
        <v>3925</v>
      </c>
      <c r="D96" s="419"/>
      <c r="E96" s="419"/>
      <c r="F96" s="419"/>
      <c r="G96" s="419"/>
      <c r="H96" s="500">
        <v>4291.05</v>
      </c>
      <c r="I96" s="419"/>
      <c r="J96" s="419"/>
      <c r="K96" s="419"/>
      <c r="L96" s="419"/>
      <c r="M96" s="419"/>
      <c r="N96" s="419"/>
      <c r="O96" s="419"/>
      <c r="P96" s="419"/>
      <c r="Q96" s="421">
        <v>201</v>
      </c>
      <c r="R96" s="421">
        <v>59</v>
      </c>
      <c r="S96" s="421">
        <v>251</v>
      </c>
      <c r="T96" s="421">
        <v>119</v>
      </c>
      <c r="U96" s="421">
        <v>102</v>
      </c>
      <c r="V96" s="421">
        <v>2128</v>
      </c>
      <c r="W96" s="421">
        <v>632</v>
      </c>
      <c r="X96" s="421">
        <v>327</v>
      </c>
      <c r="Y96" s="421">
        <v>106</v>
      </c>
      <c r="Z96" s="419"/>
      <c r="AA96" s="419"/>
      <c r="AB96" s="419"/>
      <c r="AC96" s="419"/>
      <c r="AD96" s="419"/>
      <c r="AE96" s="422">
        <v>1.1597679467968156</v>
      </c>
      <c r="AF96" s="421">
        <v>6052549.026114093</v>
      </c>
      <c r="AG96" s="420">
        <v>334</v>
      </c>
      <c r="AH96" s="420">
        <v>1791</v>
      </c>
      <c r="AJ96" s="420">
        <v>59</v>
      </c>
      <c r="AK96" s="420">
        <v>0.015031847133757962</v>
      </c>
      <c r="AM96" s="420">
        <v>0</v>
      </c>
      <c r="AN96" s="420">
        <v>28</v>
      </c>
      <c r="AP96" s="420">
        <v>0</v>
      </c>
      <c r="AQ96" s="420">
        <v>0</v>
      </c>
      <c r="AR96" s="420">
        <v>2559.21</v>
      </c>
      <c r="AU96" s="420">
        <v>153</v>
      </c>
      <c r="AV96" s="420">
        <v>1122</v>
      </c>
      <c r="AW96" s="420">
        <v>0.13636363636363635</v>
      </c>
      <c r="AY96" s="420">
        <v>1.7234</v>
      </c>
      <c r="AZ96" s="421">
        <v>1562</v>
      </c>
      <c r="BA96" s="420">
        <v>1654</v>
      </c>
      <c r="BB96" s="420">
        <v>0.9443772672309553</v>
      </c>
      <c r="BD96" s="420">
        <v>0</v>
      </c>
      <c r="BE96" s="420">
        <v>3</v>
      </c>
      <c r="BF96" s="421">
        <v>0</v>
      </c>
      <c r="BG96" s="421">
        <v>0</v>
      </c>
      <c r="BH96" s="419"/>
      <c r="BI96" s="421">
        <v>0</v>
      </c>
      <c r="BJ96" s="419"/>
      <c r="BK96" s="421">
        <v>1413</v>
      </c>
      <c r="BL96" s="421">
        <v>-16074</v>
      </c>
      <c r="BM96" s="421">
        <v>-71899.18</v>
      </c>
      <c r="BN96" s="419"/>
      <c r="BO96" s="421">
        <v>159790.83063413762</v>
      </c>
      <c r="BP96" s="421">
        <v>309744</v>
      </c>
      <c r="BQ96" s="421">
        <v>129398</v>
      </c>
      <c r="BR96" s="421">
        <v>320372.58274171664</v>
      </c>
      <c r="BS96" s="421">
        <v>19615.74455248039</v>
      </c>
      <c r="BT96" s="421">
        <v>-4306.018548181757</v>
      </c>
      <c r="BU96" s="421">
        <v>105900.97151327858</v>
      </c>
      <c r="BV96" s="421">
        <v>256747.6903397223</v>
      </c>
      <c r="BW96" s="421">
        <v>335575.45699918334</v>
      </c>
      <c r="BX96" s="421">
        <v>129767.92647972985</v>
      </c>
      <c r="BY96" s="421">
        <v>202432.0424911791</v>
      </c>
      <c r="BZ96" s="419"/>
      <c r="CA96" s="421">
        <v>3967.8709573483357</v>
      </c>
      <c r="CB96" s="419"/>
      <c r="CC96" s="419"/>
      <c r="CD96" s="419"/>
      <c r="CE96" s="421">
        <v>273195.96903554496</v>
      </c>
      <c r="CF96" s="421">
        <v>154725.4620348303</v>
      </c>
      <c r="CG96" s="421">
        <v>188306.13253528473</v>
      </c>
      <c r="CH96" s="421">
        <v>-17802.36780490829</v>
      </c>
      <c r="CI96" s="419"/>
      <c r="CJ96" s="421">
        <v>2940228.2808496966</v>
      </c>
      <c r="CK96" s="421">
        <v>-220393</v>
      </c>
      <c r="CL96" s="421">
        <v>159775.5968</v>
      </c>
      <c r="CM96" s="421">
        <v>50302.485</v>
      </c>
      <c r="CN96" s="421">
        <v>109473.1118</v>
      </c>
      <c r="CO96" s="419"/>
      <c r="CP96" s="419"/>
      <c r="CQ96" s="419"/>
      <c r="CR96" s="171">
        <v>1025</v>
      </c>
    </row>
    <row r="97" spans="1:96" ht="9.75">
      <c r="A97" s="203">
        <v>275</v>
      </c>
      <c r="B97" s="203" t="s">
        <v>153</v>
      </c>
      <c r="C97" s="421">
        <v>2593</v>
      </c>
      <c r="D97" s="419"/>
      <c r="E97" s="419"/>
      <c r="F97" s="419"/>
      <c r="G97" s="419"/>
      <c r="H97" s="500">
        <v>4291.05</v>
      </c>
      <c r="I97" s="419"/>
      <c r="J97" s="419"/>
      <c r="K97" s="419"/>
      <c r="L97" s="419"/>
      <c r="M97" s="419"/>
      <c r="N97" s="419"/>
      <c r="O97" s="419"/>
      <c r="P97" s="419"/>
      <c r="Q97" s="421">
        <v>105</v>
      </c>
      <c r="R97" s="421">
        <v>19</v>
      </c>
      <c r="S97" s="421">
        <v>148</v>
      </c>
      <c r="T97" s="421">
        <v>87</v>
      </c>
      <c r="U97" s="421">
        <v>76</v>
      </c>
      <c r="V97" s="421">
        <v>1271</v>
      </c>
      <c r="W97" s="421">
        <v>488</v>
      </c>
      <c r="X97" s="421">
        <v>266</v>
      </c>
      <c r="Y97" s="421">
        <v>133</v>
      </c>
      <c r="Z97" s="419"/>
      <c r="AA97" s="419"/>
      <c r="AB97" s="419"/>
      <c r="AC97" s="419"/>
      <c r="AD97" s="419"/>
      <c r="AE97" s="422">
        <v>1.3596685684693364</v>
      </c>
      <c r="AF97" s="421">
        <v>4687735.812453086</v>
      </c>
      <c r="AG97" s="420">
        <v>150</v>
      </c>
      <c r="AH97" s="420">
        <v>1128</v>
      </c>
      <c r="AJ97" s="420">
        <v>26</v>
      </c>
      <c r="AK97" s="420">
        <v>0.010026995757809487</v>
      </c>
      <c r="AM97" s="420">
        <v>0</v>
      </c>
      <c r="AN97" s="420">
        <v>1</v>
      </c>
      <c r="AP97" s="420">
        <v>0</v>
      </c>
      <c r="AQ97" s="420">
        <v>0</v>
      </c>
      <c r="AR97" s="420">
        <v>512.94</v>
      </c>
      <c r="AU97" s="420">
        <v>76</v>
      </c>
      <c r="AV97" s="420">
        <v>640</v>
      </c>
      <c r="AW97" s="420">
        <v>0.11875</v>
      </c>
      <c r="AY97" s="420">
        <v>0.2871</v>
      </c>
      <c r="AZ97" s="421">
        <v>782</v>
      </c>
      <c r="BA97" s="420">
        <v>936</v>
      </c>
      <c r="BB97" s="420">
        <v>0.8354700854700855</v>
      </c>
      <c r="BD97" s="420">
        <v>0</v>
      </c>
      <c r="BE97" s="420">
        <v>0</v>
      </c>
      <c r="BF97" s="421">
        <v>0</v>
      </c>
      <c r="BG97" s="421">
        <v>0</v>
      </c>
      <c r="BH97" s="419"/>
      <c r="BI97" s="421">
        <v>0</v>
      </c>
      <c r="BJ97" s="419"/>
      <c r="BK97" s="421">
        <v>933.48</v>
      </c>
      <c r="BL97" s="421">
        <v>78006</v>
      </c>
      <c r="BM97" s="421">
        <v>-70976.505</v>
      </c>
      <c r="BN97" s="419"/>
      <c r="BO97" s="421">
        <v>212913.65034567937</v>
      </c>
      <c r="BP97" s="421">
        <v>294459</v>
      </c>
      <c r="BQ97" s="421">
        <v>87146</v>
      </c>
      <c r="BR97" s="421">
        <v>235915.4548271972</v>
      </c>
      <c r="BS97" s="421">
        <v>10266.407253946101</v>
      </c>
      <c r="BT97" s="421">
        <v>901.3692978763046</v>
      </c>
      <c r="BU97" s="421">
        <v>107805.7106164793</v>
      </c>
      <c r="BV97" s="421">
        <v>154011.59345537188</v>
      </c>
      <c r="BW97" s="421">
        <v>238896.83094941953</v>
      </c>
      <c r="BX97" s="421">
        <v>69074.1311257649</v>
      </c>
      <c r="BY97" s="421">
        <v>127791.46348937791</v>
      </c>
      <c r="BZ97" s="419"/>
      <c r="CA97" s="421">
        <v>4920.165455497274</v>
      </c>
      <c r="CB97" s="419"/>
      <c r="CC97" s="419"/>
      <c r="CD97" s="419"/>
      <c r="CE97" s="421">
        <v>182832.1452211211</v>
      </c>
      <c r="CF97" s="421">
        <v>100309.9299488399</v>
      </c>
      <c r="CG97" s="421">
        <v>117648.19651728921</v>
      </c>
      <c r="CH97" s="421">
        <v>-10442.044550105878</v>
      </c>
      <c r="CI97" s="419"/>
      <c r="CJ97" s="421">
        <v>2414900.5855530733</v>
      </c>
      <c r="CK97" s="421">
        <v>-20093</v>
      </c>
      <c r="CL97" s="421">
        <v>119310.0422</v>
      </c>
      <c r="CM97" s="421">
        <v>46978.79488000001</v>
      </c>
      <c r="CN97" s="421">
        <v>72331.24732</v>
      </c>
      <c r="CO97" s="419"/>
      <c r="CP97" s="419"/>
      <c r="CQ97" s="419"/>
      <c r="CR97" s="171">
        <v>598</v>
      </c>
    </row>
    <row r="98" spans="1:96" ht="9.75">
      <c r="A98" s="203">
        <v>276</v>
      </c>
      <c r="B98" s="203" t="s">
        <v>154</v>
      </c>
      <c r="C98" s="421">
        <v>14857</v>
      </c>
      <c r="D98" s="419"/>
      <c r="E98" s="419"/>
      <c r="F98" s="419"/>
      <c r="G98" s="419"/>
      <c r="H98" s="500">
        <v>4291.05</v>
      </c>
      <c r="I98" s="419"/>
      <c r="J98" s="419"/>
      <c r="K98" s="419"/>
      <c r="L98" s="419"/>
      <c r="M98" s="419"/>
      <c r="N98" s="419"/>
      <c r="O98" s="419"/>
      <c r="P98" s="419"/>
      <c r="Q98" s="421">
        <v>1049</v>
      </c>
      <c r="R98" s="421">
        <v>244</v>
      </c>
      <c r="S98" s="421">
        <v>1410</v>
      </c>
      <c r="T98" s="421">
        <v>656</v>
      </c>
      <c r="U98" s="421">
        <v>580</v>
      </c>
      <c r="V98" s="421">
        <v>8262</v>
      </c>
      <c r="W98" s="421">
        <v>1726</v>
      </c>
      <c r="X98" s="421">
        <v>702</v>
      </c>
      <c r="Y98" s="421">
        <v>228</v>
      </c>
      <c r="Z98" s="419"/>
      <c r="AA98" s="419"/>
      <c r="AB98" s="419"/>
      <c r="AC98" s="419"/>
      <c r="AD98" s="419"/>
      <c r="AE98" s="422">
        <v>0.832088421779966</v>
      </c>
      <c r="AF98" s="421">
        <v>16437212.0168917</v>
      </c>
      <c r="AG98" s="420">
        <v>833</v>
      </c>
      <c r="AH98" s="420">
        <v>7249</v>
      </c>
      <c r="AJ98" s="420">
        <v>334</v>
      </c>
      <c r="AK98" s="420">
        <v>0.02248098539409033</v>
      </c>
      <c r="AM98" s="420">
        <v>0</v>
      </c>
      <c r="AN98" s="420">
        <v>12</v>
      </c>
      <c r="AP98" s="420">
        <v>0</v>
      </c>
      <c r="AQ98" s="420">
        <v>0</v>
      </c>
      <c r="AR98" s="420">
        <v>799.2</v>
      </c>
      <c r="AU98" s="420">
        <v>347</v>
      </c>
      <c r="AV98" s="420">
        <v>5047</v>
      </c>
      <c r="AW98" s="420">
        <v>0.06875371507826432</v>
      </c>
      <c r="AY98" s="420">
        <v>0</v>
      </c>
      <c r="AZ98" s="421">
        <v>3570</v>
      </c>
      <c r="BA98" s="420">
        <v>6504</v>
      </c>
      <c r="BB98" s="420">
        <v>0.5488929889298892</v>
      </c>
      <c r="BD98" s="420">
        <v>0</v>
      </c>
      <c r="BE98" s="420">
        <v>0</v>
      </c>
      <c r="BF98" s="421">
        <v>0</v>
      </c>
      <c r="BG98" s="421">
        <v>0</v>
      </c>
      <c r="BH98" s="419"/>
      <c r="BI98" s="421">
        <v>0</v>
      </c>
      <c r="BJ98" s="419"/>
      <c r="BK98" s="421">
        <v>5348.5199999999995</v>
      </c>
      <c r="BL98" s="421">
        <v>96865</v>
      </c>
      <c r="BM98" s="421">
        <v>-507113.76</v>
      </c>
      <c r="BN98" s="419"/>
      <c r="BO98" s="421">
        <v>-31189.175071258098</v>
      </c>
      <c r="BP98" s="421">
        <v>949206</v>
      </c>
      <c r="BQ98" s="421">
        <v>298870</v>
      </c>
      <c r="BR98" s="421">
        <v>652050.1110439254</v>
      </c>
      <c r="BS98" s="421">
        <v>10525.031466713928</v>
      </c>
      <c r="BT98" s="421">
        <v>-23583.385672022665</v>
      </c>
      <c r="BU98" s="421">
        <v>307887.29031200556</v>
      </c>
      <c r="BV98" s="421">
        <v>676315.8945541244</v>
      </c>
      <c r="BW98" s="421">
        <v>1056294.202249494</v>
      </c>
      <c r="BX98" s="421">
        <v>278307.3585550578</v>
      </c>
      <c r="BY98" s="421">
        <v>547721.4104425646</v>
      </c>
      <c r="BZ98" s="419"/>
      <c r="CA98" s="421">
        <v>74923.86091316651</v>
      </c>
      <c r="CB98" s="419"/>
      <c r="CC98" s="419"/>
      <c r="CD98" s="419"/>
      <c r="CE98" s="421">
        <v>709461.0449752522</v>
      </c>
      <c r="CF98" s="421">
        <v>454415.9028798692</v>
      </c>
      <c r="CG98" s="421">
        <v>588296.4072452008</v>
      </c>
      <c r="CH98" s="421">
        <v>-62709.01166543362</v>
      </c>
      <c r="CI98" s="419"/>
      <c r="CJ98" s="421">
        <v>7635643.764574811</v>
      </c>
      <c r="CK98" s="421">
        <v>-1632645</v>
      </c>
      <c r="CL98" s="421">
        <v>415982.92040000006</v>
      </c>
      <c r="CM98" s="421">
        <v>551266.050948</v>
      </c>
      <c r="CN98" s="421">
        <v>-135283.130548</v>
      </c>
      <c r="CO98" s="419"/>
      <c r="CP98" s="419"/>
      <c r="CQ98" s="419"/>
      <c r="CR98" s="171">
        <v>5058</v>
      </c>
    </row>
    <row r="99" spans="1:96" ht="9.75">
      <c r="A99" s="203">
        <v>280</v>
      </c>
      <c r="B99" s="203" t="s">
        <v>155</v>
      </c>
      <c r="C99" s="421">
        <v>2068</v>
      </c>
      <c r="D99" s="419"/>
      <c r="E99" s="419"/>
      <c r="F99" s="419"/>
      <c r="G99" s="419"/>
      <c r="H99" s="500">
        <v>4291.05</v>
      </c>
      <c r="I99" s="419"/>
      <c r="J99" s="419"/>
      <c r="K99" s="419"/>
      <c r="L99" s="419"/>
      <c r="M99" s="419"/>
      <c r="N99" s="419"/>
      <c r="O99" s="419"/>
      <c r="P99" s="419"/>
      <c r="Q99" s="421">
        <v>100</v>
      </c>
      <c r="R99" s="421">
        <v>33</v>
      </c>
      <c r="S99" s="421">
        <v>129</v>
      </c>
      <c r="T99" s="421">
        <v>54</v>
      </c>
      <c r="U99" s="421">
        <v>55</v>
      </c>
      <c r="V99" s="421">
        <v>1093</v>
      </c>
      <c r="W99" s="421">
        <v>332</v>
      </c>
      <c r="X99" s="421">
        <v>186</v>
      </c>
      <c r="Y99" s="421">
        <v>86</v>
      </c>
      <c r="Z99" s="419"/>
      <c r="AA99" s="419"/>
      <c r="AB99" s="419"/>
      <c r="AC99" s="419"/>
      <c r="AD99" s="419"/>
      <c r="AE99" s="422">
        <v>0.9323819558881133</v>
      </c>
      <c r="AF99" s="421">
        <v>2563728.0107527534</v>
      </c>
      <c r="AG99" s="420">
        <v>81</v>
      </c>
      <c r="AH99" s="420">
        <v>993</v>
      </c>
      <c r="AJ99" s="420">
        <v>230</v>
      </c>
      <c r="AK99" s="420">
        <v>0.11121856866537717</v>
      </c>
      <c r="AM99" s="420">
        <v>3</v>
      </c>
      <c r="AN99" s="420">
        <v>1763</v>
      </c>
      <c r="AP99" s="420">
        <v>0</v>
      </c>
      <c r="AQ99" s="420">
        <v>0</v>
      </c>
      <c r="AR99" s="420">
        <v>236.03</v>
      </c>
      <c r="AU99" s="420">
        <v>94</v>
      </c>
      <c r="AV99" s="420">
        <v>575</v>
      </c>
      <c r="AW99" s="420">
        <v>0.1634782608695652</v>
      </c>
      <c r="AY99" s="420">
        <v>0.3701</v>
      </c>
      <c r="AZ99" s="421">
        <v>666</v>
      </c>
      <c r="BA99" s="420">
        <v>904</v>
      </c>
      <c r="BB99" s="420">
        <v>0.7367256637168141</v>
      </c>
      <c r="BD99" s="420">
        <v>0</v>
      </c>
      <c r="BE99" s="420">
        <v>0</v>
      </c>
      <c r="BF99" s="421">
        <v>0</v>
      </c>
      <c r="BG99" s="421">
        <v>0</v>
      </c>
      <c r="BH99" s="419"/>
      <c r="BI99" s="421">
        <v>0</v>
      </c>
      <c r="BJ99" s="419"/>
      <c r="BK99" s="421">
        <v>744.48</v>
      </c>
      <c r="BL99" s="421">
        <v>-47819</v>
      </c>
      <c r="BM99" s="421">
        <v>-27230.155</v>
      </c>
      <c r="BN99" s="419"/>
      <c r="BO99" s="421">
        <v>307910.7989604967</v>
      </c>
      <c r="BP99" s="421">
        <v>215330</v>
      </c>
      <c r="BQ99" s="421">
        <v>87084</v>
      </c>
      <c r="BR99" s="421">
        <v>208552.30023377578</v>
      </c>
      <c r="BS99" s="421">
        <v>13536.378379850774</v>
      </c>
      <c r="BT99" s="421">
        <v>38525.12046635463</v>
      </c>
      <c r="BU99" s="421">
        <v>77394.8217952806</v>
      </c>
      <c r="BV99" s="421">
        <v>160512.82890616357</v>
      </c>
      <c r="BW99" s="421">
        <v>219656.9907228866</v>
      </c>
      <c r="BX99" s="421">
        <v>86132.62617675014</v>
      </c>
      <c r="BY99" s="421">
        <v>127685.51874162783</v>
      </c>
      <c r="BZ99" s="419"/>
      <c r="CA99" s="421">
        <v>-33676.144296082806</v>
      </c>
      <c r="CB99" s="419"/>
      <c r="CC99" s="419"/>
      <c r="CD99" s="419"/>
      <c r="CE99" s="421">
        <v>178957.23232617538</v>
      </c>
      <c r="CF99" s="421">
        <v>102573.40620221374</v>
      </c>
      <c r="CG99" s="421">
        <v>115254.18959364369</v>
      </c>
      <c r="CH99" s="421">
        <v>-7747.325920658468</v>
      </c>
      <c r="CI99" s="419"/>
      <c r="CJ99" s="421">
        <v>1886172.4761595658</v>
      </c>
      <c r="CK99" s="421">
        <v>-259196</v>
      </c>
      <c r="CL99" s="421">
        <v>0</v>
      </c>
      <c r="CM99" s="421">
        <v>639400.476</v>
      </c>
      <c r="CN99" s="421">
        <v>-639400.476</v>
      </c>
      <c r="CO99" s="419"/>
      <c r="CP99" s="419"/>
      <c r="CQ99" s="419"/>
      <c r="CR99" s="171">
        <v>566</v>
      </c>
    </row>
    <row r="100" spans="1:96" ht="9.75">
      <c r="A100" s="203">
        <v>284</v>
      </c>
      <c r="B100" s="203" t="s">
        <v>156</v>
      </c>
      <c r="C100" s="421">
        <v>2292</v>
      </c>
      <c r="D100" s="419"/>
      <c r="E100" s="419"/>
      <c r="F100" s="419"/>
      <c r="G100" s="419"/>
      <c r="H100" s="500">
        <v>4291.05</v>
      </c>
      <c r="I100" s="419"/>
      <c r="J100" s="419"/>
      <c r="K100" s="419"/>
      <c r="L100" s="419"/>
      <c r="M100" s="419"/>
      <c r="N100" s="419"/>
      <c r="O100" s="419"/>
      <c r="P100" s="419"/>
      <c r="Q100" s="421">
        <v>98</v>
      </c>
      <c r="R100" s="421">
        <v>20</v>
      </c>
      <c r="S100" s="421">
        <v>146</v>
      </c>
      <c r="T100" s="421">
        <v>71</v>
      </c>
      <c r="U100" s="421">
        <v>71</v>
      </c>
      <c r="V100" s="421">
        <v>1121</v>
      </c>
      <c r="W100" s="421">
        <v>366</v>
      </c>
      <c r="X100" s="421">
        <v>255</v>
      </c>
      <c r="Y100" s="421">
        <v>144</v>
      </c>
      <c r="Z100" s="419"/>
      <c r="AA100" s="419"/>
      <c r="AB100" s="419"/>
      <c r="AC100" s="419"/>
      <c r="AD100" s="419"/>
      <c r="AE100" s="422">
        <v>1.127002448091628</v>
      </c>
      <c r="AF100" s="421">
        <v>3434527.727468398</v>
      </c>
      <c r="AG100" s="420">
        <v>97</v>
      </c>
      <c r="AH100" s="420">
        <v>968</v>
      </c>
      <c r="AJ100" s="420">
        <v>95</v>
      </c>
      <c r="AK100" s="420">
        <v>0.04144851657940663</v>
      </c>
      <c r="AM100" s="420">
        <v>0</v>
      </c>
      <c r="AN100" s="420">
        <v>7</v>
      </c>
      <c r="AP100" s="420">
        <v>0</v>
      </c>
      <c r="AQ100" s="420">
        <v>0</v>
      </c>
      <c r="AR100" s="420">
        <v>191.5</v>
      </c>
      <c r="AU100" s="420">
        <v>84</v>
      </c>
      <c r="AV100" s="420">
        <v>582</v>
      </c>
      <c r="AW100" s="420">
        <v>0.14432989690721648</v>
      </c>
      <c r="AY100" s="420">
        <v>0</v>
      </c>
      <c r="AZ100" s="421">
        <v>898</v>
      </c>
      <c r="BA100" s="420">
        <v>895</v>
      </c>
      <c r="BB100" s="420">
        <v>1.0033519553072625</v>
      </c>
      <c r="BD100" s="420">
        <v>0</v>
      </c>
      <c r="BE100" s="420">
        <v>0</v>
      </c>
      <c r="BF100" s="421">
        <v>0</v>
      </c>
      <c r="BG100" s="421">
        <v>0</v>
      </c>
      <c r="BH100" s="419"/>
      <c r="BI100" s="421">
        <v>0</v>
      </c>
      <c r="BJ100" s="419"/>
      <c r="BK100" s="421">
        <v>825.12</v>
      </c>
      <c r="BL100" s="421">
        <v>-58672</v>
      </c>
      <c r="BM100" s="421">
        <v>-53455.58</v>
      </c>
      <c r="BN100" s="419"/>
      <c r="BO100" s="421">
        <v>240131.28113703616</v>
      </c>
      <c r="BP100" s="421">
        <v>238534</v>
      </c>
      <c r="BQ100" s="421">
        <v>77683</v>
      </c>
      <c r="BR100" s="421">
        <v>183775.91836874714</v>
      </c>
      <c r="BS100" s="421">
        <v>9914.914833124469</v>
      </c>
      <c r="BT100" s="421">
        <v>25160.51397010668</v>
      </c>
      <c r="BU100" s="421">
        <v>84042.742812827</v>
      </c>
      <c r="BV100" s="421">
        <v>143275.3160113607</v>
      </c>
      <c r="BW100" s="421">
        <v>216829.0949552883</v>
      </c>
      <c r="BX100" s="421">
        <v>70375.32850897516</v>
      </c>
      <c r="BY100" s="421">
        <v>115007.48072680269</v>
      </c>
      <c r="BZ100" s="419"/>
      <c r="CA100" s="421">
        <v>-4412.315672150267</v>
      </c>
      <c r="CB100" s="419"/>
      <c r="CC100" s="419"/>
      <c r="CD100" s="419"/>
      <c r="CE100" s="421">
        <v>154574.85982862662</v>
      </c>
      <c r="CF100" s="421">
        <v>90877.08657037007</v>
      </c>
      <c r="CG100" s="421">
        <v>105802.19689033234</v>
      </c>
      <c r="CH100" s="421">
        <v>-8446.584385429378</v>
      </c>
      <c r="CI100" s="419"/>
      <c r="CJ100" s="421">
        <v>1760266.3151263122</v>
      </c>
      <c r="CK100" s="421">
        <v>876845</v>
      </c>
      <c r="CL100" s="421">
        <v>1211730.972</v>
      </c>
      <c r="CM100" s="421">
        <v>29808.88</v>
      </c>
      <c r="CN100" s="421">
        <v>1181922.0920000002</v>
      </c>
      <c r="CO100" s="419"/>
      <c r="CP100" s="419"/>
      <c r="CQ100" s="419"/>
      <c r="CR100" s="171">
        <v>572</v>
      </c>
    </row>
    <row r="101" spans="1:96" ht="9.75">
      <c r="A101" s="203">
        <v>285</v>
      </c>
      <c r="B101" s="203" t="s">
        <v>157</v>
      </c>
      <c r="C101" s="421">
        <v>51668</v>
      </c>
      <c r="D101" s="419"/>
      <c r="E101" s="419"/>
      <c r="F101" s="419"/>
      <c r="G101" s="419"/>
      <c r="H101" s="500">
        <v>4291.05</v>
      </c>
      <c r="I101" s="419"/>
      <c r="J101" s="419"/>
      <c r="K101" s="419"/>
      <c r="L101" s="419"/>
      <c r="M101" s="419"/>
      <c r="N101" s="419"/>
      <c r="O101" s="419"/>
      <c r="P101" s="419"/>
      <c r="Q101" s="421">
        <v>2288</v>
      </c>
      <c r="R101" s="421">
        <v>445</v>
      </c>
      <c r="S101" s="421">
        <v>3049</v>
      </c>
      <c r="T101" s="421">
        <v>1481</v>
      </c>
      <c r="U101" s="421">
        <v>1601</v>
      </c>
      <c r="V101" s="421">
        <v>28471</v>
      </c>
      <c r="W101" s="421">
        <v>8000</v>
      </c>
      <c r="X101" s="421">
        <v>4502</v>
      </c>
      <c r="Y101" s="421">
        <v>1831</v>
      </c>
      <c r="Z101" s="419"/>
      <c r="AA101" s="419"/>
      <c r="AB101" s="419"/>
      <c r="AC101" s="419"/>
      <c r="AD101" s="419"/>
      <c r="AE101" s="422">
        <v>1.4123646568210702</v>
      </c>
      <c r="AF101" s="421">
        <v>97027768.5107079</v>
      </c>
      <c r="AG101" s="420">
        <v>3842</v>
      </c>
      <c r="AH101" s="420">
        <v>23585</v>
      </c>
      <c r="AJ101" s="420">
        <v>4849</v>
      </c>
      <c r="AK101" s="420">
        <v>0.09384919098861964</v>
      </c>
      <c r="AM101" s="420">
        <v>0</v>
      </c>
      <c r="AN101" s="420">
        <v>504</v>
      </c>
      <c r="AP101" s="420">
        <v>3</v>
      </c>
      <c r="AQ101" s="420">
        <v>480</v>
      </c>
      <c r="AR101" s="420">
        <v>271.95</v>
      </c>
      <c r="AU101" s="420">
        <v>2410</v>
      </c>
      <c r="AV101" s="420">
        <v>15245</v>
      </c>
      <c r="AW101" s="420">
        <v>0.15808461790751066</v>
      </c>
      <c r="AY101" s="420">
        <v>0</v>
      </c>
      <c r="AZ101" s="421">
        <v>21960</v>
      </c>
      <c r="BA101" s="420">
        <v>19522</v>
      </c>
      <c r="BB101" s="420">
        <v>1.1248847454154287</v>
      </c>
      <c r="BD101" s="420">
        <v>0</v>
      </c>
      <c r="BE101" s="420">
        <v>2</v>
      </c>
      <c r="BF101" s="421">
        <v>0</v>
      </c>
      <c r="BG101" s="421">
        <v>0</v>
      </c>
      <c r="BH101" s="419"/>
      <c r="BI101" s="421">
        <v>0</v>
      </c>
      <c r="BJ101" s="419"/>
      <c r="BK101" s="421">
        <v>18600.48</v>
      </c>
      <c r="BL101" s="421">
        <v>1472159</v>
      </c>
      <c r="BM101" s="421">
        <v>-4559063.33305</v>
      </c>
      <c r="BN101" s="419"/>
      <c r="BO101" s="421">
        <v>-573075.1788794994</v>
      </c>
      <c r="BP101" s="421">
        <v>3639803</v>
      </c>
      <c r="BQ101" s="421">
        <v>1163250</v>
      </c>
      <c r="BR101" s="421">
        <v>2606864.8577143773</v>
      </c>
      <c r="BS101" s="421">
        <v>98405.03850020409</v>
      </c>
      <c r="BT101" s="421">
        <v>187240.83452947697</v>
      </c>
      <c r="BU101" s="421">
        <v>1470501.8591478586</v>
      </c>
      <c r="BV101" s="421">
        <v>2123241.615270677</v>
      </c>
      <c r="BW101" s="421">
        <v>3781112.1653880496</v>
      </c>
      <c r="BX101" s="421">
        <v>1085904.423377082</v>
      </c>
      <c r="BY101" s="421">
        <v>2130317.2442567786</v>
      </c>
      <c r="BZ101" s="419"/>
      <c r="CA101" s="421">
        <v>781250.118283494</v>
      </c>
      <c r="CB101" s="419"/>
      <c r="CC101" s="419"/>
      <c r="CD101" s="419"/>
      <c r="CE101" s="421">
        <v>2844522.725090478</v>
      </c>
      <c r="CF101" s="421">
        <v>1560283.8845192231</v>
      </c>
      <c r="CG101" s="421">
        <v>2020512.0110071711</v>
      </c>
      <c r="CH101" s="421">
        <v>-260828.57703982416</v>
      </c>
      <c r="CI101" s="419"/>
      <c r="CJ101" s="421">
        <v>11002456.427951464</v>
      </c>
      <c r="CK101" s="421">
        <v>-1563440</v>
      </c>
      <c r="CL101" s="421">
        <v>616298.594</v>
      </c>
      <c r="CM101" s="421">
        <v>1318934.1375880002</v>
      </c>
      <c r="CN101" s="421">
        <v>-702635.5435880001</v>
      </c>
      <c r="CO101" s="419"/>
      <c r="CP101" s="419"/>
      <c r="CQ101" s="419"/>
      <c r="CR101" s="171">
        <v>14208</v>
      </c>
    </row>
    <row r="102" spans="1:96" ht="9.75">
      <c r="A102" s="203">
        <v>286</v>
      </c>
      <c r="B102" s="203" t="s">
        <v>158</v>
      </c>
      <c r="C102" s="421">
        <v>81187</v>
      </c>
      <c r="D102" s="419"/>
      <c r="E102" s="419"/>
      <c r="F102" s="419"/>
      <c r="G102" s="419"/>
      <c r="H102" s="500">
        <v>4291.05</v>
      </c>
      <c r="I102" s="419"/>
      <c r="J102" s="419"/>
      <c r="K102" s="419"/>
      <c r="L102" s="419"/>
      <c r="M102" s="419"/>
      <c r="N102" s="419"/>
      <c r="O102" s="419"/>
      <c r="P102" s="419"/>
      <c r="Q102" s="421">
        <v>3571</v>
      </c>
      <c r="R102" s="421">
        <v>711</v>
      </c>
      <c r="S102" s="421">
        <v>4639</v>
      </c>
      <c r="T102" s="421">
        <v>2481</v>
      </c>
      <c r="U102" s="421">
        <v>2515</v>
      </c>
      <c r="V102" s="421">
        <v>44047</v>
      </c>
      <c r="W102" s="421">
        <v>12844</v>
      </c>
      <c r="X102" s="421">
        <v>7382</v>
      </c>
      <c r="Y102" s="421">
        <v>2997</v>
      </c>
      <c r="Z102" s="419"/>
      <c r="AA102" s="419"/>
      <c r="AB102" s="419"/>
      <c r="AC102" s="419"/>
      <c r="AD102" s="419"/>
      <c r="AE102" s="422">
        <v>1.2068820080617733</v>
      </c>
      <c r="AF102" s="421">
        <v>130280333.00306341</v>
      </c>
      <c r="AG102" s="420">
        <v>5211</v>
      </c>
      <c r="AH102" s="420">
        <v>37154</v>
      </c>
      <c r="AJ102" s="420">
        <v>3558</v>
      </c>
      <c r="AK102" s="420">
        <v>0.04382475026790003</v>
      </c>
      <c r="AM102" s="420">
        <v>0</v>
      </c>
      <c r="AN102" s="420">
        <v>285</v>
      </c>
      <c r="AP102" s="420">
        <v>0</v>
      </c>
      <c r="AQ102" s="420">
        <v>0</v>
      </c>
      <c r="AR102" s="420">
        <v>2557.67</v>
      </c>
      <c r="AU102" s="420">
        <v>2901</v>
      </c>
      <c r="AV102" s="420">
        <v>23127</v>
      </c>
      <c r="AW102" s="420">
        <v>0.1254377999740563</v>
      </c>
      <c r="AY102" s="420">
        <v>0</v>
      </c>
      <c r="AZ102" s="421">
        <v>30500</v>
      </c>
      <c r="BA102" s="420">
        <v>31810</v>
      </c>
      <c r="BB102" s="420">
        <v>0.95881798176674</v>
      </c>
      <c r="BD102" s="420">
        <v>0</v>
      </c>
      <c r="BE102" s="420">
        <v>1</v>
      </c>
      <c r="BF102" s="421">
        <v>0</v>
      </c>
      <c r="BG102" s="421">
        <v>0</v>
      </c>
      <c r="BH102" s="419"/>
      <c r="BI102" s="421">
        <v>0</v>
      </c>
      <c r="BJ102" s="419"/>
      <c r="BK102" s="421">
        <v>29227.32</v>
      </c>
      <c r="BL102" s="421">
        <v>1721663</v>
      </c>
      <c r="BM102" s="421">
        <v>-4068785.9649</v>
      </c>
      <c r="BN102" s="419"/>
      <c r="BO102" s="421">
        <v>-328800.80143755674</v>
      </c>
      <c r="BP102" s="421">
        <v>6029989</v>
      </c>
      <c r="BQ102" s="421">
        <v>1994317</v>
      </c>
      <c r="BR102" s="421">
        <v>4685514.567385978</v>
      </c>
      <c r="BS102" s="421">
        <v>204266.15495217545</v>
      </c>
      <c r="BT102" s="421">
        <v>546399.8316247552</v>
      </c>
      <c r="BU102" s="421">
        <v>2240686.432876591</v>
      </c>
      <c r="BV102" s="421">
        <v>3866084.163918898</v>
      </c>
      <c r="BW102" s="421">
        <v>6539303.329367374</v>
      </c>
      <c r="BX102" s="421">
        <v>1904548.4230995</v>
      </c>
      <c r="BY102" s="421">
        <v>3386639.5899784626</v>
      </c>
      <c r="BZ102" s="419"/>
      <c r="CA102" s="421">
        <v>255481.909616975</v>
      </c>
      <c r="CB102" s="419"/>
      <c r="CC102" s="419"/>
      <c r="CD102" s="419"/>
      <c r="CE102" s="421">
        <v>4234185.533103547</v>
      </c>
      <c r="CF102" s="421">
        <v>2571912.5844395114</v>
      </c>
      <c r="CG102" s="421">
        <v>3231551.114438286</v>
      </c>
      <c r="CH102" s="421">
        <v>-410311.4972725099</v>
      </c>
      <c r="CI102" s="419"/>
      <c r="CJ102" s="421">
        <v>15182807.015760591</v>
      </c>
      <c r="CK102" s="421">
        <v>-6781361</v>
      </c>
      <c r="CL102" s="421">
        <v>1270603.51</v>
      </c>
      <c r="CM102" s="421">
        <v>1429395.4137599997</v>
      </c>
      <c r="CN102" s="421">
        <v>-158791.90375999967</v>
      </c>
      <c r="CO102" s="419"/>
      <c r="CP102" s="419"/>
      <c r="CQ102" s="419"/>
      <c r="CR102" s="171">
        <v>21424</v>
      </c>
    </row>
    <row r="103" spans="1:96" ht="9.75">
      <c r="A103" s="203">
        <v>287</v>
      </c>
      <c r="B103" s="203" t="s">
        <v>159</v>
      </c>
      <c r="C103" s="421">
        <v>6404</v>
      </c>
      <c r="D103" s="419"/>
      <c r="E103" s="419"/>
      <c r="F103" s="419"/>
      <c r="G103" s="419"/>
      <c r="H103" s="500">
        <v>4291.05</v>
      </c>
      <c r="I103" s="419"/>
      <c r="J103" s="419"/>
      <c r="K103" s="419"/>
      <c r="L103" s="419"/>
      <c r="M103" s="419"/>
      <c r="N103" s="419"/>
      <c r="O103" s="419"/>
      <c r="P103" s="419"/>
      <c r="Q103" s="421">
        <v>274</v>
      </c>
      <c r="R103" s="421">
        <v>50</v>
      </c>
      <c r="S103" s="421">
        <v>345</v>
      </c>
      <c r="T103" s="421">
        <v>147</v>
      </c>
      <c r="U103" s="421">
        <v>146</v>
      </c>
      <c r="V103" s="421">
        <v>3092</v>
      </c>
      <c r="W103" s="421">
        <v>1270</v>
      </c>
      <c r="X103" s="421">
        <v>728</v>
      </c>
      <c r="Y103" s="421">
        <v>352</v>
      </c>
      <c r="Z103" s="419"/>
      <c r="AA103" s="419"/>
      <c r="AB103" s="419"/>
      <c r="AC103" s="419"/>
      <c r="AD103" s="419"/>
      <c r="AE103" s="422">
        <v>1.2392161613848494</v>
      </c>
      <c r="AF103" s="421">
        <v>10551785.282898141</v>
      </c>
      <c r="AG103" s="420">
        <v>164</v>
      </c>
      <c r="AH103" s="420">
        <v>2728</v>
      </c>
      <c r="AJ103" s="420">
        <v>276</v>
      </c>
      <c r="AK103" s="420">
        <v>0.043098063710181135</v>
      </c>
      <c r="AM103" s="420">
        <v>3</v>
      </c>
      <c r="AN103" s="420">
        <v>3481</v>
      </c>
      <c r="AP103" s="420">
        <v>0</v>
      </c>
      <c r="AQ103" s="420">
        <v>0</v>
      </c>
      <c r="AR103" s="420">
        <v>683.24</v>
      </c>
      <c r="AU103" s="420">
        <v>247</v>
      </c>
      <c r="AV103" s="420">
        <v>1554</v>
      </c>
      <c r="AW103" s="420">
        <v>0.15894465894465895</v>
      </c>
      <c r="AY103" s="420">
        <v>0.5621</v>
      </c>
      <c r="AZ103" s="421">
        <v>2396</v>
      </c>
      <c r="BA103" s="420">
        <v>2561</v>
      </c>
      <c r="BB103" s="420">
        <v>0.935572042171027</v>
      </c>
      <c r="BD103" s="420">
        <v>0</v>
      </c>
      <c r="BE103" s="420">
        <v>0</v>
      </c>
      <c r="BF103" s="421">
        <v>0</v>
      </c>
      <c r="BG103" s="421">
        <v>0</v>
      </c>
      <c r="BH103" s="419"/>
      <c r="BI103" s="421">
        <v>0</v>
      </c>
      <c r="BJ103" s="419"/>
      <c r="BK103" s="421">
        <v>2305.44</v>
      </c>
      <c r="BL103" s="421">
        <v>-114657</v>
      </c>
      <c r="BM103" s="421">
        <v>-83116.9775</v>
      </c>
      <c r="BN103" s="419"/>
      <c r="BO103" s="421">
        <v>168304.4416630827</v>
      </c>
      <c r="BP103" s="421">
        <v>692802</v>
      </c>
      <c r="BQ103" s="421">
        <v>228414</v>
      </c>
      <c r="BR103" s="421">
        <v>568548.2001782603</v>
      </c>
      <c r="BS103" s="421">
        <v>30177.065317712404</v>
      </c>
      <c r="BT103" s="421">
        <v>84240.24277662033</v>
      </c>
      <c r="BU103" s="421">
        <v>255219.49443637565</v>
      </c>
      <c r="BV103" s="421">
        <v>392060.7792299144</v>
      </c>
      <c r="BW103" s="421">
        <v>659173.8744729864</v>
      </c>
      <c r="BX103" s="421">
        <v>219634.1354778587</v>
      </c>
      <c r="BY103" s="421">
        <v>347455.59014017653</v>
      </c>
      <c r="BZ103" s="419"/>
      <c r="CA103" s="421">
        <v>-11820.749207567504</v>
      </c>
      <c r="CB103" s="419"/>
      <c r="CC103" s="419"/>
      <c r="CD103" s="419"/>
      <c r="CE103" s="421">
        <v>449304.1622001561</v>
      </c>
      <c r="CF103" s="421">
        <v>255308.97752183783</v>
      </c>
      <c r="CG103" s="421">
        <v>307713.54488026846</v>
      </c>
      <c r="CH103" s="421">
        <v>-28748.72919256855</v>
      </c>
      <c r="CI103" s="419"/>
      <c r="CJ103" s="421">
        <v>3953783.3528575613</v>
      </c>
      <c r="CK103" s="421">
        <v>171574</v>
      </c>
      <c r="CL103" s="421">
        <v>824588.143</v>
      </c>
      <c r="CM103" s="421">
        <v>99859.748</v>
      </c>
      <c r="CN103" s="421">
        <v>724728.395</v>
      </c>
      <c r="CO103" s="419"/>
      <c r="CP103" s="419"/>
      <c r="CQ103" s="419"/>
      <c r="CR103" s="171">
        <v>1426</v>
      </c>
    </row>
    <row r="104" spans="1:96" ht="9.75">
      <c r="A104" s="203">
        <v>288</v>
      </c>
      <c r="B104" s="203" t="s">
        <v>160</v>
      </c>
      <c r="C104" s="421">
        <v>6416</v>
      </c>
      <c r="D104" s="419"/>
      <c r="E104" s="419"/>
      <c r="F104" s="419"/>
      <c r="G104" s="419"/>
      <c r="H104" s="500">
        <v>4291.05</v>
      </c>
      <c r="I104" s="419"/>
      <c r="J104" s="419"/>
      <c r="K104" s="419"/>
      <c r="L104" s="419"/>
      <c r="M104" s="419"/>
      <c r="N104" s="419"/>
      <c r="O104" s="419"/>
      <c r="P104" s="419"/>
      <c r="Q104" s="421">
        <v>359</v>
      </c>
      <c r="R104" s="421">
        <v>67</v>
      </c>
      <c r="S104" s="421">
        <v>498</v>
      </c>
      <c r="T104" s="421">
        <v>246</v>
      </c>
      <c r="U104" s="421">
        <v>225</v>
      </c>
      <c r="V104" s="421">
        <v>3348</v>
      </c>
      <c r="W104" s="421">
        <v>882</v>
      </c>
      <c r="X104" s="421">
        <v>515</v>
      </c>
      <c r="Y104" s="421">
        <v>276</v>
      </c>
      <c r="Z104" s="419"/>
      <c r="AA104" s="419"/>
      <c r="AB104" s="419"/>
      <c r="AC104" s="419"/>
      <c r="AD104" s="419"/>
      <c r="AE104" s="422">
        <v>0.8689372700591285</v>
      </c>
      <c r="AF104" s="421">
        <v>7412766.735662763</v>
      </c>
      <c r="AG104" s="420">
        <v>178</v>
      </c>
      <c r="AH104" s="420">
        <v>3013</v>
      </c>
      <c r="AJ104" s="420">
        <v>244</v>
      </c>
      <c r="AK104" s="420">
        <v>0.038029925187032416</v>
      </c>
      <c r="AM104" s="420">
        <v>3</v>
      </c>
      <c r="AN104" s="420">
        <v>4942</v>
      </c>
      <c r="AP104" s="420">
        <v>0</v>
      </c>
      <c r="AQ104" s="420">
        <v>0</v>
      </c>
      <c r="AR104" s="420">
        <v>712.91</v>
      </c>
      <c r="AU104" s="420">
        <v>230</v>
      </c>
      <c r="AV104" s="420">
        <v>1852</v>
      </c>
      <c r="AW104" s="420">
        <v>0.12419006479481641</v>
      </c>
      <c r="AY104" s="420">
        <v>0</v>
      </c>
      <c r="AZ104" s="421">
        <v>2443</v>
      </c>
      <c r="BA104" s="420">
        <v>2861</v>
      </c>
      <c r="BB104" s="420">
        <v>0.8538972387277176</v>
      </c>
      <c r="BD104" s="420">
        <v>0</v>
      </c>
      <c r="BE104" s="420">
        <v>0</v>
      </c>
      <c r="BF104" s="421">
        <v>0</v>
      </c>
      <c r="BG104" s="421">
        <v>0</v>
      </c>
      <c r="BH104" s="419"/>
      <c r="BI104" s="421">
        <v>0</v>
      </c>
      <c r="BJ104" s="419"/>
      <c r="BK104" s="421">
        <v>2309.7599999999998</v>
      </c>
      <c r="BL104" s="421">
        <v>-32538</v>
      </c>
      <c r="BM104" s="421">
        <v>-61944.5596</v>
      </c>
      <c r="BN104" s="419"/>
      <c r="BO104" s="421">
        <v>-40340.352658394724</v>
      </c>
      <c r="BP104" s="421">
        <v>575682</v>
      </c>
      <c r="BQ104" s="421">
        <v>200208</v>
      </c>
      <c r="BR104" s="421">
        <v>498934.73935790296</v>
      </c>
      <c r="BS104" s="421">
        <v>26028.434395778844</v>
      </c>
      <c r="BT104" s="421">
        <v>65840.18374348737</v>
      </c>
      <c r="BU104" s="421">
        <v>210501.86059898874</v>
      </c>
      <c r="BV104" s="421">
        <v>389555.4606137078</v>
      </c>
      <c r="BW104" s="421">
        <v>647069.5953866849</v>
      </c>
      <c r="BX104" s="421">
        <v>190445.68935750786</v>
      </c>
      <c r="BY104" s="421">
        <v>321821.6558431388</v>
      </c>
      <c r="BZ104" s="419"/>
      <c r="CA104" s="421">
        <v>-76083.51905566148</v>
      </c>
      <c r="CB104" s="419"/>
      <c r="CC104" s="419"/>
      <c r="CD104" s="419"/>
      <c r="CE104" s="421">
        <v>427756.4741443714</v>
      </c>
      <c r="CF104" s="421">
        <v>252190.36591983723</v>
      </c>
      <c r="CG104" s="421">
        <v>310444.06988647836</v>
      </c>
      <c r="CH104" s="421">
        <v>-27557.635434109055</v>
      </c>
      <c r="CI104" s="419"/>
      <c r="CJ104" s="421">
        <v>3714592.3290153053</v>
      </c>
      <c r="CK104" s="421">
        <v>132865</v>
      </c>
      <c r="CL104" s="421">
        <v>46203.764</v>
      </c>
      <c r="CM104" s="421">
        <v>682921.4408</v>
      </c>
      <c r="CN104" s="421">
        <v>-636717.6768</v>
      </c>
      <c r="CO104" s="419"/>
      <c r="CP104" s="419"/>
      <c r="CQ104" s="419"/>
      <c r="CR104" s="171">
        <v>1982</v>
      </c>
    </row>
    <row r="105" spans="1:96" ht="9.75">
      <c r="A105" s="203">
        <v>290</v>
      </c>
      <c r="B105" s="203" t="s">
        <v>161</v>
      </c>
      <c r="C105" s="421">
        <v>8042</v>
      </c>
      <c r="D105" s="419"/>
      <c r="E105" s="419"/>
      <c r="F105" s="419"/>
      <c r="G105" s="419"/>
      <c r="H105" s="500">
        <v>4291.05</v>
      </c>
      <c r="I105" s="419"/>
      <c r="J105" s="419"/>
      <c r="K105" s="419"/>
      <c r="L105" s="419"/>
      <c r="M105" s="419"/>
      <c r="N105" s="419"/>
      <c r="O105" s="419"/>
      <c r="P105" s="419"/>
      <c r="Q105" s="421">
        <v>256</v>
      </c>
      <c r="R105" s="421">
        <v>50</v>
      </c>
      <c r="S105" s="421">
        <v>401</v>
      </c>
      <c r="T105" s="421">
        <v>239</v>
      </c>
      <c r="U105" s="421">
        <v>192</v>
      </c>
      <c r="V105" s="421">
        <v>3878</v>
      </c>
      <c r="W105" s="421">
        <v>1696</v>
      </c>
      <c r="X105" s="421">
        <v>961</v>
      </c>
      <c r="Y105" s="421">
        <v>369</v>
      </c>
      <c r="Z105" s="419"/>
      <c r="AA105" s="419"/>
      <c r="AB105" s="419"/>
      <c r="AC105" s="419"/>
      <c r="AD105" s="419"/>
      <c r="AE105" s="422">
        <v>1.5346386225843553</v>
      </c>
      <c r="AF105" s="421">
        <v>16409590.58033993</v>
      </c>
      <c r="AG105" s="420">
        <v>448</v>
      </c>
      <c r="AH105" s="420">
        <v>3310</v>
      </c>
      <c r="AJ105" s="420">
        <v>186</v>
      </c>
      <c r="AK105" s="420">
        <v>0.023128574981347922</v>
      </c>
      <c r="AM105" s="420">
        <v>0</v>
      </c>
      <c r="AN105" s="420">
        <v>4</v>
      </c>
      <c r="AP105" s="420">
        <v>0</v>
      </c>
      <c r="AQ105" s="420">
        <v>0</v>
      </c>
      <c r="AR105" s="420">
        <v>4806.43</v>
      </c>
      <c r="AU105" s="420">
        <v>218</v>
      </c>
      <c r="AV105" s="420">
        <v>1906</v>
      </c>
      <c r="AW105" s="420">
        <v>0.11437565582371459</v>
      </c>
      <c r="AY105" s="420">
        <v>1.3682</v>
      </c>
      <c r="AZ105" s="421">
        <v>2736</v>
      </c>
      <c r="BA105" s="420">
        <v>2772</v>
      </c>
      <c r="BB105" s="420">
        <v>0.987012987012987</v>
      </c>
      <c r="BD105" s="420">
        <v>0</v>
      </c>
      <c r="BE105" s="420">
        <v>0</v>
      </c>
      <c r="BF105" s="421">
        <v>0</v>
      </c>
      <c r="BG105" s="421">
        <v>0</v>
      </c>
      <c r="BH105" s="419"/>
      <c r="BI105" s="421">
        <v>0</v>
      </c>
      <c r="BJ105" s="419"/>
      <c r="BK105" s="421">
        <v>2895.12</v>
      </c>
      <c r="BL105" s="421">
        <v>576522</v>
      </c>
      <c r="BM105" s="421">
        <v>-202301.31</v>
      </c>
      <c r="BN105" s="419"/>
      <c r="BO105" s="421">
        <v>45840.17907136306</v>
      </c>
      <c r="BP105" s="421">
        <v>879743</v>
      </c>
      <c r="BQ105" s="421">
        <v>272146</v>
      </c>
      <c r="BR105" s="421">
        <v>703979.2439260354</v>
      </c>
      <c r="BS105" s="421">
        <v>36783.39677402133</v>
      </c>
      <c r="BT105" s="421">
        <v>141222.52031815654</v>
      </c>
      <c r="BU105" s="421">
        <v>373179.4735321675</v>
      </c>
      <c r="BV105" s="421">
        <v>459507.82671199803</v>
      </c>
      <c r="BW105" s="421">
        <v>735798.274178321</v>
      </c>
      <c r="BX105" s="421">
        <v>213856.4882541266</v>
      </c>
      <c r="BY105" s="421">
        <v>397634.08734254126</v>
      </c>
      <c r="BZ105" s="419"/>
      <c r="CA105" s="421">
        <v>37511.5938091742</v>
      </c>
      <c r="CB105" s="419"/>
      <c r="CC105" s="419"/>
      <c r="CD105" s="419"/>
      <c r="CE105" s="421">
        <v>536682.6034845845</v>
      </c>
      <c r="CF105" s="421">
        <v>280999.23511552333</v>
      </c>
      <c r="CG105" s="421">
        <v>343445.09329517995</v>
      </c>
      <c r="CH105" s="421">
        <v>-33437.55627439483</v>
      </c>
      <c r="CI105" s="419"/>
      <c r="CJ105" s="421">
        <v>5972704.995732189</v>
      </c>
      <c r="CK105" s="421">
        <v>-597259</v>
      </c>
      <c r="CL105" s="421">
        <v>22356.66</v>
      </c>
      <c r="CM105" s="421">
        <v>93897.972</v>
      </c>
      <c r="CN105" s="421">
        <v>-71541.31199999999</v>
      </c>
      <c r="CO105" s="419"/>
      <c r="CP105" s="419"/>
      <c r="CQ105" s="419"/>
      <c r="CR105" s="171">
        <v>1576</v>
      </c>
    </row>
    <row r="106" spans="1:96" ht="9.75">
      <c r="A106" s="203">
        <v>291</v>
      </c>
      <c r="B106" s="203" t="s">
        <v>162</v>
      </c>
      <c r="C106" s="421">
        <v>2161</v>
      </c>
      <c r="D106" s="419"/>
      <c r="E106" s="419"/>
      <c r="F106" s="419"/>
      <c r="G106" s="419"/>
      <c r="H106" s="500">
        <v>4291.05</v>
      </c>
      <c r="I106" s="419"/>
      <c r="J106" s="419"/>
      <c r="K106" s="419"/>
      <c r="L106" s="419"/>
      <c r="M106" s="419"/>
      <c r="N106" s="419"/>
      <c r="O106" s="419"/>
      <c r="P106" s="419"/>
      <c r="Q106" s="421">
        <v>63</v>
      </c>
      <c r="R106" s="421">
        <v>12</v>
      </c>
      <c r="S106" s="421">
        <v>72</v>
      </c>
      <c r="T106" s="421">
        <v>43</v>
      </c>
      <c r="U106" s="421">
        <v>49</v>
      </c>
      <c r="V106" s="421">
        <v>973</v>
      </c>
      <c r="W106" s="421">
        <v>486</v>
      </c>
      <c r="X106" s="421">
        <v>322</v>
      </c>
      <c r="Y106" s="421">
        <v>141</v>
      </c>
      <c r="Z106" s="419"/>
      <c r="AA106" s="419"/>
      <c r="AB106" s="419"/>
      <c r="AC106" s="419"/>
      <c r="AD106" s="419"/>
      <c r="AE106" s="422">
        <v>1.6624889784421235</v>
      </c>
      <c r="AF106" s="421">
        <v>4776844.387313372</v>
      </c>
      <c r="AG106" s="420">
        <v>105</v>
      </c>
      <c r="AH106" s="420">
        <v>805</v>
      </c>
      <c r="AJ106" s="420">
        <v>22</v>
      </c>
      <c r="AK106" s="420">
        <v>0.01018047200370199</v>
      </c>
      <c r="AM106" s="420">
        <v>0</v>
      </c>
      <c r="AN106" s="420">
        <v>4</v>
      </c>
      <c r="AP106" s="420">
        <v>3</v>
      </c>
      <c r="AQ106" s="420">
        <v>164</v>
      </c>
      <c r="AR106" s="420">
        <v>660.93</v>
      </c>
      <c r="AU106" s="420">
        <v>63</v>
      </c>
      <c r="AV106" s="420">
        <v>483</v>
      </c>
      <c r="AW106" s="420">
        <v>0.13043478260869565</v>
      </c>
      <c r="AY106" s="420">
        <v>0.8134</v>
      </c>
      <c r="AZ106" s="421">
        <v>594</v>
      </c>
      <c r="BA106" s="420">
        <v>703</v>
      </c>
      <c r="BB106" s="420">
        <v>0.844950213371266</v>
      </c>
      <c r="BD106" s="420">
        <v>0</v>
      </c>
      <c r="BE106" s="420">
        <v>2</v>
      </c>
      <c r="BF106" s="421">
        <v>0</v>
      </c>
      <c r="BG106" s="421">
        <v>0</v>
      </c>
      <c r="BH106" s="419"/>
      <c r="BI106" s="421">
        <v>0</v>
      </c>
      <c r="BJ106" s="419"/>
      <c r="BK106" s="421">
        <v>777.9599999999999</v>
      </c>
      <c r="BL106" s="421">
        <v>41818</v>
      </c>
      <c r="BM106" s="421">
        <v>-63606.3</v>
      </c>
      <c r="BN106" s="419"/>
      <c r="BO106" s="421">
        <v>7533.050449972972</v>
      </c>
      <c r="BP106" s="421">
        <v>263880</v>
      </c>
      <c r="BQ106" s="421">
        <v>73319</v>
      </c>
      <c r="BR106" s="421">
        <v>170391.72029912568</v>
      </c>
      <c r="BS106" s="421">
        <v>10287.71598803778</v>
      </c>
      <c r="BT106" s="421">
        <v>30345.713254875387</v>
      </c>
      <c r="BU106" s="421">
        <v>102649.1409805688</v>
      </c>
      <c r="BV106" s="421">
        <v>114930.21923193669</v>
      </c>
      <c r="BW106" s="421">
        <v>197835.3142036988</v>
      </c>
      <c r="BX106" s="421">
        <v>57829.09509328805</v>
      </c>
      <c r="BY106" s="421">
        <v>105456.41620269901</v>
      </c>
      <c r="BZ106" s="419"/>
      <c r="CA106" s="421">
        <v>-10840.723120772134</v>
      </c>
      <c r="CB106" s="419"/>
      <c r="CC106" s="419"/>
      <c r="CD106" s="419"/>
      <c r="CE106" s="421">
        <v>133090.2622624692</v>
      </c>
      <c r="CF106" s="421">
        <v>77860.17546849338</v>
      </c>
      <c r="CG106" s="421">
        <v>93796.92052721372</v>
      </c>
      <c r="CH106" s="421">
        <v>-9758.755105206246</v>
      </c>
      <c r="CI106" s="419"/>
      <c r="CJ106" s="421">
        <v>1424915.1806658802</v>
      </c>
      <c r="CK106" s="421">
        <v>-106050</v>
      </c>
      <c r="CL106" s="421">
        <v>7452.22</v>
      </c>
      <c r="CM106" s="421">
        <v>19375.772</v>
      </c>
      <c r="CN106" s="421">
        <v>-11923.552</v>
      </c>
      <c r="CO106" s="419"/>
      <c r="CP106" s="419"/>
      <c r="CQ106" s="419"/>
      <c r="CR106" s="171">
        <v>344</v>
      </c>
    </row>
    <row r="107" spans="1:96" ht="9.75">
      <c r="A107" s="203">
        <v>297</v>
      </c>
      <c r="B107" s="203" t="s">
        <v>163</v>
      </c>
      <c r="C107" s="421">
        <v>120210</v>
      </c>
      <c r="D107" s="419"/>
      <c r="E107" s="419"/>
      <c r="F107" s="419"/>
      <c r="G107" s="419"/>
      <c r="H107" s="500">
        <v>4291.05</v>
      </c>
      <c r="I107" s="419"/>
      <c r="J107" s="419"/>
      <c r="K107" s="419"/>
      <c r="L107" s="419"/>
      <c r="M107" s="419"/>
      <c r="N107" s="419"/>
      <c r="O107" s="419"/>
      <c r="P107" s="419"/>
      <c r="Q107" s="421">
        <v>6449</v>
      </c>
      <c r="R107" s="421">
        <v>1207</v>
      </c>
      <c r="S107" s="421">
        <v>7370</v>
      </c>
      <c r="T107" s="421">
        <v>3573</v>
      </c>
      <c r="U107" s="421">
        <v>3751</v>
      </c>
      <c r="V107" s="421">
        <v>71758</v>
      </c>
      <c r="W107" s="421">
        <v>15051</v>
      </c>
      <c r="X107" s="421">
        <v>7894</v>
      </c>
      <c r="Y107" s="421">
        <v>3157</v>
      </c>
      <c r="Z107" s="419"/>
      <c r="AA107" s="419"/>
      <c r="AB107" s="419"/>
      <c r="AC107" s="419"/>
      <c r="AD107" s="419"/>
      <c r="AE107" s="422">
        <v>1.2137225240458287</v>
      </c>
      <c r="AF107" s="421">
        <v>193993670.95389622</v>
      </c>
      <c r="AG107" s="420">
        <v>7383</v>
      </c>
      <c r="AH107" s="420">
        <v>56808</v>
      </c>
      <c r="AJ107" s="420">
        <v>5095</v>
      </c>
      <c r="AK107" s="420">
        <v>0.04238416105149322</v>
      </c>
      <c r="AM107" s="420">
        <v>0</v>
      </c>
      <c r="AN107" s="420">
        <v>130</v>
      </c>
      <c r="AP107" s="420">
        <v>3</v>
      </c>
      <c r="AQ107" s="420">
        <v>823</v>
      </c>
      <c r="AR107" s="420">
        <v>3241.02</v>
      </c>
      <c r="AU107" s="420">
        <v>3352</v>
      </c>
      <c r="AV107" s="420">
        <v>35987</v>
      </c>
      <c r="AW107" s="420">
        <v>0.0931447467140912</v>
      </c>
      <c r="AY107" s="420">
        <v>0</v>
      </c>
      <c r="AZ107" s="421">
        <v>53394</v>
      </c>
      <c r="BA107" s="420">
        <v>51076</v>
      </c>
      <c r="BB107" s="420">
        <v>1.0453833503015115</v>
      </c>
      <c r="BD107" s="420">
        <v>0</v>
      </c>
      <c r="BE107" s="420">
        <v>1</v>
      </c>
      <c r="BF107" s="421">
        <v>0</v>
      </c>
      <c r="BG107" s="421">
        <v>0</v>
      </c>
      <c r="BH107" s="419"/>
      <c r="BI107" s="421">
        <v>0</v>
      </c>
      <c r="BJ107" s="419"/>
      <c r="BK107" s="421">
        <v>43275.6</v>
      </c>
      <c r="BL107" s="421">
        <v>344001</v>
      </c>
      <c r="BM107" s="421">
        <v>-10282065.68565</v>
      </c>
      <c r="BN107" s="419"/>
      <c r="BO107" s="421">
        <v>568576.9896894507</v>
      </c>
      <c r="BP107" s="421">
        <v>8192552</v>
      </c>
      <c r="BQ107" s="421">
        <v>2780481</v>
      </c>
      <c r="BR107" s="421">
        <v>6685946.670357633</v>
      </c>
      <c r="BS107" s="421">
        <v>274340.2053332768</v>
      </c>
      <c r="BT107" s="421">
        <v>542984.4859595057</v>
      </c>
      <c r="BU107" s="421">
        <v>3006730.6654707086</v>
      </c>
      <c r="BV107" s="421">
        <v>6029936.960660052</v>
      </c>
      <c r="BW107" s="421">
        <v>8709832.970961055</v>
      </c>
      <c r="BX107" s="421">
        <v>3071318.894731569</v>
      </c>
      <c r="BY107" s="421">
        <v>5163829.576663302</v>
      </c>
      <c r="BZ107" s="419"/>
      <c r="CA107" s="421">
        <v>728631.8536023047</v>
      </c>
      <c r="CB107" s="419"/>
      <c r="CC107" s="419"/>
      <c r="CD107" s="419"/>
      <c r="CE107" s="421">
        <v>6676813.103969116</v>
      </c>
      <c r="CF107" s="421">
        <v>4176087.9500834094</v>
      </c>
      <c r="CG107" s="421">
        <v>5206150.970183611</v>
      </c>
      <c r="CH107" s="421">
        <v>-554861.3676304346</v>
      </c>
      <c r="CI107" s="419"/>
      <c r="CJ107" s="421">
        <v>36632126.067751825</v>
      </c>
      <c r="CK107" s="421">
        <v>-1775798</v>
      </c>
      <c r="CL107" s="421">
        <v>1410779.7681999998</v>
      </c>
      <c r="CM107" s="421">
        <v>4526789.930796001</v>
      </c>
      <c r="CN107" s="421">
        <v>-3116010.1625960013</v>
      </c>
      <c r="CO107" s="419"/>
      <c r="CP107" s="419"/>
      <c r="CQ107" s="419"/>
      <c r="CR107" s="171">
        <v>40718</v>
      </c>
    </row>
    <row r="108" spans="1:96" ht="9.75">
      <c r="A108" s="203">
        <v>300</v>
      </c>
      <c r="B108" s="203" t="s">
        <v>164</v>
      </c>
      <c r="C108" s="421">
        <v>3534</v>
      </c>
      <c r="D108" s="419"/>
      <c r="E108" s="419"/>
      <c r="F108" s="419"/>
      <c r="G108" s="419"/>
      <c r="H108" s="500">
        <v>4291.05</v>
      </c>
      <c r="I108" s="419"/>
      <c r="J108" s="419"/>
      <c r="K108" s="419"/>
      <c r="L108" s="419"/>
      <c r="M108" s="419"/>
      <c r="N108" s="419"/>
      <c r="O108" s="419"/>
      <c r="P108" s="419"/>
      <c r="Q108" s="421">
        <v>156</v>
      </c>
      <c r="R108" s="421">
        <v>25</v>
      </c>
      <c r="S108" s="421">
        <v>215</v>
      </c>
      <c r="T108" s="421">
        <v>132</v>
      </c>
      <c r="U108" s="421">
        <v>136</v>
      </c>
      <c r="V108" s="421">
        <v>1702</v>
      </c>
      <c r="W108" s="421">
        <v>604</v>
      </c>
      <c r="X108" s="421">
        <v>363</v>
      </c>
      <c r="Y108" s="421">
        <v>201</v>
      </c>
      <c r="Z108" s="419"/>
      <c r="AA108" s="419"/>
      <c r="AB108" s="419"/>
      <c r="AC108" s="419"/>
      <c r="AD108" s="419"/>
      <c r="AE108" s="422">
        <v>1.5062072691256434</v>
      </c>
      <c r="AF108" s="421">
        <v>7077483.021115063</v>
      </c>
      <c r="AG108" s="420">
        <v>112</v>
      </c>
      <c r="AH108" s="420">
        <v>1463</v>
      </c>
      <c r="AJ108" s="420">
        <v>68</v>
      </c>
      <c r="AK108" s="420">
        <v>0.019241652518392757</v>
      </c>
      <c r="AM108" s="420">
        <v>0</v>
      </c>
      <c r="AN108" s="420">
        <v>4</v>
      </c>
      <c r="AP108" s="420">
        <v>0</v>
      </c>
      <c r="AQ108" s="420">
        <v>0</v>
      </c>
      <c r="AR108" s="420">
        <v>462.14</v>
      </c>
      <c r="AU108" s="420">
        <v>119</v>
      </c>
      <c r="AV108" s="420">
        <v>946</v>
      </c>
      <c r="AW108" s="420">
        <v>0.12579281183932348</v>
      </c>
      <c r="AY108" s="420">
        <v>0</v>
      </c>
      <c r="AZ108" s="421">
        <v>1278</v>
      </c>
      <c r="BA108" s="420">
        <v>1375</v>
      </c>
      <c r="BB108" s="420">
        <v>0.9294545454545454</v>
      </c>
      <c r="BD108" s="420">
        <v>0</v>
      </c>
      <c r="BE108" s="420">
        <v>0</v>
      </c>
      <c r="BF108" s="421">
        <v>0</v>
      </c>
      <c r="BG108" s="421">
        <v>0</v>
      </c>
      <c r="BH108" s="419"/>
      <c r="BI108" s="421">
        <v>0</v>
      </c>
      <c r="BJ108" s="419"/>
      <c r="BK108" s="421">
        <v>1272.24</v>
      </c>
      <c r="BL108" s="421">
        <v>-28763</v>
      </c>
      <c r="BM108" s="421">
        <v>-58076.955</v>
      </c>
      <c r="BN108" s="419"/>
      <c r="BO108" s="421">
        <v>43572.96139998175</v>
      </c>
      <c r="BP108" s="421">
        <v>402441</v>
      </c>
      <c r="BQ108" s="421">
        <v>120659</v>
      </c>
      <c r="BR108" s="421">
        <v>305156.2929916715</v>
      </c>
      <c r="BS108" s="421">
        <v>18450.74644536792</v>
      </c>
      <c r="BT108" s="421">
        <v>1795.9278249640176</v>
      </c>
      <c r="BU108" s="421">
        <v>137432.4563507495</v>
      </c>
      <c r="BV108" s="421">
        <v>220951.71960317195</v>
      </c>
      <c r="BW108" s="421">
        <v>351056.0725939158</v>
      </c>
      <c r="BX108" s="421">
        <v>102632.65252673901</v>
      </c>
      <c r="BY108" s="421">
        <v>178955.60971562</v>
      </c>
      <c r="BZ108" s="419"/>
      <c r="CA108" s="421">
        <v>-10589.180504435826</v>
      </c>
      <c r="CB108" s="419"/>
      <c r="CC108" s="419"/>
      <c r="CD108" s="419"/>
      <c r="CE108" s="421">
        <v>245777.7770770602</v>
      </c>
      <c r="CF108" s="421">
        <v>136817.47891971437</v>
      </c>
      <c r="CG108" s="421">
        <v>168833.3518641523</v>
      </c>
      <c r="CH108" s="421">
        <v>-12761.192137644752</v>
      </c>
      <c r="CI108" s="419"/>
      <c r="CJ108" s="421">
        <v>3366277.830975563</v>
      </c>
      <c r="CK108" s="421">
        <v>819198</v>
      </c>
      <c r="CL108" s="421">
        <v>432377.8044</v>
      </c>
      <c r="CM108" s="421">
        <v>26827.992000000002</v>
      </c>
      <c r="CN108" s="421">
        <v>405549.8124</v>
      </c>
      <c r="CO108" s="419"/>
      <c r="CP108" s="419"/>
      <c r="CQ108" s="419"/>
      <c r="CR108" s="171">
        <v>894</v>
      </c>
    </row>
    <row r="109" spans="1:96" ht="9.75">
      <c r="A109" s="203">
        <v>301</v>
      </c>
      <c r="B109" s="203" t="s">
        <v>165</v>
      </c>
      <c r="C109" s="421">
        <v>20456</v>
      </c>
      <c r="D109" s="419"/>
      <c r="E109" s="419"/>
      <c r="F109" s="419"/>
      <c r="G109" s="419"/>
      <c r="H109" s="500">
        <v>4291.05</v>
      </c>
      <c r="I109" s="419"/>
      <c r="J109" s="419"/>
      <c r="K109" s="419"/>
      <c r="L109" s="419"/>
      <c r="M109" s="419"/>
      <c r="N109" s="419"/>
      <c r="O109" s="419"/>
      <c r="P109" s="419"/>
      <c r="Q109" s="421">
        <v>1007</v>
      </c>
      <c r="R109" s="421">
        <v>189</v>
      </c>
      <c r="S109" s="421">
        <v>1364</v>
      </c>
      <c r="T109" s="421">
        <v>695</v>
      </c>
      <c r="U109" s="421">
        <v>672</v>
      </c>
      <c r="V109" s="421">
        <v>10261</v>
      </c>
      <c r="W109" s="421">
        <v>3553</v>
      </c>
      <c r="X109" s="421">
        <v>1869</v>
      </c>
      <c r="Y109" s="421">
        <v>846</v>
      </c>
      <c r="Z109" s="419"/>
      <c r="AA109" s="419"/>
      <c r="AB109" s="419"/>
      <c r="AC109" s="419"/>
      <c r="AD109" s="419"/>
      <c r="AE109" s="422">
        <v>1.406946101063519</v>
      </c>
      <c r="AF109" s="421">
        <v>38267115.56787124</v>
      </c>
      <c r="AG109" s="420">
        <v>846</v>
      </c>
      <c r="AH109" s="420">
        <v>8829</v>
      </c>
      <c r="AJ109" s="420">
        <v>343</v>
      </c>
      <c r="AK109" s="420">
        <v>0.016767696519358624</v>
      </c>
      <c r="AM109" s="420">
        <v>0</v>
      </c>
      <c r="AN109" s="420">
        <v>88</v>
      </c>
      <c r="AP109" s="420">
        <v>0</v>
      </c>
      <c r="AQ109" s="420">
        <v>0</v>
      </c>
      <c r="AR109" s="420">
        <v>1724.63</v>
      </c>
      <c r="AU109" s="420">
        <v>626</v>
      </c>
      <c r="AV109" s="420">
        <v>5472</v>
      </c>
      <c r="AW109" s="420">
        <v>0.11440058479532164</v>
      </c>
      <c r="AY109" s="420">
        <v>0</v>
      </c>
      <c r="AZ109" s="421">
        <v>7188</v>
      </c>
      <c r="BA109" s="420">
        <v>8015</v>
      </c>
      <c r="BB109" s="420">
        <v>0.8968184653774174</v>
      </c>
      <c r="BD109" s="420">
        <v>0</v>
      </c>
      <c r="BE109" s="420">
        <v>0</v>
      </c>
      <c r="BF109" s="421">
        <v>0</v>
      </c>
      <c r="BG109" s="421">
        <v>0</v>
      </c>
      <c r="BH109" s="419"/>
      <c r="BI109" s="421">
        <v>0</v>
      </c>
      <c r="BJ109" s="419"/>
      <c r="BK109" s="421">
        <v>7364.16</v>
      </c>
      <c r="BL109" s="421">
        <v>-113946</v>
      </c>
      <c r="BM109" s="421">
        <v>-648158.815</v>
      </c>
      <c r="BN109" s="419"/>
      <c r="BO109" s="421">
        <v>261876.34645608068</v>
      </c>
      <c r="BP109" s="421">
        <v>2077689</v>
      </c>
      <c r="BQ109" s="421">
        <v>680804</v>
      </c>
      <c r="BR109" s="421">
        <v>1686262.0985350716</v>
      </c>
      <c r="BS109" s="421">
        <v>83240.06106929644</v>
      </c>
      <c r="BT109" s="421">
        <v>147392.0110943074</v>
      </c>
      <c r="BU109" s="421">
        <v>733409.5022579217</v>
      </c>
      <c r="BV109" s="421">
        <v>1300647.7488145032</v>
      </c>
      <c r="BW109" s="421">
        <v>1980529.4052533626</v>
      </c>
      <c r="BX109" s="421">
        <v>582317.8350698262</v>
      </c>
      <c r="BY109" s="421">
        <v>1046313.1277298393</v>
      </c>
      <c r="BZ109" s="419"/>
      <c r="CA109" s="421">
        <v>7905.22807848356</v>
      </c>
      <c r="CB109" s="419"/>
      <c r="CC109" s="419"/>
      <c r="CD109" s="419"/>
      <c r="CE109" s="421">
        <v>1428875.7360085375</v>
      </c>
      <c r="CF109" s="421">
        <v>790397.8829263955</v>
      </c>
      <c r="CG109" s="421">
        <v>975563.4916805265</v>
      </c>
      <c r="CH109" s="421">
        <v>-76578.22622407074</v>
      </c>
      <c r="CI109" s="419"/>
      <c r="CJ109" s="421">
        <v>18736853.833864056</v>
      </c>
      <c r="CK109" s="421">
        <v>-2461173</v>
      </c>
      <c r="CL109" s="421">
        <v>621813.2368000001</v>
      </c>
      <c r="CM109" s="421">
        <v>289175.94487999997</v>
      </c>
      <c r="CN109" s="421">
        <v>332637.2919200001</v>
      </c>
      <c r="CO109" s="419"/>
      <c r="CP109" s="419"/>
      <c r="CQ109" s="419"/>
      <c r="CR109" s="171">
        <v>5521</v>
      </c>
    </row>
    <row r="110" spans="1:96" ht="9.75">
      <c r="A110" s="203">
        <v>304</v>
      </c>
      <c r="B110" s="203" t="s">
        <v>166</v>
      </c>
      <c r="C110" s="421">
        <v>962</v>
      </c>
      <c r="D110" s="419"/>
      <c r="E110" s="419"/>
      <c r="F110" s="419"/>
      <c r="G110" s="419"/>
      <c r="H110" s="500">
        <v>4291.05</v>
      </c>
      <c r="I110" s="419"/>
      <c r="J110" s="419"/>
      <c r="K110" s="419"/>
      <c r="L110" s="419"/>
      <c r="M110" s="419"/>
      <c r="N110" s="419"/>
      <c r="O110" s="419"/>
      <c r="P110" s="419"/>
      <c r="Q110" s="421">
        <v>31</v>
      </c>
      <c r="R110" s="421">
        <v>9</v>
      </c>
      <c r="S110" s="421">
        <v>37</v>
      </c>
      <c r="T110" s="421">
        <v>17</v>
      </c>
      <c r="U110" s="421">
        <v>11</v>
      </c>
      <c r="V110" s="421">
        <v>480</v>
      </c>
      <c r="W110" s="421">
        <v>226</v>
      </c>
      <c r="X110" s="421">
        <v>116</v>
      </c>
      <c r="Y110" s="421">
        <v>35</v>
      </c>
      <c r="Z110" s="419"/>
      <c r="AA110" s="419"/>
      <c r="AB110" s="419"/>
      <c r="AC110" s="419"/>
      <c r="AD110" s="419"/>
      <c r="AE110" s="422">
        <v>1.1283851969608747</v>
      </c>
      <c r="AF110" s="421">
        <v>1443311.2797972194</v>
      </c>
      <c r="AG110" s="420">
        <v>38</v>
      </c>
      <c r="AH110" s="420">
        <v>388</v>
      </c>
      <c r="AJ110" s="420">
        <v>23</v>
      </c>
      <c r="AK110" s="420">
        <v>0.02390852390852391</v>
      </c>
      <c r="AM110" s="420">
        <v>0</v>
      </c>
      <c r="AN110" s="420">
        <v>13</v>
      </c>
      <c r="AP110" s="420">
        <v>1</v>
      </c>
      <c r="AQ110" s="420">
        <v>0</v>
      </c>
      <c r="AR110" s="420">
        <v>165.78</v>
      </c>
      <c r="AU110" s="420">
        <v>33</v>
      </c>
      <c r="AV110" s="420">
        <v>224</v>
      </c>
      <c r="AW110" s="420">
        <v>0.14732142857142858</v>
      </c>
      <c r="AY110" s="420">
        <v>0.5443</v>
      </c>
      <c r="AZ110" s="421">
        <v>271</v>
      </c>
      <c r="BA110" s="420">
        <v>360</v>
      </c>
      <c r="BB110" s="420">
        <v>0.7527777777777778</v>
      </c>
      <c r="BD110" s="420">
        <v>0</v>
      </c>
      <c r="BE110" s="420">
        <v>0</v>
      </c>
      <c r="BF110" s="421">
        <v>0</v>
      </c>
      <c r="BG110" s="421">
        <v>0</v>
      </c>
      <c r="BH110" s="419"/>
      <c r="BI110" s="421">
        <v>0</v>
      </c>
      <c r="BJ110" s="419"/>
      <c r="BK110" s="421">
        <v>346.32</v>
      </c>
      <c r="BL110" s="421">
        <v>14097</v>
      </c>
      <c r="BM110" s="421">
        <v>-24608.26</v>
      </c>
      <c r="BN110" s="419"/>
      <c r="BO110" s="421">
        <v>44742.655345892534</v>
      </c>
      <c r="BP110" s="421">
        <v>85842</v>
      </c>
      <c r="BQ110" s="421">
        <v>32620</v>
      </c>
      <c r="BR110" s="421">
        <v>75487.32994316822</v>
      </c>
      <c r="BS110" s="421">
        <v>4273.189155356878</v>
      </c>
      <c r="BT110" s="421">
        <v>8143.4788131842</v>
      </c>
      <c r="BU110" s="421">
        <v>29434.574132182515</v>
      </c>
      <c r="BV110" s="421">
        <v>45615.810298082986</v>
      </c>
      <c r="BW110" s="421">
        <v>79648.67830292518</v>
      </c>
      <c r="BX110" s="421">
        <v>28605.933380118007</v>
      </c>
      <c r="BY110" s="421">
        <v>43665.68596173301</v>
      </c>
      <c r="BZ110" s="419"/>
      <c r="CA110" s="421">
        <v>-4288.403771506481</v>
      </c>
      <c r="CB110" s="419"/>
      <c r="CC110" s="419"/>
      <c r="CD110" s="419"/>
      <c r="CE110" s="421">
        <v>53307.65703344457</v>
      </c>
      <c r="CF110" s="421">
        <v>33698.084041973554</v>
      </c>
      <c r="CG110" s="421">
        <v>42163.52021710131</v>
      </c>
      <c r="CH110" s="421">
        <v>-5078.257939374919</v>
      </c>
      <c r="CI110" s="419"/>
      <c r="CJ110" s="421">
        <v>165616.73159997803</v>
      </c>
      <c r="CK110" s="421">
        <v>-188510</v>
      </c>
      <c r="CL110" s="421">
        <v>7452.22</v>
      </c>
      <c r="CM110" s="421">
        <v>213133.49200000003</v>
      </c>
      <c r="CN110" s="421">
        <v>-205681.27200000003</v>
      </c>
      <c r="CO110" s="419"/>
      <c r="CP110" s="419"/>
      <c r="CQ110" s="419"/>
      <c r="CR110" s="171">
        <v>152</v>
      </c>
    </row>
    <row r="111" spans="1:96" ht="9.75">
      <c r="A111" s="203">
        <v>305</v>
      </c>
      <c r="B111" s="203" t="s">
        <v>167</v>
      </c>
      <c r="C111" s="421">
        <v>15213</v>
      </c>
      <c r="D111" s="419"/>
      <c r="E111" s="419"/>
      <c r="F111" s="419"/>
      <c r="G111" s="419"/>
      <c r="H111" s="500">
        <v>4291.05</v>
      </c>
      <c r="I111" s="419"/>
      <c r="J111" s="419"/>
      <c r="K111" s="419"/>
      <c r="L111" s="419"/>
      <c r="M111" s="419"/>
      <c r="N111" s="419"/>
      <c r="O111" s="419"/>
      <c r="P111" s="419"/>
      <c r="Q111" s="421">
        <v>753</v>
      </c>
      <c r="R111" s="421">
        <v>136</v>
      </c>
      <c r="S111" s="421">
        <v>1033</v>
      </c>
      <c r="T111" s="421">
        <v>533</v>
      </c>
      <c r="U111" s="421">
        <v>462</v>
      </c>
      <c r="V111" s="421">
        <v>7994</v>
      </c>
      <c r="W111" s="421">
        <v>2425</v>
      </c>
      <c r="X111" s="421">
        <v>1351</v>
      </c>
      <c r="Y111" s="421">
        <v>526</v>
      </c>
      <c r="Z111" s="419"/>
      <c r="AA111" s="419"/>
      <c r="AB111" s="419"/>
      <c r="AC111" s="419"/>
      <c r="AD111" s="419"/>
      <c r="AE111" s="422">
        <v>1.3972414944360547</v>
      </c>
      <c r="AF111" s="421">
        <v>28262715.90311841</v>
      </c>
      <c r="AG111" s="420">
        <v>890</v>
      </c>
      <c r="AH111" s="420">
        <v>6577</v>
      </c>
      <c r="AJ111" s="420">
        <v>396</v>
      </c>
      <c r="AK111" s="420">
        <v>0.026030368763557483</v>
      </c>
      <c r="AM111" s="420">
        <v>0</v>
      </c>
      <c r="AN111" s="420">
        <v>39</v>
      </c>
      <c r="AP111" s="420">
        <v>0</v>
      </c>
      <c r="AQ111" s="420">
        <v>0</v>
      </c>
      <c r="AR111" s="420">
        <v>4978.52</v>
      </c>
      <c r="AU111" s="420">
        <v>437</v>
      </c>
      <c r="AV111" s="420">
        <v>4025</v>
      </c>
      <c r="AW111" s="420">
        <v>0.10857142857142857</v>
      </c>
      <c r="AY111" s="420">
        <v>0.8204</v>
      </c>
      <c r="AZ111" s="421">
        <v>5993</v>
      </c>
      <c r="BA111" s="420">
        <v>5863</v>
      </c>
      <c r="BB111" s="420">
        <v>1.0221729490022173</v>
      </c>
      <c r="BD111" s="420">
        <v>0</v>
      </c>
      <c r="BE111" s="420">
        <v>6</v>
      </c>
      <c r="BF111" s="421">
        <v>0</v>
      </c>
      <c r="BG111" s="421">
        <v>0</v>
      </c>
      <c r="BH111" s="419"/>
      <c r="BI111" s="421">
        <v>0</v>
      </c>
      <c r="BJ111" s="419"/>
      <c r="BK111" s="421">
        <v>5476.679999999999</v>
      </c>
      <c r="BL111" s="421">
        <v>250403</v>
      </c>
      <c r="BM111" s="421">
        <v>-437384.8425</v>
      </c>
      <c r="BN111" s="419"/>
      <c r="BO111" s="421">
        <v>-579082.7256268188</v>
      </c>
      <c r="BP111" s="421">
        <v>1313963</v>
      </c>
      <c r="BQ111" s="421">
        <v>435634</v>
      </c>
      <c r="BR111" s="421">
        <v>1098414.486511707</v>
      </c>
      <c r="BS111" s="421">
        <v>52714.551751714826</v>
      </c>
      <c r="BT111" s="421">
        <v>141116.00218029704</v>
      </c>
      <c r="BU111" s="421">
        <v>546955.3250817208</v>
      </c>
      <c r="BV111" s="421">
        <v>838660.793254376</v>
      </c>
      <c r="BW111" s="421">
        <v>1266459.4287688755</v>
      </c>
      <c r="BX111" s="421">
        <v>388094.8259751491</v>
      </c>
      <c r="BY111" s="421">
        <v>695696.6055543876</v>
      </c>
      <c r="BZ111" s="419"/>
      <c r="CA111" s="421">
        <v>2345.9150886613643</v>
      </c>
      <c r="CB111" s="419"/>
      <c r="CC111" s="419"/>
      <c r="CD111" s="419"/>
      <c r="CE111" s="421">
        <v>928099.3717782049</v>
      </c>
      <c r="CF111" s="421">
        <v>537144.2974027033</v>
      </c>
      <c r="CG111" s="421">
        <v>667783.7833888693</v>
      </c>
      <c r="CH111" s="421">
        <v>-61328.486047328464</v>
      </c>
      <c r="CI111" s="419"/>
      <c r="CJ111" s="421">
        <v>10909287.470526412</v>
      </c>
      <c r="CK111" s="421">
        <v>-742261</v>
      </c>
      <c r="CL111" s="421">
        <v>126762.26220000001</v>
      </c>
      <c r="CM111" s="421">
        <v>216114.38</v>
      </c>
      <c r="CN111" s="421">
        <v>-89352.11779999999</v>
      </c>
      <c r="CO111" s="419"/>
      <c r="CP111" s="419"/>
      <c r="CQ111" s="419"/>
      <c r="CR111" s="171">
        <v>4073</v>
      </c>
    </row>
    <row r="112" spans="1:96" ht="9.75">
      <c r="A112" s="203">
        <v>312</v>
      </c>
      <c r="B112" s="203" t="s">
        <v>168</v>
      </c>
      <c r="C112" s="421">
        <v>1288</v>
      </c>
      <c r="D112" s="419"/>
      <c r="E112" s="419"/>
      <c r="F112" s="419"/>
      <c r="G112" s="419"/>
      <c r="H112" s="500">
        <v>4291.05</v>
      </c>
      <c r="I112" s="419"/>
      <c r="J112" s="419"/>
      <c r="K112" s="419"/>
      <c r="L112" s="419"/>
      <c r="M112" s="419"/>
      <c r="N112" s="419"/>
      <c r="O112" s="419"/>
      <c r="P112" s="419"/>
      <c r="Q112" s="421">
        <v>64</v>
      </c>
      <c r="R112" s="421">
        <v>14</v>
      </c>
      <c r="S112" s="421">
        <v>95</v>
      </c>
      <c r="T112" s="421">
        <v>40</v>
      </c>
      <c r="U112" s="421">
        <v>37</v>
      </c>
      <c r="V112" s="421">
        <v>595</v>
      </c>
      <c r="W112" s="421">
        <v>254</v>
      </c>
      <c r="X112" s="421">
        <v>136</v>
      </c>
      <c r="Y112" s="421">
        <v>53</v>
      </c>
      <c r="Z112" s="419"/>
      <c r="AA112" s="419"/>
      <c r="AB112" s="419"/>
      <c r="AC112" s="419"/>
      <c r="AD112" s="419"/>
      <c r="AE112" s="422">
        <v>1.3564605346743461</v>
      </c>
      <c r="AF112" s="421">
        <v>2323007.3321305476</v>
      </c>
      <c r="AG112" s="420">
        <v>69</v>
      </c>
      <c r="AH112" s="420">
        <v>517</v>
      </c>
      <c r="AJ112" s="420">
        <v>27</v>
      </c>
      <c r="AK112" s="420">
        <v>0.02096273291925466</v>
      </c>
      <c r="AM112" s="420">
        <v>0</v>
      </c>
      <c r="AN112" s="420">
        <v>1</v>
      </c>
      <c r="AP112" s="420">
        <v>0</v>
      </c>
      <c r="AQ112" s="420">
        <v>0</v>
      </c>
      <c r="AR112" s="420">
        <v>448.2</v>
      </c>
      <c r="AU112" s="420">
        <v>56</v>
      </c>
      <c r="AV112" s="420">
        <v>293</v>
      </c>
      <c r="AW112" s="420">
        <v>0.19112627986348124</v>
      </c>
      <c r="AY112" s="420">
        <v>0.9454</v>
      </c>
      <c r="AZ112" s="421">
        <v>456</v>
      </c>
      <c r="BA112" s="420">
        <v>437</v>
      </c>
      <c r="BB112" s="420">
        <v>1.0434782608695652</v>
      </c>
      <c r="BD112" s="420">
        <v>0</v>
      </c>
      <c r="BE112" s="420">
        <v>0</v>
      </c>
      <c r="BF112" s="421">
        <v>0</v>
      </c>
      <c r="BG112" s="421">
        <v>0</v>
      </c>
      <c r="BH112" s="419"/>
      <c r="BI112" s="421">
        <v>0</v>
      </c>
      <c r="BJ112" s="419"/>
      <c r="BK112" s="421">
        <v>463.68</v>
      </c>
      <c r="BL112" s="421">
        <v>11212</v>
      </c>
      <c r="BM112" s="421">
        <v>-33730.395</v>
      </c>
      <c r="BN112" s="419"/>
      <c r="BO112" s="421">
        <v>-17635.270867861807</v>
      </c>
      <c r="BP112" s="421">
        <v>144901</v>
      </c>
      <c r="BQ112" s="421">
        <v>45985</v>
      </c>
      <c r="BR112" s="421">
        <v>129179.66506163221</v>
      </c>
      <c r="BS112" s="421">
        <v>6978.775756307908</v>
      </c>
      <c r="BT112" s="421">
        <v>17248.587342765153</v>
      </c>
      <c r="BU112" s="421">
        <v>61124.31556323072</v>
      </c>
      <c r="BV112" s="421">
        <v>69743.67295566997</v>
      </c>
      <c r="BW112" s="421">
        <v>130961.70997997127</v>
      </c>
      <c r="BX112" s="421">
        <v>33993.843416983786</v>
      </c>
      <c r="BY112" s="421">
        <v>69898.03397201427</v>
      </c>
      <c r="BZ112" s="419"/>
      <c r="CA112" s="421">
        <v>-13878.66558077902</v>
      </c>
      <c r="CB112" s="419"/>
      <c r="CC112" s="419"/>
      <c r="CD112" s="419"/>
      <c r="CE112" s="421">
        <v>90282.75061554568</v>
      </c>
      <c r="CF112" s="421">
        <v>52029.59034981796</v>
      </c>
      <c r="CG112" s="421">
        <v>66241.14550155815</v>
      </c>
      <c r="CH112" s="421">
        <v>-5387.896220840296</v>
      </c>
      <c r="CI112" s="419"/>
      <c r="CJ112" s="421">
        <v>1035534.2778996892</v>
      </c>
      <c r="CK112" s="421">
        <v>-284203</v>
      </c>
      <c r="CL112" s="421">
        <v>70199.9124</v>
      </c>
      <c r="CM112" s="421">
        <v>7452.22</v>
      </c>
      <c r="CN112" s="421">
        <v>62747.6924</v>
      </c>
      <c r="CO112" s="419"/>
      <c r="CP112" s="419"/>
      <c r="CQ112" s="419"/>
      <c r="CR112" s="171">
        <v>317</v>
      </c>
    </row>
    <row r="113" spans="1:96" ht="9.75">
      <c r="A113" s="203">
        <v>316</v>
      </c>
      <c r="B113" s="203" t="s">
        <v>169</v>
      </c>
      <c r="C113" s="421">
        <v>4326</v>
      </c>
      <c r="D113" s="419"/>
      <c r="E113" s="419"/>
      <c r="F113" s="419"/>
      <c r="G113" s="419"/>
      <c r="H113" s="500">
        <v>4291.05</v>
      </c>
      <c r="I113" s="419"/>
      <c r="J113" s="419"/>
      <c r="K113" s="419"/>
      <c r="L113" s="419"/>
      <c r="M113" s="419"/>
      <c r="N113" s="419"/>
      <c r="O113" s="419"/>
      <c r="P113" s="419"/>
      <c r="Q113" s="421">
        <v>175</v>
      </c>
      <c r="R113" s="421">
        <v>37</v>
      </c>
      <c r="S113" s="421">
        <v>263</v>
      </c>
      <c r="T113" s="421">
        <v>150</v>
      </c>
      <c r="U113" s="421">
        <v>129</v>
      </c>
      <c r="V113" s="421">
        <v>2355</v>
      </c>
      <c r="W113" s="421">
        <v>723</v>
      </c>
      <c r="X113" s="421">
        <v>369</v>
      </c>
      <c r="Y113" s="421">
        <v>125</v>
      </c>
      <c r="Z113" s="419"/>
      <c r="AA113" s="419"/>
      <c r="AB113" s="419"/>
      <c r="AC113" s="419"/>
      <c r="AD113" s="419"/>
      <c r="AE113" s="422">
        <v>1.0050235229246087</v>
      </c>
      <c r="AF113" s="421">
        <v>5780831.295948667</v>
      </c>
      <c r="AG113" s="420">
        <v>306</v>
      </c>
      <c r="AH113" s="420">
        <v>2035</v>
      </c>
      <c r="AJ113" s="420">
        <v>153</v>
      </c>
      <c r="AK113" s="420">
        <v>0.03536754507628294</v>
      </c>
      <c r="AM113" s="420">
        <v>0</v>
      </c>
      <c r="AN113" s="420">
        <v>18</v>
      </c>
      <c r="AP113" s="420">
        <v>0</v>
      </c>
      <c r="AQ113" s="420">
        <v>0</v>
      </c>
      <c r="AR113" s="420">
        <v>256.5</v>
      </c>
      <c r="AU113" s="420">
        <v>256</v>
      </c>
      <c r="AV113" s="420">
        <v>1278</v>
      </c>
      <c r="AW113" s="420">
        <v>0.20031298904538342</v>
      </c>
      <c r="AY113" s="420">
        <v>0</v>
      </c>
      <c r="AZ113" s="421">
        <v>1473</v>
      </c>
      <c r="BA113" s="420">
        <v>1683</v>
      </c>
      <c r="BB113" s="420">
        <v>0.875222816399287</v>
      </c>
      <c r="BD113" s="420">
        <v>0</v>
      </c>
      <c r="BE113" s="420">
        <v>0</v>
      </c>
      <c r="BF113" s="421">
        <v>0</v>
      </c>
      <c r="BG113" s="421">
        <v>0</v>
      </c>
      <c r="BH113" s="419"/>
      <c r="BI113" s="421">
        <v>0</v>
      </c>
      <c r="BJ113" s="419"/>
      <c r="BK113" s="421">
        <v>1557.36</v>
      </c>
      <c r="BL113" s="421">
        <v>7835</v>
      </c>
      <c r="BM113" s="421">
        <v>-309026.66</v>
      </c>
      <c r="BN113" s="419"/>
      <c r="BO113" s="421">
        <v>-35237.641212861985</v>
      </c>
      <c r="BP113" s="421">
        <v>389680</v>
      </c>
      <c r="BQ113" s="421">
        <v>123884</v>
      </c>
      <c r="BR113" s="421">
        <v>273763.615764534</v>
      </c>
      <c r="BS113" s="421">
        <v>13590.197081574734</v>
      </c>
      <c r="BT113" s="421">
        <v>61909.680832856684</v>
      </c>
      <c r="BU113" s="421">
        <v>128987.01462709896</v>
      </c>
      <c r="BV113" s="421">
        <v>247071.45361683314</v>
      </c>
      <c r="BW113" s="421">
        <v>415674.0463340416</v>
      </c>
      <c r="BX113" s="421">
        <v>112439.5435973581</v>
      </c>
      <c r="BY113" s="421">
        <v>194656.08423247086</v>
      </c>
      <c r="BZ113" s="419"/>
      <c r="CA113" s="421">
        <v>31383.268910239327</v>
      </c>
      <c r="CB113" s="419"/>
      <c r="CC113" s="419"/>
      <c r="CD113" s="419"/>
      <c r="CE113" s="421">
        <v>267585.24522862566</v>
      </c>
      <c r="CF113" s="421">
        <v>156440.36653986745</v>
      </c>
      <c r="CG113" s="421">
        <v>194708.20627191884</v>
      </c>
      <c r="CH113" s="421">
        <v>-19174.182876316678</v>
      </c>
      <c r="CI113" s="419"/>
      <c r="CJ113" s="421">
        <v>2699141.4288402544</v>
      </c>
      <c r="CK113" s="421">
        <v>-1102722</v>
      </c>
      <c r="CL113" s="421">
        <v>149044.40000000002</v>
      </c>
      <c r="CM113" s="421">
        <v>391539.6388000001</v>
      </c>
      <c r="CN113" s="421">
        <v>-242495.23880000005</v>
      </c>
      <c r="CO113" s="419"/>
      <c r="CP113" s="419"/>
      <c r="CQ113" s="419"/>
      <c r="CR113" s="171">
        <v>1078</v>
      </c>
    </row>
    <row r="114" spans="1:96" ht="9.75">
      <c r="A114" s="203">
        <v>317</v>
      </c>
      <c r="B114" s="203" t="s">
        <v>170</v>
      </c>
      <c r="C114" s="421">
        <v>2538</v>
      </c>
      <c r="D114" s="419"/>
      <c r="E114" s="419"/>
      <c r="F114" s="419"/>
      <c r="G114" s="419"/>
      <c r="H114" s="500">
        <v>4291.05</v>
      </c>
      <c r="I114" s="419"/>
      <c r="J114" s="419"/>
      <c r="K114" s="419"/>
      <c r="L114" s="419"/>
      <c r="M114" s="419"/>
      <c r="N114" s="419"/>
      <c r="O114" s="419"/>
      <c r="P114" s="419"/>
      <c r="Q114" s="421">
        <v>132</v>
      </c>
      <c r="R114" s="421">
        <v>27</v>
      </c>
      <c r="S114" s="421">
        <v>216</v>
      </c>
      <c r="T114" s="421">
        <v>99</v>
      </c>
      <c r="U114" s="421">
        <v>109</v>
      </c>
      <c r="V114" s="421">
        <v>1234</v>
      </c>
      <c r="W114" s="421">
        <v>386</v>
      </c>
      <c r="X114" s="421">
        <v>244</v>
      </c>
      <c r="Y114" s="421">
        <v>91</v>
      </c>
      <c r="Z114" s="419"/>
      <c r="AA114" s="419"/>
      <c r="AB114" s="419"/>
      <c r="AC114" s="419"/>
      <c r="AD114" s="419"/>
      <c r="AE114" s="422">
        <v>1.5742974026168706</v>
      </c>
      <c r="AF114" s="421">
        <v>5312585.69296121</v>
      </c>
      <c r="AG114" s="420">
        <v>119</v>
      </c>
      <c r="AH114" s="420">
        <v>1024</v>
      </c>
      <c r="AJ114" s="420">
        <v>31</v>
      </c>
      <c r="AK114" s="420">
        <v>0.012214342001576044</v>
      </c>
      <c r="AM114" s="420">
        <v>0</v>
      </c>
      <c r="AN114" s="420">
        <v>2</v>
      </c>
      <c r="AP114" s="420">
        <v>0</v>
      </c>
      <c r="AQ114" s="420">
        <v>0</v>
      </c>
      <c r="AR114" s="420">
        <v>696.39</v>
      </c>
      <c r="AU114" s="420">
        <v>105</v>
      </c>
      <c r="AV114" s="420">
        <v>616</v>
      </c>
      <c r="AW114" s="420">
        <v>0.17045454545454544</v>
      </c>
      <c r="AY114" s="420">
        <v>0.9793</v>
      </c>
      <c r="AZ114" s="421">
        <v>954</v>
      </c>
      <c r="BA114" s="420">
        <v>889</v>
      </c>
      <c r="BB114" s="420">
        <v>1.0731158605174353</v>
      </c>
      <c r="BD114" s="420">
        <v>0</v>
      </c>
      <c r="BE114" s="420">
        <v>0</v>
      </c>
      <c r="BF114" s="421">
        <v>0</v>
      </c>
      <c r="BG114" s="421">
        <v>0</v>
      </c>
      <c r="BH114" s="419"/>
      <c r="BI114" s="421">
        <v>0</v>
      </c>
      <c r="BJ114" s="419"/>
      <c r="BK114" s="421">
        <v>913.68</v>
      </c>
      <c r="BL114" s="421">
        <v>60418</v>
      </c>
      <c r="BM114" s="421">
        <v>-82147.365</v>
      </c>
      <c r="BN114" s="419"/>
      <c r="BO114" s="421">
        <v>49000.51558020711</v>
      </c>
      <c r="BP114" s="421">
        <v>296680</v>
      </c>
      <c r="BQ114" s="421">
        <v>93301</v>
      </c>
      <c r="BR114" s="421">
        <v>241156.9708270324</v>
      </c>
      <c r="BS114" s="421">
        <v>12942.928733045273</v>
      </c>
      <c r="BT114" s="421">
        <v>34878.62628951513</v>
      </c>
      <c r="BU114" s="421">
        <v>119431.05590188224</v>
      </c>
      <c r="BV114" s="421">
        <v>172131.00315916064</v>
      </c>
      <c r="BW114" s="421">
        <v>235013.8605017155</v>
      </c>
      <c r="BX114" s="421">
        <v>78449.33164571795</v>
      </c>
      <c r="BY114" s="421">
        <v>136398.27916938005</v>
      </c>
      <c r="BZ114" s="419"/>
      <c r="CA114" s="421">
        <v>14487.235701096903</v>
      </c>
      <c r="CB114" s="419"/>
      <c r="CC114" s="419"/>
      <c r="CD114" s="419"/>
      <c r="CE114" s="421">
        <v>188629.82254182707</v>
      </c>
      <c r="CF114" s="421">
        <v>103257.26256105775</v>
      </c>
      <c r="CG114" s="421">
        <v>124225.15313920728</v>
      </c>
      <c r="CH114" s="421">
        <v>-8445.383263113925</v>
      </c>
      <c r="CI114" s="419"/>
      <c r="CJ114" s="421">
        <v>3143751.644520746</v>
      </c>
      <c r="CK114" s="421">
        <v>45173</v>
      </c>
      <c r="CL114" s="421">
        <v>19375.772</v>
      </c>
      <c r="CM114" s="421">
        <v>49959.68288000001</v>
      </c>
      <c r="CN114" s="421">
        <v>-30583.910880000007</v>
      </c>
      <c r="CO114" s="419"/>
      <c r="CP114" s="419"/>
      <c r="CQ114" s="419"/>
      <c r="CR114" s="171">
        <v>800</v>
      </c>
    </row>
    <row r="115" spans="1:96" ht="9.75">
      <c r="A115" s="203">
        <v>398</v>
      </c>
      <c r="B115" s="203" t="s">
        <v>171</v>
      </c>
      <c r="C115" s="421">
        <v>119984</v>
      </c>
      <c r="D115" s="419"/>
      <c r="E115" s="419"/>
      <c r="F115" s="419"/>
      <c r="G115" s="419"/>
      <c r="H115" s="500">
        <v>4291.05</v>
      </c>
      <c r="I115" s="419"/>
      <c r="J115" s="419"/>
      <c r="K115" s="419"/>
      <c r="L115" s="419"/>
      <c r="M115" s="419"/>
      <c r="N115" s="419"/>
      <c r="O115" s="419"/>
      <c r="P115" s="419"/>
      <c r="Q115" s="421">
        <v>6118</v>
      </c>
      <c r="R115" s="421">
        <v>1139</v>
      </c>
      <c r="S115" s="421">
        <v>7441</v>
      </c>
      <c r="T115" s="421">
        <v>3724</v>
      </c>
      <c r="U115" s="421">
        <v>3857</v>
      </c>
      <c r="V115" s="421">
        <v>67864</v>
      </c>
      <c r="W115" s="421">
        <v>16900</v>
      </c>
      <c r="X115" s="421">
        <v>9539</v>
      </c>
      <c r="Y115" s="421">
        <v>3402</v>
      </c>
      <c r="Z115" s="419"/>
      <c r="AA115" s="419"/>
      <c r="AB115" s="419"/>
      <c r="AC115" s="419"/>
      <c r="AD115" s="419"/>
      <c r="AE115" s="422">
        <v>1.0802967700930832</v>
      </c>
      <c r="AF115" s="421">
        <v>172343126.2463976</v>
      </c>
      <c r="AG115" s="420">
        <v>9876</v>
      </c>
      <c r="AH115" s="420">
        <v>56099</v>
      </c>
      <c r="AJ115" s="420">
        <v>9012</v>
      </c>
      <c r="AK115" s="420">
        <v>0.07511001466862248</v>
      </c>
      <c r="AM115" s="420">
        <v>0</v>
      </c>
      <c r="AN115" s="420">
        <v>481</v>
      </c>
      <c r="AP115" s="420">
        <v>0</v>
      </c>
      <c r="AQ115" s="420">
        <v>0</v>
      </c>
      <c r="AR115" s="420">
        <v>459.49</v>
      </c>
      <c r="AU115" s="420">
        <v>5569</v>
      </c>
      <c r="AV115" s="420">
        <v>36355</v>
      </c>
      <c r="AW115" s="420">
        <v>0.1531838811717783</v>
      </c>
      <c r="AY115" s="420">
        <v>0</v>
      </c>
      <c r="AZ115" s="421">
        <v>51485</v>
      </c>
      <c r="BA115" s="420">
        <v>47988</v>
      </c>
      <c r="BB115" s="420">
        <v>1.0728723847628574</v>
      </c>
      <c r="BD115" s="420">
        <v>0</v>
      </c>
      <c r="BE115" s="420">
        <v>21</v>
      </c>
      <c r="BF115" s="421">
        <v>0</v>
      </c>
      <c r="BG115" s="421">
        <v>0</v>
      </c>
      <c r="BH115" s="419"/>
      <c r="BI115" s="421">
        <v>0</v>
      </c>
      <c r="BJ115" s="419"/>
      <c r="BK115" s="421">
        <v>43194.24</v>
      </c>
      <c r="BL115" s="421">
        <v>3879229</v>
      </c>
      <c r="BM115" s="421">
        <v>-12416097.8024</v>
      </c>
      <c r="BN115" s="419"/>
      <c r="BO115" s="421">
        <v>-194497.132058952</v>
      </c>
      <c r="BP115" s="421">
        <v>8053889</v>
      </c>
      <c r="BQ115" s="421">
        <v>2744547</v>
      </c>
      <c r="BR115" s="421">
        <v>6470503.743043369</v>
      </c>
      <c r="BS115" s="421">
        <v>262175.4958546273</v>
      </c>
      <c r="BT115" s="421">
        <v>117375.99346749118</v>
      </c>
      <c r="BU115" s="421">
        <v>3024360.3881341554</v>
      </c>
      <c r="BV115" s="421">
        <v>5639445.098830124</v>
      </c>
      <c r="BW115" s="421">
        <v>8570366.7796735</v>
      </c>
      <c r="BX115" s="421">
        <v>2792435.931143376</v>
      </c>
      <c r="BY115" s="421">
        <v>4955703.451213543</v>
      </c>
      <c r="BZ115" s="419"/>
      <c r="CA115" s="421">
        <v>1545742.4326244416</v>
      </c>
      <c r="CB115" s="419"/>
      <c r="CC115" s="419"/>
      <c r="CD115" s="419"/>
      <c r="CE115" s="421">
        <v>6448426.123181674</v>
      </c>
      <c r="CF115" s="421">
        <v>3859549.906603749</v>
      </c>
      <c r="CG115" s="421">
        <v>4875787.307258718</v>
      </c>
      <c r="CH115" s="421">
        <v>-575030.2560370036</v>
      </c>
      <c r="CI115" s="419"/>
      <c r="CJ115" s="421">
        <v>32769461.45150326</v>
      </c>
      <c r="CK115" s="421">
        <v>88669</v>
      </c>
      <c r="CL115" s="421">
        <v>3296116.906000001</v>
      </c>
      <c r="CM115" s="421">
        <v>10896613.727340005</v>
      </c>
      <c r="CN115" s="421">
        <v>-7600496.821340004</v>
      </c>
      <c r="CO115" s="419"/>
      <c r="CP115" s="419"/>
      <c r="CQ115" s="419"/>
      <c r="CR115" s="171">
        <v>36941</v>
      </c>
    </row>
    <row r="116" spans="1:96" ht="9.75">
      <c r="A116" s="203">
        <v>399</v>
      </c>
      <c r="B116" s="203" t="s">
        <v>172</v>
      </c>
      <c r="C116" s="421">
        <v>7996</v>
      </c>
      <c r="D116" s="419"/>
      <c r="E116" s="419"/>
      <c r="F116" s="419"/>
      <c r="G116" s="419"/>
      <c r="H116" s="500">
        <v>4291.05</v>
      </c>
      <c r="I116" s="419"/>
      <c r="J116" s="419"/>
      <c r="K116" s="419"/>
      <c r="L116" s="419"/>
      <c r="M116" s="419"/>
      <c r="N116" s="419"/>
      <c r="O116" s="419"/>
      <c r="P116" s="419"/>
      <c r="Q116" s="421">
        <v>495</v>
      </c>
      <c r="R116" s="421">
        <v>127</v>
      </c>
      <c r="S116" s="421">
        <v>754</v>
      </c>
      <c r="T116" s="421">
        <v>309</v>
      </c>
      <c r="U116" s="421">
        <v>294</v>
      </c>
      <c r="V116" s="421">
        <v>4141</v>
      </c>
      <c r="W116" s="421">
        <v>1098</v>
      </c>
      <c r="X116" s="421">
        <v>533</v>
      </c>
      <c r="Y116" s="421">
        <v>245</v>
      </c>
      <c r="Z116" s="419"/>
      <c r="AA116" s="419"/>
      <c r="AB116" s="419"/>
      <c r="AC116" s="419"/>
      <c r="AD116" s="419"/>
      <c r="AE116" s="422">
        <v>0.969394629172676</v>
      </c>
      <c r="AF116" s="421">
        <v>10306256.533163754</v>
      </c>
      <c r="AG116" s="420">
        <v>373</v>
      </c>
      <c r="AH116" s="420">
        <v>3718</v>
      </c>
      <c r="AJ116" s="420">
        <v>133</v>
      </c>
      <c r="AK116" s="420">
        <v>0.016633316658329164</v>
      </c>
      <c r="AM116" s="420">
        <v>0</v>
      </c>
      <c r="AN116" s="420">
        <v>87</v>
      </c>
      <c r="AP116" s="420">
        <v>0</v>
      </c>
      <c r="AQ116" s="420">
        <v>0</v>
      </c>
      <c r="AR116" s="420">
        <v>505.16</v>
      </c>
      <c r="AU116" s="420">
        <v>204</v>
      </c>
      <c r="AV116" s="420">
        <v>2588</v>
      </c>
      <c r="AW116" s="420">
        <v>0.07882534775888717</v>
      </c>
      <c r="AY116" s="420">
        <v>0</v>
      </c>
      <c r="AZ116" s="421">
        <v>1801</v>
      </c>
      <c r="BA116" s="420">
        <v>3399</v>
      </c>
      <c r="BB116" s="420">
        <v>0.5298617240364814</v>
      </c>
      <c r="BD116" s="420">
        <v>0</v>
      </c>
      <c r="BE116" s="420">
        <v>0</v>
      </c>
      <c r="BF116" s="421">
        <v>0</v>
      </c>
      <c r="BG116" s="421">
        <v>0</v>
      </c>
      <c r="BH116" s="419"/>
      <c r="BI116" s="421">
        <v>0</v>
      </c>
      <c r="BJ116" s="419"/>
      <c r="BK116" s="421">
        <v>2878.56</v>
      </c>
      <c r="BL116" s="421">
        <v>-80765</v>
      </c>
      <c r="BM116" s="421">
        <v>-170662.57</v>
      </c>
      <c r="BN116" s="419"/>
      <c r="BO116" s="421">
        <v>-82669.05663659237</v>
      </c>
      <c r="BP116" s="421">
        <v>630442</v>
      </c>
      <c r="BQ116" s="421">
        <v>196494</v>
      </c>
      <c r="BR116" s="421">
        <v>488277.6115921374</v>
      </c>
      <c r="BS116" s="421">
        <v>13438.707080138607</v>
      </c>
      <c r="BT116" s="421">
        <v>56865.71957189152</v>
      </c>
      <c r="BU116" s="421">
        <v>183097.91458002324</v>
      </c>
      <c r="BV116" s="421">
        <v>402271.6029004239</v>
      </c>
      <c r="BW116" s="421">
        <v>650793.6444336704</v>
      </c>
      <c r="BX116" s="421">
        <v>171958.51660430492</v>
      </c>
      <c r="BY116" s="421">
        <v>332204.5728419575</v>
      </c>
      <c r="BZ116" s="419"/>
      <c r="CA116" s="421">
        <v>-12529.881211991415</v>
      </c>
      <c r="CB116" s="419"/>
      <c r="CC116" s="419"/>
      <c r="CD116" s="419"/>
      <c r="CE116" s="421">
        <v>434540.9473183577</v>
      </c>
      <c r="CF116" s="421">
        <v>262891.72609692113</v>
      </c>
      <c r="CG116" s="421">
        <v>318993.23669041664</v>
      </c>
      <c r="CH116" s="421">
        <v>-37085.7561082623</v>
      </c>
      <c r="CI116" s="419"/>
      <c r="CJ116" s="421">
        <v>3722031.042327243</v>
      </c>
      <c r="CK116" s="421">
        <v>-377080</v>
      </c>
      <c r="CL116" s="421">
        <v>104405.60220000001</v>
      </c>
      <c r="CM116" s="421">
        <v>163065.006708</v>
      </c>
      <c r="CN116" s="421">
        <v>-58659.40450799999</v>
      </c>
      <c r="CO116" s="419"/>
      <c r="CP116" s="419"/>
      <c r="CQ116" s="419"/>
      <c r="CR116" s="171">
        <v>2477</v>
      </c>
    </row>
    <row r="117" spans="1:96" ht="9.75">
      <c r="A117" s="203">
        <v>400</v>
      </c>
      <c r="B117" s="203" t="s">
        <v>173</v>
      </c>
      <c r="C117" s="421">
        <v>8468</v>
      </c>
      <c r="D117" s="419"/>
      <c r="E117" s="419"/>
      <c r="F117" s="419"/>
      <c r="G117" s="419"/>
      <c r="H117" s="500">
        <v>4291.05</v>
      </c>
      <c r="I117" s="419"/>
      <c r="J117" s="419"/>
      <c r="K117" s="419"/>
      <c r="L117" s="419"/>
      <c r="M117" s="419"/>
      <c r="N117" s="419"/>
      <c r="O117" s="419"/>
      <c r="P117" s="419"/>
      <c r="Q117" s="421">
        <v>458</v>
      </c>
      <c r="R117" s="421">
        <v>99</v>
      </c>
      <c r="S117" s="421">
        <v>635</v>
      </c>
      <c r="T117" s="421">
        <v>282</v>
      </c>
      <c r="U117" s="421">
        <v>279</v>
      </c>
      <c r="V117" s="421">
        <v>4570</v>
      </c>
      <c r="W117" s="421">
        <v>1168</v>
      </c>
      <c r="X117" s="421">
        <v>681</v>
      </c>
      <c r="Y117" s="421">
        <v>296</v>
      </c>
      <c r="Z117" s="419"/>
      <c r="AA117" s="419"/>
      <c r="AB117" s="419"/>
      <c r="AC117" s="419"/>
      <c r="AD117" s="419"/>
      <c r="AE117" s="422">
        <v>1.0629660842999464</v>
      </c>
      <c r="AF117" s="421">
        <v>11968171.671015354</v>
      </c>
      <c r="AG117" s="420">
        <v>391</v>
      </c>
      <c r="AH117" s="420">
        <v>4042</v>
      </c>
      <c r="AJ117" s="420">
        <v>684</v>
      </c>
      <c r="AK117" s="420">
        <v>0.0807746811525744</v>
      </c>
      <c r="AM117" s="420">
        <v>0</v>
      </c>
      <c r="AN117" s="420">
        <v>34</v>
      </c>
      <c r="AP117" s="420">
        <v>0</v>
      </c>
      <c r="AQ117" s="420">
        <v>0</v>
      </c>
      <c r="AR117" s="420">
        <v>531.85</v>
      </c>
      <c r="AU117" s="420">
        <v>502</v>
      </c>
      <c r="AV117" s="420">
        <v>2600</v>
      </c>
      <c r="AW117" s="420">
        <v>0.1930769230769231</v>
      </c>
      <c r="AY117" s="420">
        <v>0</v>
      </c>
      <c r="AZ117" s="421">
        <v>3648</v>
      </c>
      <c r="BA117" s="420">
        <v>3646</v>
      </c>
      <c r="BB117" s="420">
        <v>1.0005485463521668</v>
      </c>
      <c r="BD117" s="420">
        <v>0</v>
      </c>
      <c r="BE117" s="420">
        <v>0</v>
      </c>
      <c r="BF117" s="421">
        <v>0</v>
      </c>
      <c r="BG117" s="421">
        <v>0</v>
      </c>
      <c r="BH117" s="419"/>
      <c r="BI117" s="421">
        <v>0</v>
      </c>
      <c r="BJ117" s="419"/>
      <c r="BK117" s="421">
        <v>3048.48</v>
      </c>
      <c r="BL117" s="421">
        <v>-34740</v>
      </c>
      <c r="BM117" s="421">
        <v>-216556.215</v>
      </c>
      <c r="BN117" s="419"/>
      <c r="BO117" s="421">
        <v>84422.16206699982</v>
      </c>
      <c r="BP117" s="421">
        <v>739591</v>
      </c>
      <c r="BQ117" s="421">
        <v>245424</v>
      </c>
      <c r="BR117" s="421">
        <v>599915.1630202786</v>
      </c>
      <c r="BS117" s="421">
        <v>28362.25053418359</v>
      </c>
      <c r="BT117" s="421">
        <v>66734.71021022498</v>
      </c>
      <c r="BU117" s="421">
        <v>271181.82292428904</v>
      </c>
      <c r="BV117" s="421">
        <v>489938.90179089195</v>
      </c>
      <c r="BW117" s="421">
        <v>793644.9780317354</v>
      </c>
      <c r="BX117" s="421">
        <v>232345.14997021123</v>
      </c>
      <c r="BY117" s="421">
        <v>403381.89974042116</v>
      </c>
      <c r="BZ117" s="419"/>
      <c r="CA117" s="421">
        <v>-68194.11536266029</v>
      </c>
      <c r="CB117" s="419"/>
      <c r="CC117" s="419"/>
      <c r="CD117" s="419"/>
      <c r="CE117" s="421">
        <v>551483.9909379933</v>
      </c>
      <c r="CF117" s="421">
        <v>343548.0289884089</v>
      </c>
      <c r="CG117" s="421">
        <v>442442.5959161111</v>
      </c>
      <c r="CH117" s="421">
        <v>-35253.07054189027</v>
      </c>
      <c r="CI117" s="419"/>
      <c r="CJ117" s="421">
        <v>5416343.382543716</v>
      </c>
      <c r="CK117" s="421">
        <v>996778</v>
      </c>
      <c r="CL117" s="421">
        <v>383044.10799999995</v>
      </c>
      <c r="CM117" s="421">
        <v>87295.30508</v>
      </c>
      <c r="CN117" s="421">
        <v>295748.80291999993</v>
      </c>
      <c r="CO117" s="419"/>
      <c r="CP117" s="419"/>
      <c r="CQ117" s="419"/>
      <c r="CR117" s="171">
        <v>2479</v>
      </c>
    </row>
    <row r="118" spans="1:96" ht="9.75">
      <c r="A118" s="203">
        <v>407</v>
      </c>
      <c r="B118" s="203" t="s">
        <v>174</v>
      </c>
      <c r="C118" s="421">
        <v>2621</v>
      </c>
      <c r="D118" s="419"/>
      <c r="E118" s="419"/>
      <c r="F118" s="419"/>
      <c r="G118" s="419"/>
      <c r="H118" s="500">
        <v>4291.05</v>
      </c>
      <c r="I118" s="419"/>
      <c r="J118" s="419"/>
      <c r="K118" s="419"/>
      <c r="L118" s="419"/>
      <c r="M118" s="419"/>
      <c r="N118" s="419"/>
      <c r="O118" s="419"/>
      <c r="P118" s="419"/>
      <c r="Q118" s="421">
        <v>134</v>
      </c>
      <c r="R118" s="421">
        <v>23</v>
      </c>
      <c r="S118" s="421">
        <v>163</v>
      </c>
      <c r="T118" s="421">
        <v>80</v>
      </c>
      <c r="U118" s="421">
        <v>86</v>
      </c>
      <c r="V118" s="421">
        <v>1355</v>
      </c>
      <c r="W118" s="421">
        <v>410</v>
      </c>
      <c r="X118" s="421">
        <v>255</v>
      </c>
      <c r="Y118" s="421">
        <v>115</v>
      </c>
      <c r="Z118" s="419"/>
      <c r="AA118" s="419"/>
      <c r="AB118" s="419"/>
      <c r="AC118" s="419"/>
      <c r="AD118" s="419"/>
      <c r="AE118" s="422">
        <v>1.1141950621434031</v>
      </c>
      <c r="AF118" s="421">
        <v>3882896.393165908</v>
      </c>
      <c r="AG118" s="420">
        <v>139</v>
      </c>
      <c r="AH118" s="420">
        <v>1181</v>
      </c>
      <c r="AJ118" s="420">
        <v>150</v>
      </c>
      <c r="AK118" s="420">
        <v>0.05723006486074018</v>
      </c>
      <c r="AM118" s="420">
        <v>1</v>
      </c>
      <c r="AN118" s="420">
        <v>782</v>
      </c>
      <c r="AP118" s="420">
        <v>0</v>
      </c>
      <c r="AQ118" s="420">
        <v>0</v>
      </c>
      <c r="AR118" s="420">
        <v>329.89</v>
      </c>
      <c r="AU118" s="420">
        <v>174</v>
      </c>
      <c r="AV118" s="420">
        <v>775</v>
      </c>
      <c r="AW118" s="420">
        <v>0.22451612903225807</v>
      </c>
      <c r="AY118" s="420">
        <v>0</v>
      </c>
      <c r="AZ118" s="421">
        <v>877</v>
      </c>
      <c r="BA118" s="420">
        <v>1078</v>
      </c>
      <c r="BB118" s="420">
        <v>0.813543599257885</v>
      </c>
      <c r="BD118" s="420">
        <v>0</v>
      </c>
      <c r="BE118" s="420">
        <v>0</v>
      </c>
      <c r="BF118" s="421">
        <v>0</v>
      </c>
      <c r="BG118" s="421">
        <v>0</v>
      </c>
      <c r="BH118" s="419"/>
      <c r="BI118" s="421">
        <v>0</v>
      </c>
      <c r="BJ118" s="419"/>
      <c r="BK118" s="421">
        <v>943.56</v>
      </c>
      <c r="BL118" s="421">
        <v>-44318</v>
      </c>
      <c r="BM118" s="421">
        <v>-94820.48</v>
      </c>
      <c r="BN118" s="419"/>
      <c r="BO118" s="421">
        <v>28807.877030804753</v>
      </c>
      <c r="BP118" s="421">
        <v>266070</v>
      </c>
      <c r="BQ118" s="421">
        <v>86843</v>
      </c>
      <c r="BR118" s="421">
        <v>215737.08744909434</v>
      </c>
      <c r="BS118" s="421">
        <v>10073.129408609553</v>
      </c>
      <c r="BT118" s="421">
        <v>43753.06037410913</v>
      </c>
      <c r="BU118" s="421">
        <v>86084.27444925872</v>
      </c>
      <c r="BV118" s="421">
        <v>157534.1649968356</v>
      </c>
      <c r="BW118" s="421">
        <v>288427.1364173449</v>
      </c>
      <c r="BX118" s="421">
        <v>80419.06926967647</v>
      </c>
      <c r="BY118" s="421">
        <v>136460.939309663</v>
      </c>
      <c r="BZ118" s="419"/>
      <c r="CA118" s="421">
        <v>24014.387066761647</v>
      </c>
      <c r="CB118" s="419"/>
      <c r="CC118" s="419"/>
      <c r="CD118" s="419"/>
      <c r="CE118" s="421">
        <v>183935.80408534728</v>
      </c>
      <c r="CF118" s="421">
        <v>105383.38737483059</v>
      </c>
      <c r="CG118" s="421">
        <v>125220.95272475736</v>
      </c>
      <c r="CH118" s="421">
        <v>-10281.887403429595</v>
      </c>
      <c r="CI118" s="419"/>
      <c r="CJ118" s="421">
        <v>2064793.2284512066</v>
      </c>
      <c r="CK118" s="421">
        <v>-597059</v>
      </c>
      <c r="CL118" s="421">
        <v>71913.92300000001</v>
      </c>
      <c r="CM118" s="421">
        <v>994901.1788800001</v>
      </c>
      <c r="CN118" s="421">
        <v>-922987.2558800001</v>
      </c>
      <c r="CO118" s="419"/>
      <c r="CP118" s="419"/>
      <c r="CQ118" s="419"/>
      <c r="CR118" s="171">
        <v>656</v>
      </c>
    </row>
    <row r="119" spans="1:96" ht="9.75">
      <c r="A119" s="203">
        <v>402</v>
      </c>
      <c r="B119" s="203" t="s">
        <v>175</v>
      </c>
      <c r="C119" s="421">
        <v>9358</v>
      </c>
      <c r="D119" s="419"/>
      <c r="E119" s="419"/>
      <c r="F119" s="419"/>
      <c r="G119" s="419"/>
      <c r="H119" s="500">
        <v>4291.05</v>
      </c>
      <c r="I119" s="419"/>
      <c r="J119" s="419"/>
      <c r="K119" s="419"/>
      <c r="L119" s="419"/>
      <c r="M119" s="419"/>
      <c r="N119" s="419"/>
      <c r="O119" s="419"/>
      <c r="P119" s="419"/>
      <c r="Q119" s="421">
        <v>430</v>
      </c>
      <c r="R119" s="421">
        <v>80</v>
      </c>
      <c r="S119" s="421">
        <v>646</v>
      </c>
      <c r="T119" s="421">
        <v>340</v>
      </c>
      <c r="U119" s="421">
        <v>316</v>
      </c>
      <c r="V119" s="421">
        <v>4875</v>
      </c>
      <c r="W119" s="421">
        <v>1584</v>
      </c>
      <c r="X119" s="421">
        <v>753</v>
      </c>
      <c r="Y119" s="421">
        <v>334</v>
      </c>
      <c r="Z119" s="419"/>
      <c r="AA119" s="419"/>
      <c r="AB119" s="419"/>
      <c r="AC119" s="419"/>
      <c r="AD119" s="419"/>
      <c r="AE119" s="422">
        <v>1.45493556833232</v>
      </c>
      <c r="AF119" s="421">
        <v>18103158.51117341</v>
      </c>
      <c r="AG119" s="420">
        <v>544</v>
      </c>
      <c r="AH119" s="420">
        <v>4192</v>
      </c>
      <c r="AJ119" s="420">
        <v>187</v>
      </c>
      <c r="AK119" s="420">
        <v>0.019982902329557597</v>
      </c>
      <c r="AM119" s="420">
        <v>0</v>
      </c>
      <c r="AN119" s="420">
        <v>10</v>
      </c>
      <c r="AP119" s="420">
        <v>0</v>
      </c>
      <c r="AQ119" s="420">
        <v>0</v>
      </c>
      <c r="AR119" s="420">
        <v>1096.7</v>
      </c>
      <c r="AU119" s="420">
        <v>365</v>
      </c>
      <c r="AV119" s="420">
        <v>2636</v>
      </c>
      <c r="AW119" s="420">
        <v>0.13846737481031868</v>
      </c>
      <c r="AY119" s="420">
        <v>0</v>
      </c>
      <c r="AZ119" s="421">
        <v>2872</v>
      </c>
      <c r="BA119" s="420">
        <v>3648</v>
      </c>
      <c r="BB119" s="420">
        <v>0.7872807017543859</v>
      </c>
      <c r="BD119" s="420">
        <v>0</v>
      </c>
      <c r="BE119" s="420">
        <v>0</v>
      </c>
      <c r="BF119" s="421">
        <v>0</v>
      </c>
      <c r="BG119" s="421">
        <v>0</v>
      </c>
      <c r="BH119" s="419"/>
      <c r="BI119" s="421">
        <v>0</v>
      </c>
      <c r="BJ119" s="419"/>
      <c r="BK119" s="421">
        <v>3368.8799999999997</v>
      </c>
      <c r="BL119" s="421">
        <v>244217</v>
      </c>
      <c r="BM119" s="421">
        <v>-374561.87625</v>
      </c>
      <c r="BN119" s="419"/>
      <c r="BO119" s="421">
        <v>-103708.25441498868</v>
      </c>
      <c r="BP119" s="421">
        <v>958412</v>
      </c>
      <c r="BQ119" s="421">
        <v>288726</v>
      </c>
      <c r="BR119" s="421">
        <v>687361.0736377841</v>
      </c>
      <c r="BS119" s="421">
        <v>29107.534124884838</v>
      </c>
      <c r="BT119" s="421">
        <v>88418.25418264151</v>
      </c>
      <c r="BU119" s="421">
        <v>332831.1518768048</v>
      </c>
      <c r="BV119" s="421">
        <v>530175.9507121128</v>
      </c>
      <c r="BW119" s="421">
        <v>829064.5310967282</v>
      </c>
      <c r="BX119" s="421">
        <v>247037.21744427693</v>
      </c>
      <c r="BY119" s="421">
        <v>448973.02594657306</v>
      </c>
      <c r="BZ119" s="419"/>
      <c r="CA119" s="421">
        <v>102864.12525654309</v>
      </c>
      <c r="CB119" s="419"/>
      <c r="CC119" s="419"/>
      <c r="CD119" s="419"/>
      <c r="CE119" s="421">
        <v>636059.3935361317</v>
      </c>
      <c r="CF119" s="421">
        <v>350457.2032952205</v>
      </c>
      <c r="CG119" s="421">
        <v>420119.29338512564</v>
      </c>
      <c r="CH119" s="421">
        <v>-36043.54152066378</v>
      </c>
      <c r="CI119" s="419"/>
      <c r="CJ119" s="421">
        <v>8705175.798009826</v>
      </c>
      <c r="CK119" s="421">
        <v>-209471</v>
      </c>
      <c r="CL119" s="421">
        <v>501012.75059999997</v>
      </c>
      <c r="CM119" s="421">
        <v>216054.76224</v>
      </c>
      <c r="CN119" s="421">
        <v>284957.98835999996</v>
      </c>
      <c r="CO119" s="419"/>
      <c r="CP119" s="419"/>
      <c r="CQ119" s="419"/>
      <c r="CR119" s="171">
        <v>2505</v>
      </c>
    </row>
    <row r="120" spans="1:96" ht="9.75">
      <c r="A120" s="203">
        <v>403</v>
      </c>
      <c r="B120" s="203" t="s">
        <v>176</v>
      </c>
      <c r="C120" s="421">
        <v>2925</v>
      </c>
      <c r="D120" s="419"/>
      <c r="E120" s="419"/>
      <c r="F120" s="419"/>
      <c r="G120" s="419"/>
      <c r="H120" s="500">
        <v>4291.05</v>
      </c>
      <c r="I120" s="419"/>
      <c r="J120" s="419"/>
      <c r="K120" s="419"/>
      <c r="L120" s="419"/>
      <c r="M120" s="419"/>
      <c r="N120" s="419"/>
      <c r="O120" s="419"/>
      <c r="P120" s="419"/>
      <c r="Q120" s="421">
        <v>141</v>
      </c>
      <c r="R120" s="421">
        <v>27</v>
      </c>
      <c r="S120" s="421">
        <v>176</v>
      </c>
      <c r="T120" s="421">
        <v>87</v>
      </c>
      <c r="U120" s="421">
        <v>93</v>
      </c>
      <c r="V120" s="421">
        <v>1354</v>
      </c>
      <c r="W120" s="421">
        <v>551</v>
      </c>
      <c r="X120" s="421">
        <v>348</v>
      </c>
      <c r="Y120" s="421">
        <v>148</v>
      </c>
      <c r="Z120" s="419"/>
      <c r="AA120" s="419"/>
      <c r="AB120" s="419"/>
      <c r="AC120" s="419"/>
      <c r="AD120" s="419"/>
      <c r="AE120" s="422">
        <v>1.5068434706107199</v>
      </c>
      <c r="AF120" s="421">
        <v>5860323.136801096</v>
      </c>
      <c r="AG120" s="420">
        <v>109</v>
      </c>
      <c r="AH120" s="420">
        <v>1190</v>
      </c>
      <c r="AJ120" s="420">
        <v>131</v>
      </c>
      <c r="AK120" s="420">
        <v>0.044786324786324785</v>
      </c>
      <c r="AM120" s="420">
        <v>0</v>
      </c>
      <c r="AN120" s="420">
        <v>13</v>
      </c>
      <c r="AP120" s="420">
        <v>0</v>
      </c>
      <c r="AQ120" s="420">
        <v>0</v>
      </c>
      <c r="AR120" s="420">
        <v>420.88</v>
      </c>
      <c r="AU120" s="420">
        <v>78</v>
      </c>
      <c r="AV120" s="420">
        <v>665</v>
      </c>
      <c r="AW120" s="420">
        <v>0.11729323308270677</v>
      </c>
      <c r="AY120" s="420">
        <v>0</v>
      </c>
      <c r="AZ120" s="421">
        <v>980</v>
      </c>
      <c r="BA120" s="420">
        <v>1070</v>
      </c>
      <c r="BB120" s="420">
        <v>0.9158878504672897</v>
      </c>
      <c r="BD120" s="420">
        <v>0</v>
      </c>
      <c r="BE120" s="420">
        <v>0</v>
      </c>
      <c r="BF120" s="421">
        <v>0</v>
      </c>
      <c r="BG120" s="421">
        <v>0</v>
      </c>
      <c r="BH120" s="419"/>
      <c r="BI120" s="421">
        <v>0</v>
      </c>
      <c r="BJ120" s="419"/>
      <c r="BK120" s="421">
        <v>1053</v>
      </c>
      <c r="BL120" s="421">
        <v>-43921</v>
      </c>
      <c r="BM120" s="421">
        <v>-62091.405</v>
      </c>
      <c r="BN120" s="419"/>
      <c r="BO120" s="421">
        <v>48930.923893926665</v>
      </c>
      <c r="BP120" s="421">
        <v>344633</v>
      </c>
      <c r="BQ120" s="421">
        <v>101443</v>
      </c>
      <c r="BR120" s="421">
        <v>292774.96621069574</v>
      </c>
      <c r="BS120" s="421">
        <v>17263.521425798896</v>
      </c>
      <c r="BT120" s="421">
        <v>43252.75609648673</v>
      </c>
      <c r="BU120" s="421">
        <v>132095.14889464315</v>
      </c>
      <c r="BV120" s="421">
        <v>189115.0652921132</v>
      </c>
      <c r="BW120" s="421">
        <v>300305.9793463635</v>
      </c>
      <c r="BX120" s="421">
        <v>92165.83359087528</v>
      </c>
      <c r="BY120" s="421">
        <v>155718.07021177432</v>
      </c>
      <c r="BZ120" s="419"/>
      <c r="CA120" s="421">
        <v>-35969.89130522375</v>
      </c>
      <c r="CB120" s="419"/>
      <c r="CC120" s="419"/>
      <c r="CD120" s="419"/>
      <c r="CE120" s="421">
        <v>210110.4295760663</v>
      </c>
      <c r="CF120" s="421">
        <v>114076.3068294636</v>
      </c>
      <c r="CG120" s="421">
        <v>132911.25837355826</v>
      </c>
      <c r="CH120" s="421">
        <v>-11181.25592882268</v>
      </c>
      <c r="CI120" s="419"/>
      <c r="CJ120" s="421">
        <v>3008637.153868256</v>
      </c>
      <c r="CK120" s="421">
        <v>-140203</v>
      </c>
      <c r="CL120" s="421">
        <v>0</v>
      </c>
      <c r="CM120" s="421">
        <v>85029.8302</v>
      </c>
      <c r="CN120" s="421">
        <v>-85029.8302</v>
      </c>
      <c r="CO120" s="419"/>
      <c r="CP120" s="419"/>
      <c r="CQ120" s="419"/>
      <c r="CR120" s="171">
        <v>701</v>
      </c>
    </row>
    <row r="121" spans="1:96" ht="9.75">
      <c r="A121" s="203">
        <v>405</v>
      </c>
      <c r="B121" s="203" t="s">
        <v>177</v>
      </c>
      <c r="C121" s="421">
        <v>72662</v>
      </c>
      <c r="D121" s="419"/>
      <c r="E121" s="419"/>
      <c r="F121" s="419"/>
      <c r="G121" s="419"/>
      <c r="H121" s="500">
        <v>4291.05</v>
      </c>
      <c r="I121" s="419"/>
      <c r="J121" s="419"/>
      <c r="K121" s="419"/>
      <c r="L121" s="419"/>
      <c r="M121" s="419"/>
      <c r="N121" s="419"/>
      <c r="O121" s="419"/>
      <c r="P121" s="419"/>
      <c r="Q121" s="421">
        <v>3388</v>
      </c>
      <c r="R121" s="421">
        <v>692</v>
      </c>
      <c r="S121" s="421">
        <v>4369</v>
      </c>
      <c r="T121" s="421">
        <v>2202</v>
      </c>
      <c r="U121" s="421">
        <v>2105</v>
      </c>
      <c r="V121" s="421">
        <v>42297</v>
      </c>
      <c r="W121" s="421">
        <v>9820</v>
      </c>
      <c r="X121" s="421">
        <v>5499</v>
      </c>
      <c r="Y121" s="421">
        <v>2290</v>
      </c>
      <c r="Z121" s="419"/>
      <c r="AA121" s="419"/>
      <c r="AB121" s="419"/>
      <c r="AC121" s="419"/>
      <c r="AD121" s="419"/>
      <c r="AE121" s="422">
        <v>1.0073535647773788</v>
      </c>
      <c r="AF121" s="421">
        <v>97323300.3242688</v>
      </c>
      <c r="AG121" s="420">
        <v>4603</v>
      </c>
      <c r="AH121" s="420">
        <v>33561</v>
      </c>
      <c r="AJ121" s="420">
        <v>5695</v>
      </c>
      <c r="AK121" s="420">
        <v>0.0783765929922105</v>
      </c>
      <c r="AM121" s="420">
        <v>0</v>
      </c>
      <c r="AN121" s="420">
        <v>128</v>
      </c>
      <c r="AP121" s="420">
        <v>0</v>
      </c>
      <c r="AQ121" s="420">
        <v>0</v>
      </c>
      <c r="AR121" s="420">
        <v>1433.79</v>
      </c>
      <c r="AU121" s="420">
        <v>2538</v>
      </c>
      <c r="AV121" s="420">
        <v>21644</v>
      </c>
      <c r="AW121" s="420">
        <v>0.11726113472555905</v>
      </c>
      <c r="AY121" s="420">
        <v>0</v>
      </c>
      <c r="AZ121" s="421">
        <v>31700</v>
      </c>
      <c r="BA121" s="420">
        <v>29401</v>
      </c>
      <c r="BB121" s="420">
        <v>1.0781946192306384</v>
      </c>
      <c r="BD121" s="420">
        <v>0</v>
      </c>
      <c r="BE121" s="420">
        <v>2</v>
      </c>
      <c r="BF121" s="421">
        <v>0</v>
      </c>
      <c r="BG121" s="421">
        <v>0</v>
      </c>
      <c r="BH121" s="419"/>
      <c r="BI121" s="421">
        <v>0</v>
      </c>
      <c r="BJ121" s="419"/>
      <c r="BK121" s="421">
        <v>26158.32</v>
      </c>
      <c r="BL121" s="421">
        <v>339710</v>
      </c>
      <c r="BM121" s="421">
        <v>-4899358.3046</v>
      </c>
      <c r="BN121" s="419"/>
      <c r="BO121" s="421">
        <v>997030.4585953057</v>
      </c>
      <c r="BP121" s="421">
        <v>5098431</v>
      </c>
      <c r="BQ121" s="421">
        <v>1727824</v>
      </c>
      <c r="BR121" s="421">
        <v>4014176.8117610975</v>
      </c>
      <c r="BS121" s="421">
        <v>165037.3374035371</v>
      </c>
      <c r="BT121" s="421">
        <v>403872.2532490542</v>
      </c>
      <c r="BU121" s="421">
        <v>1978357.3557773354</v>
      </c>
      <c r="BV121" s="421">
        <v>3604287.803340834</v>
      </c>
      <c r="BW121" s="421">
        <v>5400271.836280328</v>
      </c>
      <c r="BX121" s="421">
        <v>1799754.4576979543</v>
      </c>
      <c r="BY121" s="421">
        <v>3080522.5380868055</v>
      </c>
      <c r="BZ121" s="419"/>
      <c r="CA121" s="421">
        <v>152463.40178400092</v>
      </c>
      <c r="CB121" s="419"/>
      <c r="CC121" s="419"/>
      <c r="CD121" s="419"/>
      <c r="CE121" s="421">
        <v>3906566.686291977</v>
      </c>
      <c r="CF121" s="421">
        <v>2440255.3923524325</v>
      </c>
      <c r="CG121" s="421">
        <v>2970687.4884279156</v>
      </c>
      <c r="CH121" s="421">
        <v>-353593.80825109367</v>
      </c>
      <c r="CI121" s="419"/>
      <c r="CJ121" s="421">
        <v>15082610.389356915</v>
      </c>
      <c r="CK121" s="421">
        <v>-5667652</v>
      </c>
      <c r="CL121" s="421">
        <v>1107623.4586000002</v>
      </c>
      <c r="CM121" s="421">
        <v>3111646.142564</v>
      </c>
      <c r="CN121" s="421">
        <v>-2004022.6839639999</v>
      </c>
      <c r="CO121" s="419"/>
      <c r="CP121" s="419"/>
      <c r="CQ121" s="419"/>
      <c r="CR121" s="171">
        <v>22995</v>
      </c>
    </row>
    <row r="122" spans="1:96" ht="9.75">
      <c r="A122" s="203">
        <v>408</v>
      </c>
      <c r="B122" s="203" t="s">
        <v>178</v>
      </c>
      <c r="C122" s="421">
        <v>14221</v>
      </c>
      <c r="D122" s="419"/>
      <c r="E122" s="419"/>
      <c r="F122" s="419"/>
      <c r="G122" s="419"/>
      <c r="H122" s="500">
        <v>4291.05</v>
      </c>
      <c r="I122" s="419"/>
      <c r="J122" s="419"/>
      <c r="K122" s="419"/>
      <c r="L122" s="419"/>
      <c r="M122" s="419"/>
      <c r="N122" s="419"/>
      <c r="O122" s="419"/>
      <c r="P122" s="419"/>
      <c r="Q122" s="421">
        <v>868</v>
      </c>
      <c r="R122" s="421">
        <v>169</v>
      </c>
      <c r="S122" s="421">
        <v>1157</v>
      </c>
      <c r="T122" s="421">
        <v>542</v>
      </c>
      <c r="U122" s="421">
        <v>550</v>
      </c>
      <c r="V122" s="421">
        <v>7440</v>
      </c>
      <c r="W122" s="421">
        <v>1957</v>
      </c>
      <c r="X122" s="421">
        <v>1051</v>
      </c>
      <c r="Y122" s="421">
        <v>487</v>
      </c>
      <c r="Z122" s="419"/>
      <c r="AA122" s="419"/>
      <c r="AB122" s="419"/>
      <c r="AC122" s="419"/>
      <c r="AD122" s="419"/>
      <c r="AE122" s="422">
        <v>1.1676811417985506</v>
      </c>
      <c r="AF122" s="421">
        <v>22079129.940907042</v>
      </c>
      <c r="AG122" s="420">
        <v>580</v>
      </c>
      <c r="AH122" s="420">
        <v>6335</v>
      </c>
      <c r="AJ122" s="420">
        <v>383</v>
      </c>
      <c r="AK122" s="420">
        <v>0.026932001968919202</v>
      </c>
      <c r="AM122" s="420">
        <v>0</v>
      </c>
      <c r="AN122" s="420">
        <v>25</v>
      </c>
      <c r="AP122" s="420">
        <v>0</v>
      </c>
      <c r="AQ122" s="420">
        <v>0</v>
      </c>
      <c r="AR122" s="420">
        <v>737.15</v>
      </c>
      <c r="AU122" s="420">
        <v>438</v>
      </c>
      <c r="AV122" s="420">
        <v>4292</v>
      </c>
      <c r="AW122" s="420">
        <v>0.10205032618825723</v>
      </c>
      <c r="AY122" s="420">
        <v>0</v>
      </c>
      <c r="AZ122" s="421">
        <v>4570</v>
      </c>
      <c r="BA122" s="420">
        <v>5748</v>
      </c>
      <c r="BB122" s="420">
        <v>0.7950591510090467</v>
      </c>
      <c r="BD122" s="420">
        <v>0</v>
      </c>
      <c r="BE122" s="420">
        <v>0</v>
      </c>
      <c r="BF122" s="421">
        <v>0</v>
      </c>
      <c r="BG122" s="421">
        <v>0</v>
      </c>
      <c r="BH122" s="419"/>
      <c r="BI122" s="421">
        <v>0</v>
      </c>
      <c r="BJ122" s="419"/>
      <c r="BK122" s="421">
        <v>5119.5599999999995</v>
      </c>
      <c r="BL122" s="421">
        <v>-265852</v>
      </c>
      <c r="BM122" s="421">
        <v>-555468.49</v>
      </c>
      <c r="BN122" s="419"/>
      <c r="BO122" s="421">
        <v>357807.1910356991</v>
      </c>
      <c r="BP122" s="421">
        <v>1158445</v>
      </c>
      <c r="BQ122" s="421">
        <v>386915</v>
      </c>
      <c r="BR122" s="421">
        <v>964292.5946574889</v>
      </c>
      <c r="BS122" s="421">
        <v>40385.642318928454</v>
      </c>
      <c r="BT122" s="421">
        <v>123093.3811491682</v>
      </c>
      <c r="BU122" s="421">
        <v>419128.21563631925</v>
      </c>
      <c r="BV122" s="421">
        <v>779181.7214906423</v>
      </c>
      <c r="BW122" s="421">
        <v>1226683.438706409</v>
      </c>
      <c r="BX122" s="421">
        <v>340504.40546555363</v>
      </c>
      <c r="BY122" s="421">
        <v>640987.2107160434</v>
      </c>
      <c r="BZ122" s="419"/>
      <c r="CA122" s="421">
        <v>-29900.497191731003</v>
      </c>
      <c r="CB122" s="419"/>
      <c r="CC122" s="419"/>
      <c r="CD122" s="419"/>
      <c r="CE122" s="421">
        <v>858364.1379680133</v>
      </c>
      <c r="CF122" s="421">
        <v>495348.9630127904</v>
      </c>
      <c r="CG122" s="421">
        <v>601394.6589647355</v>
      </c>
      <c r="CH122" s="421">
        <v>-59045.65377765284</v>
      </c>
      <c r="CI122" s="419"/>
      <c r="CJ122" s="421">
        <v>10311920.384256091</v>
      </c>
      <c r="CK122" s="421">
        <v>149401</v>
      </c>
      <c r="CL122" s="421">
        <v>232732.8306</v>
      </c>
      <c r="CM122" s="421">
        <v>224565.19748000003</v>
      </c>
      <c r="CN122" s="421">
        <v>8167.633119999955</v>
      </c>
      <c r="CO122" s="419"/>
      <c r="CP122" s="419"/>
      <c r="CQ122" s="419"/>
      <c r="CR122" s="171">
        <v>4433</v>
      </c>
    </row>
    <row r="123" spans="1:96" ht="9.75">
      <c r="A123" s="203">
        <v>410</v>
      </c>
      <c r="B123" s="203" t="s">
        <v>179</v>
      </c>
      <c r="C123" s="421">
        <v>18823</v>
      </c>
      <c r="D123" s="419"/>
      <c r="E123" s="419"/>
      <c r="F123" s="419"/>
      <c r="G123" s="419"/>
      <c r="H123" s="500">
        <v>4291.05</v>
      </c>
      <c r="I123" s="419"/>
      <c r="J123" s="419"/>
      <c r="K123" s="419"/>
      <c r="L123" s="419"/>
      <c r="M123" s="419"/>
      <c r="N123" s="419"/>
      <c r="O123" s="419"/>
      <c r="P123" s="419"/>
      <c r="Q123" s="421">
        <v>1387</v>
      </c>
      <c r="R123" s="421">
        <v>324</v>
      </c>
      <c r="S123" s="421">
        <v>1879</v>
      </c>
      <c r="T123" s="421">
        <v>872</v>
      </c>
      <c r="U123" s="421">
        <v>719</v>
      </c>
      <c r="V123" s="421">
        <v>9772</v>
      </c>
      <c r="W123" s="421">
        <v>2299</v>
      </c>
      <c r="X123" s="421">
        <v>1152</v>
      </c>
      <c r="Y123" s="421">
        <v>419</v>
      </c>
      <c r="Z123" s="419"/>
      <c r="AA123" s="419"/>
      <c r="AB123" s="419"/>
      <c r="AC123" s="419"/>
      <c r="AD123" s="419"/>
      <c r="AE123" s="422">
        <v>0.9216108335925166</v>
      </c>
      <c r="AF123" s="421">
        <v>23065558.06749346</v>
      </c>
      <c r="AG123" s="420">
        <v>1038</v>
      </c>
      <c r="AH123" s="420">
        <v>8567</v>
      </c>
      <c r="AJ123" s="420">
        <v>257</v>
      </c>
      <c r="AK123" s="420">
        <v>0.013653509004940764</v>
      </c>
      <c r="AM123" s="420">
        <v>0</v>
      </c>
      <c r="AN123" s="420">
        <v>25</v>
      </c>
      <c r="AP123" s="420">
        <v>0</v>
      </c>
      <c r="AQ123" s="420">
        <v>0</v>
      </c>
      <c r="AR123" s="420">
        <v>648.5</v>
      </c>
      <c r="AU123" s="420">
        <v>518</v>
      </c>
      <c r="AV123" s="420">
        <v>5969</v>
      </c>
      <c r="AW123" s="420">
        <v>0.08678170547830458</v>
      </c>
      <c r="AY123" s="420">
        <v>0</v>
      </c>
      <c r="AZ123" s="421">
        <v>5440</v>
      </c>
      <c r="BA123" s="420">
        <v>7601</v>
      </c>
      <c r="BB123" s="420">
        <v>0.7156953032495724</v>
      </c>
      <c r="BD123" s="420">
        <v>0</v>
      </c>
      <c r="BE123" s="420">
        <v>2</v>
      </c>
      <c r="BF123" s="421">
        <v>0</v>
      </c>
      <c r="BG123" s="421">
        <v>0</v>
      </c>
      <c r="BH123" s="419"/>
      <c r="BI123" s="421">
        <v>0</v>
      </c>
      <c r="BJ123" s="419"/>
      <c r="BK123" s="421">
        <v>6776.28</v>
      </c>
      <c r="BL123" s="421">
        <v>194838</v>
      </c>
      <c r="BM123" s="421">
        <v>-750136.475</v>
      </c>
      <c r="BN123" s="419"/>
      <c r="BO123" s="421">
        <v>-78414.6230551675</v>
      </c>
      <c r="BP123" s="421">
        <v>1303995</v>
      </c>
      <c r="BQ123" s="421">
        <v>416357</v>
      </c>
      <c r="BR123" s="421">
        <v>855099.5997353231</v>
      </c>
      <c r="BS123" s="421">
        <v>20238.89504379743</v>
      </c>
      <c r="BT123" s="421">
        <v>20659.495845095145</v>
      </c>
      <c r="BU123" s="421">
        <v>443704.675469128</v>
      </c>
      <c r="BV123" s="421">
        <v>862823.3342152307</v>
      </c>
      <c r="BW123" s="421">
        <v>1423658.3558661467</v>
      </c>
      <c r="BX123" s="421">
        <v>329080.5211485977</v>
      </c>
      <c r="BY123" s="421">
        <v>707053.806914659</v>
      </c>
      <c r="BZ123" s="419"/>
      <c r="CA123" s="421">
        <v>91445.98612854056</v>
      </c>
      <c r="CB123" s="419"/>
      <c r="CC123" s="419"/>
      <c r="CD123" s="419"/>
      <c r="CE123" s="421">
        <v>878122.6191199832</v>
      </c>
      <c r="CF123" s="421">
        <v>572510.2680044576</v>
      </c>
      <c r="CG123" s="421">
        <v>733145.8020770462</v>
      </c>
      <c r="CH123" s="421">
        <v>-82613.93628835434</v>
      </c>
      <c r="CI123" s="419"/>
      <c r="CJ123" s="421">
        <v>11478555.964624502</v>
      </c>
      <c r="CK123" s="421">
        <v>-1273901</v>
      </c>
      <c r="CL123" s="421">
        <v>653112.5608000001</v>
      </c>
      <c r="CM123" s="421">
        <v>390034.29036</v>
      </c>
      <c r="CN123" s="421">
        <v>263078.2704400001</v>
      </c>
      <c r="CO123" s="419"/>
      <c r="CP123" s="419"/>
      <c r="CQ123" s="419"/>
      <c r="CR123" s="171">
        <v>6382</v>
      </c>
    </row>
    <row r="124" spans="1:96" ht="9.75">
      <c r="A124" s="203">
        <v>416</v>
      </c>
      <c r="B124" s="203" t="s">
        <v>180</v>
      </c>
      <c r="C124" s="421">
        <v>2964</v>
      </c>
      <c r="D124" s="419"/>
      <c r="E124" s="419"/>
      <c r="F124" s="419"/>
      <c r="G124" s="419"/>
      <c r="H124" s="500">
        <v>4291.05</v>
      </c>
      <c r="I124" s="419"/>
      <c r="J124" s="419"/>
      <c r="K124" s="419"/>
      <c r="L124" s="419"/>
      <c r="M124" s="419"/>
      <c r="N124" s="419"/>
      <c r="O124" s="419"/>
      <c r="P124" s="419"/>
      <c r="Q124" s="421">
        <v>163</v>
      </c>
      <c r="R124" s="421">
        <v>31</v>
      </c>
      <c r="S124" s="421">
        <v>254</v>
      </c>
      <c r="T124" s="421">
        <v>102</v>
      </c>
      <c r="U124" s="421">
        <v>96</v>
      </c>
      <c r="V124" s="421">
        <v>1553</v>
      </c>
      <c r="W124" s="421">
        <v>427</v>
      </c>
      <c r="X124" s="421">
        <v>230</v>
      </c>
      <c r="Y124" s="421">
        <v>108</v>
      </c>
      <c r="Z124" s="419"/>
      <c r="AA124" s="419"/>
      <c r="AB124" s="419"/>
      <c r="AC124" s="419"/>
      <c r="AD124" s="419"/>
      <c r="AE124" s="422">
        <v>0.9317976985023759</v>
      </c>
      <c r="AF124" s="421">
        <v>3672208.954984834</v>
      </c>
      <c r="AG124" s="420">
        <v>137</v>
      </c>
      <c r="AH124" s="420">
        <v>1363</v>
      </c>
      <c r="AJ124" s="420">
        <v>80</v>
      </c>
      <c r="AK124" s="420">
        <v>0.02699055330634278</v>
      </c>
      <c r="AM124" s="420">
        <v>0</v>
      </c>
      <c r="AN124" s="420">
        <v>3</v>
      </c>
      <c r="AP124" s="420">
        <v>0</v>
      </c>
      <c r="AQ124" s="420">
        <v>0</v>
      </c>
      <c r="AR124" s="420">
        <v>217.91</v>
      </c>
      <c r="AU124" s="420">
        <v>100</v>
      </c>
      <c r="AV124" s="420">
        <v>896</v>
      </c>
      <c r="AW124" s="420">
        <v>0.11160714285714286</v>
      </c>
      <c r="AY124" s="420">
        <v>0</v>
      </c>
      <c r="AZ124" s="421">
        <v>481</v>
      </c>
      <c r="BA124" s="420">
        <v>1207</v>
      </c>
      <c r="BB124" s="420">
        <v>0.3985086992543496</v>
      </c>
      <c r="BD124" s="420">
        <v>0</v>
      </c>
      <c r="BE124" s="420">
        <v>0</v>
      </c>
      <c r="BF124" s="421">
        <v>0</v>
      </c>
      <c r="BG124" s="421">
        <v>0</v>
      </c>
      <c r="BH124" s="419"/>
      <c r="BI124" s="421">
        <v>0</v>
      </c>
      <c r="BJ124" s="419"/>
      <c r="BK124" s="421">
        <v>1067.04</v>
      </c>
      <c r="BL124" s="421">
        <v>34956</v>
      </c>
      <c r="BM124" s="421">
        <v>-106346.865</v>
      </c>
      <c r="BN124" s="419"/>
      <c r="BO124" s="421">
        <v>-11455.423512226902</v>
      </c>
      <c r="BP124" s="421">
        <v>279320</v>
      </c>
      <c r="BQ124" s="421">
        <v>82236</v>
      </c>
      <c r="BR124" s="421">
        <v>190087.50948810115</v>
      </c>
      <c r="BS124" s="421">
        <v>5433.9903436895065</v>
      </c>
      <c r="BT124" s="421">
        <v>12855.739432420762</v>
      </c>
      <c r="BU124" s="421">
        <v>85809.04218262987</v>
      </c>
      <c r="BV124" s="421">
        <v>150215.59532392293</v>
      </c>
      <c r="BW124" s="421">
        <v>236626.36320856414</v>
      </c>
      <c r="BX124" s="421">
        <v>65877.87675757242</v>
      </c>
      <c r="BY124" s="421">
        <v>122636.70339636307</v>
      </c>
      <c r="BZ124" s="419"/>
      <c r="CA124" s="421">
        <v>6790.5517086032305</v>
      </c>
      <c r="CB124" s="419"/>
      <c r="CC124" s="419"/>
      <c r="CD124" s="419"/>
      <c r="CE124" s="421">
        <v>171760.77178995038</v>
      </c>
      <c r="CF124" s="421">
        <v>101282.43888344728</v>
      </c>
      <c r="CG124" s="421">
        <v>120721.2583113916</v>
      </c>
      <c r="CH124" s="421">
        <v>-13210.34468542444</v>
      </c>
      <c r="CI124" s="419"/>
      <c r="CJ124" s="421">
        <v>1968410.512758678</v>
      </c>
      <c r="CK124" s="421">
        <v>-621063</v>
      </c>
      <c r="CL124" s="421">
        <v>70199.9124</v>
      </c>
      <c r="CM124" s="421">
        <v>69335.45488</v>
      </c>
      <c r="CN124" s="421">
        <v>864.4575199999963</v>
      </c>
      <c r="CO124" s="419"/>
      <c r="CP124" s="419"/>
      <c r="CQ124" s="419"/>
      <c r="CR124" s="171">
        <v>826</v>
      </c>
    </row>
    <row r="125" spans="1:96" ht="9.75">
      <c r="A125" s="203">
        <v>418</v>
      </c>
      <c r="B125" s="203" t="s">
        <v>181</v>
      </c>
      <c r="C125" s="421">
        <v>23828</v>
      </c>
      <c r="D125" s="419"/>
      <c r="E125" s="419"/>
      <c r="F125" s="419"/>
      <c r="G125" s="419"/>
      <c r="H125" s="500">
        <v>4291.05</v>
      </c>
      <c r="I125" s="419"/>
      <c r="J125" s="419"/>
      <c r="K125" s="419"/>
      <c r="L125" s="419"/>
      <c r="M125" s="419"/>
      <c r="N125" s="419"/>
      <c r="O125" s="419"/>
      <c r="P125" s="419"/>
      <c r="Q125" s="421">
        <v>1759</v>
      </c>
      <c r="R125" s="421">
        <v>373</v>
      </c>
      <c r="S125" s="421">
        <v>2403</v>
      </c>
      <c r="T125" s="421">
        <v>1177</v>
      </c>
      <c r="U125" s="421">
        <v>938</v>
      </c>
      <c r="V125" s="421">
        <v>13156</v>
      </c>
      <c r="W125" s="421">
        <v>2379</v>
      </c>
      <c r="X125" s="421">
        <v>1217</v>
      </c>
      <c r="Y125" s="421">
        <v>426</v>
      </c>
      <c r="Z125" s="419"/>
      <c r="AA125" s="419"/>
      <c r="AB125" s="419"/>
      <c r="AC125" s="419"/>
      <c r="AD125" s="419"/>
      <c r="AE125" s="422">
        <v>0.7030199952223108</v>
      </c>
      <c r="AF125" s="421">
        <v>22273210.584113985</v>
      </c>
      <c r="AG125" s="420">
        <v>1129</v>
      </c>
      <c r="AH125" s="420">
        <v>11016</v>
      </c>
      <c r="AJ125" s="420">
        <v>641</v>
      </c>
      <c r="AK125" s="420">
        <v>0.026901124727211685</v>
      </c>
      <c r="AM125" s="420">
        <v>0</v>
      </c>
      <c r="AN125" s="420">
        <v>72</v>
      </c>
      <c r="AP125" s="420">
        <v>0</v>
      </c>
      <c r="AQ125" s="420">
        <v>0</v>
      </c>
      <c r="AR125" s="420">
        <v>269.58</v>
      </c>
      <c r="AU125" s="420">
        <v>595</v>
      </c>
      <c r="AV125" s="420">
        <v>8335</v>
      </c>
      <c r="AW125" s="420">
        <v>0.07138572285542892</v>
      </c>
      <c r="AY125" s="420">
        <v>0</v>
      </c>
      <c r="AZ125" s="421">
        <v>7623</v>
      </c>
      <c r="BA125" s="420">
        <v>10519</v>
      </c>
      <c r="BB125" s="420">
        <v>0.7246886586177393</v>
      </c>
      <c r="BD125" s="420">
        <v>0</v>
      </c>
      <c r="BE125" s="420">
        <v>0</v>
      </c>
      <c r="BF125" s="421">
        <v>0</v>
      </c>
      <c r="BG125" s="421">
        <v>0</v>
      </c>
      <c r="BH125" s="419"/>
      <c r="BI125" s="421">
        <v>0</v>
      </c>
      <c r="BJ125" s="419"/>
      <c r="BK125" s="421">
        <v>8578.08</v>
      </c>
      <c r="BL125" s="421">
        <v>343408</v>
      </c>
      <c r="BM125" s="421">
        <v>-1080364.745</v>
      </c>
      <c r="BN125" s="419"/>
      <c r="BO125" s="421">
        <v>-22639.194855719805</v>
      </c>
      <c r="BP125" s="421">
        <v>1342222</v>
      </c>
      <c r="BQ125" s="421">
        <v>425216</v>
      </c>
      <c r="BR125" s="421">
        <v>845415.0618822824</v>
      </c>
      <c r="BS125" s="421">
        <v>8296.370292491418</v>
      </c>
      <c r="BT125" s="421">
        <v>-22793.950664415817</v>
      </c>
      <c r="BU125" s="421">
        <v>436658.97893666575</v>
      </c>
      <c r="BV125" s="421">
        <v>906480.7620530743</v>
      </c>
      <c r="BW125" s="421">
        <v>1500871.9621401401</v>
      </c>
      <c r="BX125" s="421">
        <v>378895.34219319944</v>
      </c>
      <c r="BY125" s="421">
        <v>753953.5517261815</v>
      </c>
      <c r="BZ125" s="419"/>
      <c r="CA125" s="421">
        <v>28264.493502075667</v>
      </c>
      <c r="CB125" s="419"/>
      <c r="CC125" s="419"/>
      <c r="CD125" s="419"/>
      <c r="CE125" s="421">
        <v>931237.0161211846</v>
      </c>
      <c r="CF125" s="421">
        <v>627832.1011755827</v>
      </c>
      <c r="CG125" s="421">
        <v>857805.5153097698</v>
      </c>
      <c r="CH125" s="421">
        <v>-116384.25810655633</v>
      </c>
      <c r="CI125" s="419"/>
      <c r="CJ125" s="421">
        <v>87727.44689265636</v>
      </c>
      <c r="CK125" s="421">
        <v>-2245054</v>
      </c>
      <c r="CL125" s="421">
        <v>661906.1804000002</v>
      </c>
      <c r="CM125" s="421">
        <v>947530.397228</v>
      </c>
      <c r="CN125" s="421">
        <v>-285624.2168279998</v>
      </c>
      <c r="CO125" s="419"/>
      <c r="CP125" s="419"/>
      <c r="CQ125" s="419"/>
      <c r="CR125" s="171">
        <v>8582</v>
      </c>
    </row>
    <row r="126" spans="1:96" ht="9.75">
      <c r="A126" s="203">
        <v>420</v>
      </c>
      <c r="B126" s="203" t="s">
        <v>182</v>
      </c>
      <c r="C126" s="421">
        <v>9402</v>
      </c>
      <c r="D126" s="419"/>
      <c r="E126" s="419"/>
      <c r="F126" s="419"/>
      <c r="G126" s="419"/>
      <c r="H126" s="500">
        <v>4291.05</v>
      </c>
      <c r="I126" s="419"/>
      <c r="J126" s="419"/>
      <c r="K126" s="419"/>
      <c r="L126" s="419"/>
      <c r="M126" s="419"/>
      <c r="N126" s="419"/>
      <c r="O126" s="419"/>
      <c r="P126" s="419"/>
      <c r="Q126" s="421">
        <v>417</v>
      </c>
      <c r="R126" s="421">
        <v>68</v>
      </c>
      <c r="S126" s="421">
        <v>581</v>
      </c>
      <c r="T126" s="421">
        <v>286</v>
      </c>
      <c r="U126" s="421">
        <v>279</v>
      </c>
      <c r="V126" s="421">
        <v>4806</v>
      </c>
      <c r="W126" s="421">
        <v>1615</v>
      </c>
      <c r="X126" s="421">
        <v>946</v>
      </c>
      <c r="Y126" s="421">
        <v>404</v>
      </c>
      <c r="Z126" s="419"/>
      <c r="AA126" s="419"/>
      <c r="AB126" s="419"/>
      <c r="AC126" s="419"/>
      <c r="AD126" s="419"/>
      <c r="AE126" s="422">
        <v>1.461811612123867</v>
      </c>
      <c r="AF126" s="421">
        <v>18274235.081721954</v>
      </c>
      <c r="AG126" s="420">
        <v>501</v>
      </c>
      <c r="AH126" s="420">
        <v>4100</v>
      </c>
      <c r="AJ126" s="420">
        <v>193</v>
      </c>
      <c r="AK126" s="420">
        <v>0.020527547330355243</v>
      </c>
      <c r="AM126" s="420">
        <v>0</v>
      </c>
      <c r="AN126" s="420">
        <v>13</v>
      </c>
      <c r="AP126" s="420">
        <v>0</v>
      </c>
      <c r="AQ126" s="420">
        <v>0</v>
      </c>
      <c r="AR126" s="420">
        <v>1135.99</v>
      </c>
      <c r="AU126" s="420">
        <v>275</v>
      </c>
      <c r="AV126" s="420">
        <v>2539</v>
      </c>
      <c r="AW126" s="420">
        <v>0.10831035840882237</v>
      </c>
      <c r="AY126" s="420">
        <v>0</v>
      </c>
      <c r="AZ126" s="421">
        <v>2849</v>
      </c>
      <c r="BA126" s="420">
        <v>3573</v>
      </c>
      <c r="BB126" s="420">
        <v>0.797369157570669</v>
      </c>
      <c r="BD126" s="420">
        <v>0</v>
      </c>
      <c r="BE126" s="420">
        <v>0</v>
      </c>
      <c r="BF126" s="421">
        <v>0</v>
      </c>
      <c r="BG126" s="421">
        <v>0</v>
      </c>
      <c r="BH126" s="419"/>
      <c r="BI126" s="421">
        <v>0</v>
      </c>
      <c r="BJ126" s="419"/>
      <c r="BK126" s="421">
        <v>3384.72</v>
      </c>
      <c r="BL126" s="421">
        <v>13462</v>
      </c>
      <c r="BM126" s="421">
        <v>-377087.93</v>
      </c>
      <c r="BN126" s="419"/>
      <c r="BO126" s="421">
        <v>-162756.96273579448</v>
      </c>
      <c r="BP126" s="421">
        <v>916807</v>
      </c>
      <c r="BQ126" s="421">
        <v>274888</v>
      </c>
      <c r="BR126" s="421">
        <v>642507.6030536001</v>
      </c>
      <c r="BS126" s="421">
        <v>26076.26417859702</v>
      </c>
      <c r="BT126" s="421">
        <v>100966.89511105619</v>
      </c>
      <c r="BU126" s="421">
        <v>316588.37062268355</v>
      </c>
      <c r="BV126" s="421">
        <v>483606.50641529675</v>
      </c>
      <c r="BW126" s="421">
        <v>771459.6196428823</v>
      </c>
      <c r="BX126" s="421">
        <v>225046.2031277343</v>
      </c>
      <c r="BY126" s="421">
        <v>416066.2286854894</v>
      </c>
      <c r="BZ126" s="419"/>
      <c r="CA126" s="421">
        <v>31509.96796253744</v>
      </c>
      <c r="CB126" s="419"/>
      <c r="CC126" s="419"/>
      <c r="CD126" s="419"/>
      <c r="CE126" s="421">
        <v>545904.3005056434</v>
      </c>
      <c r="CF126" s="421">
        <v>314502.15227749647</v>
      </c>
      <c r="CG126" s="421">
        <v>385604.62189793825</v>
      </c>
      <c r="CH126" s="421">
        <v>-41271.35525661025</v>
      </c>
      <c r="CI126" s="419"/>
      <c r="CJ126" s="421">
        <v>4518855.904064715</v>
      </c>
      <c r="CK126" s="421">
        <v>-991439</v>
      </c>
      <c r="CL126" s="421">
        <v>162458.396</v>
      </c>
      <c r="CM126" s="421">
        <v>267639.02908</v>
      </c>
      <c r="CN126" s="421">
        <v>-105180.63308</v>
      </c>
      <c r="CO126" s="419"/>
      <c r="CP126" s="419"/>
      <c r="CQ126" s="419"/>
      <c r="CR126" s="171">
        <v>2183</v>
      </c>
    </row>
    <row r="127" spans="1:96" ht="9.75">
      <c r="A127" s="203">
        <v>421</v>
      </c>
      <c r="B127" s="203" t="s">
        <v>183</v>
      </c>
      <c r="C127" s="421">
        <v>722</v>
      </c>
      <c r="D127" s="419"/>
      <c r="E127" s="419"/>
      <c r="F127" s="419"/>
      <c r="G127" s="419"/>
      <c r="H127" s="500">
        <v>4291.05</v>
      </c>
      <c r="I127" s="419"/>
      <c r="J127" s="419"/>
      <c r="K127" s="419"/>
      <c r="L127" s="419"/>
      <c r="M127" s="419"/>
      <c r="N127" s="419"/>
      <c r="O127" s="419"/>
      <c r="P127" s="419"/>
      <c r="Q127" s="421">
        <v>44</v>
      </c>
      <c r="R127" s="421">
        <v>7</v>
      </c>
      <c r="S127" s="421">
        <v>43</v>
      </c>
      <c r="T127" s="421">
        <v>24</v>
      </c>
      <c r="U127" s="421">
        <v>22</v>
      </c>
      <c r="V127" s="421">
        <v>356</v>
      </c>
      <c r="W127" s="421">
        <v>135</v>
      </c>
      <c r="X127" s="421">
        <v>57</v>
      </c>
      <c r="Y127" s="421">
        <v>34</v>
      </c>
      <c r="Z127" s="419"/>
      <c r="AA127" s="419"/>
      <c r="AB127" s="419"/>
      <c r="AC127" s="419"/>
      <c r="AD127" s="419"/>
      <c r="AE127" s="422">
        <v>1.2749237318093274</v>
      </c>
      <c r="AF127" s="421">
        <v>1223908.5162752646</v>
      </c>
      <c r="AG127" s="420">
        <v>27</v>
      </c>
      <c r="AH127" s="420">
        <v>284</v>
      </c>
      <c r="AJ127" s="420">
        <v>14</v>
      </c>
      <c r="AK127" s="420">
        <v>0.019390581717451522</v>
      </c>
      <c r="AM127" s="420">
        <v>0</v>
      </c>
      <c r="AN127" s="420">
        <v>1</v>
      </c>
      <c r="AP127" s="420">
        <v>0</v>
      </c>
      <c r="AQ127" s="420">
        <v>0</v>
      </c>
      <c r="AR127" s="420">
        <v>480.07</v>
      </c>
      <c r="AU127" s="420">
        <v>13</v>
      </c>
      <c r="AV127" s="420">
        <v>148</v>
      </c>
      <c r="AW127" s="420">
        <v>0.08783783783783784</v>
      </c>
      <c r="AY127" s="420">
        <v>0.9386</v>
      </c>
      <c r="AZ127" s="421">
        <v>260</v>
      </c>
      <c r="BA127" s="420">
        <v>256</v>
      </c>
      <c r="BB127" s="420">
        <v>1.015625</v>
      </c>
      <c r="BD127" s="420">
        <v>0</v>
      </c>
      <c r="BE127" s="420">
        <v>0</v>
      </c>
      <c r="BF127" s="421">
        <v>0</v>
      </c>
      <c r="BG127" s="421">
        <v>0</v>
      </c>
      <c r="BH127" s="419"/>
      <c r="BI127" s="421">
        <v>0</v>
      </c>
      <c r="BJ127" s="419"/>
      <c r="BK127" s="421">
        <v>259.92</v>
      </c>
      <c r="BL127" s="421">
        <v>18127</v>
      </c>
      <c r="BM127" s="421">
        <v>-14506.825</v>
      </c>
      <c r="BN127" s="419"/>
      <c r="BO127" s="421">
        <v>39125.340264778584</v>
      </c>
      <c r="BP127" s="421">
        <v>87058</v>
      </c>
      <c r="BQ127" s="421">
        <v>27619</v>
      </c>
      <c r="BR127" s="421">
        <v>77405.55972526678</v>
      </c>
      <c r="BS127" s="421">
        <v>3950.5922864278295</v>
      </c>
      <c r="BT127" s="421">
        <v>13927.977188081828</v>
      </c>
      <c r="BU127" s="421">
        <v>33393.64252528982</v>
      </c>
      <c r="BV127" s="421">
        <v>41412.7244548931</v>
      </c>
      <c r="BW127" s="421">
        <v>78470.13888235787</v>
      </c>
      <c r="BX127" s="421">
        <v>23278.63636519998</v>
      </c>
      <c r="BY127" s="421">
        <v>41380.884639625365</v>
      </c>
      <c r="BZ127" s="419"/>
      <c r="CA127" s="421">
        <v>-10671.592234454174</v>
      </c>
      <c r="CB127" s="419"/>
      <c r="CC127" s="419"/>
      <c r="CD127" s="419"/>
      <c r="CE127" s="421">
        <v>58612.48138877049</v>
      </c>
      <c r="CF127" s="421">
        <v>28266.97538793252</v>
      </c>
      <c r="CG127" s="421">
        <v>30381.833291077455</v>
      </c>
      <c r="CH127" s="421">
        <v>-2627.4075630571115</v>
      </c>
      <c r="CI127" s="419"/>
      <c r="CJ127" s="421">
        <v>479179.21691361733</v>
      </c>
      <c r="CK127" s="421">
        <v>-188960</v>
      </c>
      <c r="CL127" s="421">
        <v>0</v>
      </c>
      <c r="CM127" s="421">
        <v>0</v>
      </c>
      <c r="CN127" s="421">
        <v>0</v>
      </c>
      <c r="CO127" s="419"/>
      <c r="CP127" s="419"/>
      <c r="CQ127" s="419"/>
      <c r="CR127" s="171">
        <v>189</v>
      </c>
    </row>
    <row r="128" spans="1:96" ht="9.75">
      <c r="A128" s="203">
        <v>422</v>
      </c>
      <c r="B128" s="203" t="s">
        <v>184</v>
      </c>
      <c r="C128" s="421">
        <v>10719</v>
      </c>
      <c r="D128" s="419"/>
      <c r="E128" s="419"/>
      <c r="F128" s="419"/>
      <c r="G128" s="419"/>
      <c r="H128" s="500">
        <v>4291.05</v>
      </c>
      <c r="I128" s="419"/>
      <c r="J128" s="419"/>
      <c r="K128" s="419"/>
      <c r="L128" s="419"/>
      <c r="M128" s="419"/>
      <c r="N128" s="419"/>
      <c r="O128" s="419"/>
      <c r="P128" s="419"/>
      <c r="Q128" s="421">
        <v>340</v>
      </c>
      <c r="R128" s="421">
        <v>69</v>
      </c>
      <c r="S128" s="421">
        <v>493</v>
      </c>
      <c r="T128" s="421">
        <v>242</v>
      </c>
      <c r="U128" s="421">
        <v>265</v>
      </c>
      <c r="V128" s="421">
        <v>5229</v>
      </c>
      <c r="W128" s="421">
        <v>2319</v>
      </c>
      <c r="X128" s="421">
        <v>1276</v>
      </c>
      <c r="Y128" s="421">
        <v>486</v>
      </c>
      <c r="Z128" s="419"/>
      <c r="AA128" s="419"/>
      <c r="AB128" s="419"/>
      <c r="AC128" s="419"/>
      <c r="AD128" s="419"/>
      <c r="AE128" s="422">
        <v>1.6444846731920408</v>
      </c>
      <c r="AF128" s="421">
        <v>23437519.883735314</v>
      </c>
      <c r="AG128" s="420">
        <v>722</v>
      </c>
      <c r="AH128" s="420">
        <v>4172</v>
      </c>
      <c r="AJ128" s="420">
        <v>439</v>
      </c>
      <c r="AK128" s="420">
        <v>0.040955312995615265</v>
      </c>
      <c r="AM128" s="420">
        <v>0</v>
      </c>
      <c r="AN128" s="420">
        <v>10</v>
      </c>
      <c r="AP128" s="420">
        <v>3</v>
      </c>
      <c r="AQ128" s="420">
        <v>245</v>
      </c>
      <c r="AR128" s="420">
        <v>3417.88</v>
      </c>
      <c r="AU128" s="420">
        <v>374</v>
      </c>
      <c r="AV128" s="420">
        <v>2401</v>
      </c>
      <c r="AW128" s="420">
        <v>0.15576842982090797</v>
      </c>
      <c r="AY128" s="420">
        <v>0.9987</v>
      </c>
      <c r="AZ128" s="421">
        <v>3491</v>
      </c>
      <c r="BA128" s="420">
        <v>3401</v>
      </c>
      <c r="BB128" s="420">
        <v>1.0264628050573361</v>
      </c>
      <c r="BD128" s="420">
        <v>0</v>
      </c>
      <c r="BE128" s="420">
        <v>0</v>
      </c>
      <c r="BF128" s="421">
        <v>0</v>
      </c>
      <c r="BG128" s="421">
        <v>0</v>
      </c>
      <c r="BH128" s="419"/>
      <c r="BI128" s="421">
        <v>0</v>
      </c>
      <c r="BJ128" s="419"/>
      <c r="BK128" s="421">
        <v>3858.8399999999997</v>
      </c>
      <c r="BL128" s="421">
        <v>635429</v>
      </c>
      <c r="BM128" s="421">
        <v>-388958.88</v>
      </c>
      <c r="BN128" s="419"/>
      <c r="BO128" s="421">
        <v>-315981.70902796835</v>
      </c>
      <c r="BP128" s="421">
        <v>1068144</v>
      </c>
      <c r="BQ128" s="421">
        <v>308816</v>
      </c>
      <c r="BR128" s="421">
        <v>830643.1792137162</v>
      </c>
      <c r="BS128" s="421">
        <v>50258.222704215</v>
      </c>
      <c r="BT128" s="421">
        <v>160868.26536115995</v>
      </c>
      <c r="BU128" s="421">
        <v>477634.4870978819</v>
      </c>
      <c r="BV128" s="421">
        <v>576044.7873923811</v>
      </c>
      <c r="BW128" s="421">
        <v>990194.3049416464</v>
      </c>
      <c r="BX128" s="421">
        <v>262197.11248605064</v>
      </c>
      <c r="BY128" s="421">
        <v>511283.1012130259</v>
      </c>
      <c r="BZ128" s="419"/>
      <c r="CA128" s="421">
        <v>108844.53860003932</v>
      </c>
      <c r="CB128" s="419"/>
      <c r="CC128" s="419"/>
      <c r="CD128" s="419"/>
      <c r="CE128" s="421">
        <v>647151.1154425527</v>
      </c>
      <c r="CF128" s="421">
        <v>369920.0194040598</v>
      </c>
      <c r="CG128" s="421">
        <v>447819.2548472859</v>
      </c>
      <c r="CH128" s="421">
        <v>-44900.25399304692</v>
      </c>
      <c r="CI128" s="419"/>
      <c r="CJ128" s="421">
        <v>6555398.013302391</v>
      </c>
      <c r="CK128" s="421">
        <v>-426638</v>
      </c>
      <c r="CL128" s="421">
        <v>313067.7622</v>
      </c>
      <c r="CM128" s="421">
        <v>166109.98380000002</v>
      </c>
      <c r="CN128" s="421">
        <v>146957.77839999998</v>
      </c>
      <c r="CO128" s="419"/>
      <c r="CP128" s="419"/>
      <c r="CQ128" s="419"/>
      <c r="CR128" s="171">
        <v>2067</v>
      </c>
    </row>
    <row r="129" spans="1:96" ht="9.75">
      <c r="A129" s="203">
        <v>423</v>
      </c>
      <c r="B129" s="203" t="s">
        <v>185</v>
      </c>
      <c r="C129" s="421">
        <v>20146</v>
      </c>
      <c r="D129" s="419"/>
      <c r="E129" s="419"/>
      <c r="F129" s="419"/>
      <c r="G129" s="419"/>
      <c r="H129" s="500">
        <v>4291.05</v>
      </c>
      <c r="I129" s="419"/>
      <c r="J129" s="419"/>
      <c r="K129" s="419"/>
      <c r="L129" s="419"/>
      <c r="M129" s="419"/>
      <c r="N129" s="419"/>
      <c r="O129" s="419"/>
      <c r="P129" s="419"/>
      <c r="Q129" s="421">
        <v>1290</v>
      </c>
      <c r="R129" s="421">
        <v>299</v>
      </c>
      <c r="S129" s="421">
        <v>1787</v>
      </c>
      <c r="T129" s="421">
        <v>825</v>
      </c>
      <c r="U129" s="421">
        <v>795</v>
      </c>
      <c r="V129" s="421">
        <v>11177</v>
      </c>
      <c r="W129" s="421">
        <v>2287</v>
      </c>
      <c r="X129" s="421">
        <v>1234</v>
      </c>
      <c r="Y129" s="421">
        <v>452</v>
      </c>
      <c r="Z129" s="419"/>
      <c r="AA129" s="419"/>
      <c r="AB129" s="419"/>
      <c r="AC129" s="419"/>
      <c r="AD129" s="419"/>
      <c r="AE129" s="422">
        <v>0.7828481895160322</v>
      </c>
      <c r="AF129" s="421">
        <v>20969782.912074868</v>
      </c>
      <c r="AG129" s="420">
        <v>804</v>
      </c>
      <c r="AH129" s="420">
        <v>9806</v>
      </c>
      <c r="AJ129" s="420">
        <v>709</v>
      </c>
      <c r="AK129" s="420">
        <v>0.035193090439789534</v>
      </c>
      <c r="AM129" s="420">
        <v>0</v>
      </c>
      <c r="AN129" s="420">
        <v>287</v>
      </c>
      <c r="AP129" s="420">
        <v>0</v>
      </c>
      <c r="AQ129" s="420">
        <v>0</v>
      </c>
      <c r="AR129" s="420">
        <v>300.54</v>
      </c>
      <c r="AU129" s="420">
        <v>606</v>
      </c>
      <c r="AV129" s="420">
        <v>7009</v>
      </c>
      <c r="AW129" s="420">
        <v>0.08646026537309173</v>
      </c>
      <c r="AY129" s="420">
        <v>0</v>
      </c>
      <c r="AZ129" s="421">
        <v>6593</v>
      </c>
      <c r="BA129" s="420">
        <v>9353</v>
      </c>
      <c r="BB129" s="420">
        <v>0.7049075163049289</v>
      </c>
      <c r="BD129" s="420">
        <v>0</v>
      </c>
      <c r="BE129" s="420">
        <v>1</v>
      </c>
      <c r="BF129" s="421">
        <v>0</v>
      </c>
      <c r="BG129" s="421">
        <v>0</v>
      </c>
      <c r="BH129" s="419"/>
      <c r="BI129" s="421">
        <v>0</v>
      </c>
      <c r="BJ129" s="419"/>
      <c r="BK129" s="421">
        <v>7252.5599999999995</v>
      </c>
      <c r="BL129" s="421">
        <v>13774</v>
      </c>
      <c r="BM129" s="421">
        <v>-480922.9813</v>
      </c>
      <c r="BN129" s="419"/>
      <c r="BO129" s="421">
        <v>-70084.70936955605</v>
      </c>
      <c r="BP129" s="421">
        <v>1240823</v>
      </c>
      <c r="BQ129" s="421">
        <v>412341</v>
      </c>
      <c r="BR129" s="421">
        <v>713439.9012823217</v>
      </c>
      <c r="BS129" s="421">
        <v>8667.180460595026</v>
      </c>
      <c r="BT129" s="421">
        <v>-59692.6854276775</v>
      </c>
      <c r="BU129" s="421">
        <v>360453.8116336227</v>
      </c>
      <c r="BV129" s="421">
        <v>779973.237662184</v>
      </c>
      <c r="BW129" s="421">
        <v>1391968.517984017</v>
      </c>
      <c r="BX129" s="421">
        <v>350090.31404010975</v>
      </c>
      <c r="BY129" s="421">
        <v>658548.9317850033</v>
      </c>
      <c r="BZ129" s="419"/>
      <c r="CA129" s="421">
        <v>-71237.50563507101</v>
      </c>
      <c r="CB129" s="419"/>
      <c r="CC129" s="419"/>
      <c r="CD129" s="419"/>
      <c r="CE129" s="421">
        <v>795753.7438294659</v>
      </c>
      <c r="CF129" s="421">
        <v>559146.9662307823</v>
      </c>
      <c r="CG129" s="421">
        <v>756770.2788695752</v>
      </c>
      <c r="CH129" s="421">
        <v>-93450.14233020748</v>
      </c>
      <c r="CI129" s="419"/>
      <c r="CJ129" s="421">
        <v>93649.76588310157</v>
      </c>
      <c r="CK129" s="421">
        <v>-1547743</v>
      </c>
      <c r="CL129" s="421">
        <v>675618.2652</v>
      </c>
      <c r="CM129" s="421">
        <v>1395353.6727999996</v>
      </c>
      <c r="CN129" s="421">
        <v>-719735.4075999996</v>
      </c>
      <c r="CO129" s="419"/>
      <c r="CP129" s="419"/>
      <c r="CQ129" s="419"/>
      <c r="CR129" s="171">
        <v>6464</v>
      </c>
    </row>
    <row r="130" spans="1:96" ht="9.75">
      <c r="A130" s="203">
        <v>425</v>
      </c>
      <c r="B130" s="203" t="s">
        <v>186</v>
      </c>
      <c r="C130" s="421">
        <v>10238</v>
      </c>
      <c r="D130" s="419"/>
      <c r="E130" s="419"/>
      <c r="F130" s="419"/>
      <c r="G130" s="419"/>
      <c r="H130" s="500">
        <v>4291.05</v>
      </c>
      <c r="I130" s="419"/>
      <c r="J130" s="419"/>
      <c r="K130" s="419"/>
      <c r="L130" s="419"/>
      <c r="M130" s="419"/>
      <c r="N130" s="419"/>
      <c r="O130" s="419"/>
      <c r="P130" s="419"/>
      <c r="Q130" s="421">
        <v>1055</v>
      </c>
      <c r="R130" s="421">
        <v>216</v>
      </c>
      <c r="S130" s="421">
        <v>1484</v>
      </c>
      <c r="T130" s="421">
        <v>733</v>
      </c>
      <c r="U130" s="421">
        <v>600</v>
      </c>
      <c r="V130" s="421">
        <v>5074</v>
      </c>
      <c r="W130" s="421">
        <v>623</v>
      </c>
      <c r="X130" s="421">
        <v>324</v>
      </c>
      <c r="Y130" s="421">
        <v>129</v>
      </c>
      <c r="Z130" s="419"/>
      <c r="AA130" s="419"/>
      <c r="AB130" s="419"/>
      <c r="AC130" s="419"/>
      <c r="AD130" s="419"/>
      <c r="AE130" s="422">
        <v>0.6501679856975141</v>
      </c>
      <c r="AF130" s="421">
        <v>8850509.234474014</v>
      </c>
      <c r="AG130" s="420">
        <v>407</v>
      </c>
      <c r="AH130" s="420">
        <v>4381</v>
      </c>
      <c r="AJ130" s="420">
        <v>80</v>
      </c>
      <c r="AK130" s="420">
        <v>0.007814026176987694</v>
      </c>
      <c r="AM130" s="420">
        <v>0</v>
      </c>
      <c r="AN130" s="420">
        <v>11</v>
      </c>
      <c r="AP130" s="420">
        <v>0</v>
      </c>
      <c r="AQ130" s="420">
        <v>0</v>
      </c>
      <c r="AR130" s="420">
        <v>637.31</v>
      </c>
      <c r="AU130" s="420">
        <v>195</v>
      </c>
      <c r="AV130" s="420">
        <v>3404</v>
      </c>
      <c r="AW130" s="420">
        <v>0.0572855464159812</v>
      </c>
      <c r="AY130" s="420">
        <v>0</v>
      </c>
      <c r="AZ130" s="421">
        <v>2692</v>
      </c>
      <c r="BA130" s="420">
        <v>4077</v>
      </c>
      <c r="BB130" s="420">
        <v>0.6602894285013491</v>
      </c>
      <c r="BD130" s="420">
        <v>0</v>
      </c>
      <c r="BE130" s="420">
        <v>4</v>
      </c>
      <c r="BF130" s="421">
        <v>0</v>
      </c>
      <c r="BG130" s="421">
        <v>0</v>
      </c>
      <c r="BH130" s="419"/>
      <c r="BI130" s="421">
        <v>0</v>
      </c>
      <c r="BJ130" s="419"/>
      <c r="BK130" s="421">
        <v>3685.68</v>
      </c>
      <c r="BL130" s="421">
        <v>40867</v>
      </c>
      <c r="BM130" s="421">
        <v>-179570.3225</v>
      </c>
      <c r="BN130" s="419"/>
      <c r="BO130" s="421">
        <v>-237163.8779362552</v>
      </c>
      <c r="BP130" s="421">
        <v>593519</v>
      </c>
      <c r="BQ130" s="421">
        <v>166010</v>
      </c>
      <c r="BR130" s="421">
        <v>333043.6696408922</v>
      </c>
      <c r="BS130" s="421">
        <v>-639.7687502854976</v>
      </c>
      <c r="BT130" s="421">
        <v>-12296.181836887137</v>
      </c>
      <c r="BU130" s="421">
        <v>206898.77974201023</v>
      </c>
      <c r="BV130" s="421">
        <v>384628.31613368576</v>
      </c>
      <c r="BW130" s="421">
        <v>580936.6325078302</v>
      </c>
      <c r="BX130" s="421">
        <v>119767.59798885522</v>
      </c>
      <c r="BY130" s="421">
        <v>301142.6827639761</v>
      </c>
      <c r="BZ130" s="419"/>
      <c r="CA130" s="421">
        <v>37961.786778954076</v>
      </c>
      <c r="CB130" s="419"/>
      <c r="CC130" s="419"/>
      <c r="CD130" s="419"/>
      <c r="CE130" s="421">
        <v>419271.47203865193</v>
      </c>
      <c r="CF130" s="421">
        <v>265227.018837295</v>
      </c>
      <c r="CG130" s="421">
        <v>336923.88674735563</v>
      </c>
      <c r="CH130" s="421">
        <v>-40542.91742711831</v>
      </c>
      <c r="CI130" s="419"/>
      <c r="CJ130" s="421">
        <v>7623171.757007284</v>
      </c>
      <c r="CK130" s="421">
        <v>648400</v>
      </c>
      <c r="CL130" s="421">
        <v>311577.31820000004</v>
      </c>
      <c r="CM130" s="421">
        <v>145288.48112</v>
      </c>
      <c r="CN130" s="421">
        <v>166288.83708000003</v>
      </c>
      <c r="CO130" s="419"/>
      <c r="CP130" s="419"/>
      <c r="CQ130" s="419"/>
      <c r="CR130" s="171">
        <v>4873</v>
      </c>
    </row>
    <row r="131" spans="1:96" ht="9.75">
      <c r="A131" s="203">
        <v>426</v>
      </c>
      <c r="B131" s="203" t="s">
        <v>187</v>
      </c>
      <c r="C131" s="421">
        <v>11994</v>
      </c>
      <c r="D131" s="419"/>
      <c r="E131" s="419"/>
      <c r="F131" s="419"/>
      <c r="G131" s="419"/>
      <c r="H131" s="500">
        <v>4291.05</v>
      </c>
      <c r="I131" s="419"/>
      <c r="J131" s="419"/>
      <c r="K131" s="419"/>
      <c r="L131" s="419"/>
      <c r="M131" s="419"/>
      <c r="N131" s="419"/>
      <c r="O131" s="419"/>
      <c r="P131" s="419"/>
      <c r="Q131" s="421">
        <v>727</v>
      </c>
      <c r="R131" s="421">
        <v>158</v>
      </c>
      <c r="S131" s="421">
        <v>988</v>
      </c>
      <c r="T131" s="421">
        <v>452</v>
      </c>
      <c r="U131" s="421">
        <v>380</v>
      </c>
      <c r="V131" s="421">
        <v>6587</v>
      </c>
      <c r="W131" s="421">
        <v>1602</v>
      </c>
      <c r="X131" s="421">
        <v>811</v>
      </c>
      <c r="Y131" s="421">
        <v>289</v>
      </c>
      <c r="Z131" s="419"/>
      <c r="AA131" s="419"/>
      <c r="AB131" s="419"/>
      <c r="AC131" s="419"/>
      <c r="AD131" s="419"/>
      <c r="AE131" s="422">
        <v>1.1306692684701591</v>
      </c>
      <c r="AF131" s="421">
        <v>18031306.06795468</v>
      </c>
      <c r="AG131" s="420">
        <v>754</v>
      </c>
      <c r="AH131" s="420">
        <v>5653</v>
      </c>
      <c r="AJ131" s="420">
        <v>212</v>
      </c>
      <c r="AK131" s="420">
        <v>0.017675504418876106</v>
      </c>
      <c r="AM131" s="420">
        <v>0</v>
      </c>
      <c r="AN131" s="420">
        <v>8</v>
      </c>
      <c r="AP131" s="420">
        <v>3</v>
      </c>
      <c r="AQ131" s="420">
        <v>468</v>
      </c>
      <c r="AR131" s="420">
        <v>726.87</v>
      </c>
      <c r="AU131" s="420">
        <v>315</v>
      </c>
      <c r="AV131" s="420">
        <v>3756</v>
      </c>
      <c r="AW131" s="420">
        <v>0.08386581469648563</v>
      </c>
      <c r="AY131" s="420">
        <v>0</v>
      </c>
      <c r="AZ131" s="421">
        <v>3412</v>
      </c>
      <c r="BA131" s="420">
        <v>4977</v>
      </c>
      <c r="BB131" s="420">
        <v>0.68555354631304</v>
      </c>
      <c r="BD131" s="420">
        <v>0</v>
      </c>
      <c r="BE131" s="420">
        <v>1</v>
      </c>
      <c r="BF131" s="421">
        <v>0</v>
      </c>
      <c r="BG131" s="421">
        <v>0</v>
      </c>
      <c r="BH131" s="419"/>
      <c r="BI131" s="421">
        <v>0</v>
      </c>
      <c r="BJ131" s="419"/>
      <c r="BK131" s="421">
        <v>4317.84</v>
      </c>
      <c r="BL131" s="421">
        <v>290281</v>
      </c>
      <c r="BM131" s="421">
        <v>-541601.64</v>
      </c>
      <c r="BN131" s="419"/>
      <c r="BO131" s="421">
        <v>172946.06286363304</v>
      </c>
      <c r="BP131" s="421">
        <v>1003309</v>
      </c>
      <c r="BQ131" s="421">
        <v>306424</v>
      </c>
      <c r="BR131" s="421">
        <v>750447.3038160001</v>
      </c>
      <c r="BS131" s="421">
        <v>30134.69636581449</v>
      </c>
      <c r="BT131" s="421">
        <v>133757.863734118</v>
      </c>
      <c r="BU131" s="421">
        <v>345272.9908266246</v>
      </c>
      <c r="BV131" s="421">
        <v>626254.9905556756</v>
      </c>
      <c r="BW131" s="421">
        <v>1002006.8323394094</v>
      </c>
      <c r="BX131" s="421">
        <v>274048.85143614374</v>
      </c>
      <c r="BY131" s="421">
        <v>527260.1509002985</v>
      </c>
      <c r="BZ131" s="419"/>
      <c r="CA131" s="421">
        <v>93145.61939131506</v>
      </c>
      <c r="CB131" s="419"/>
      <c r="CC131" s="419"/>
      <c r="CD131" s="419"/>
      <c r="CE131" s="421">
        <v>682821.2231143776</v>
      </c>
      <c r="CF131" s="421">
        <v>419009.0129895004</v>
      </c>
      <c r="CG131" s="421">
        <v>520009.4923851349</v>
      </c>
      <c r="CH131" s="421">
        <v>-48823.38127164062</v>
      </c>
      <c r="CI131" s="419"/>
      <c r="CJ131" s="421">
        <v>9639881.992734762</v>
      </c>
      <c r="CK131" s="421">
        <v>-2735730</v>
      </c>
      <c r="CL131" s="421">
        <v>44713.32</v>
      </c>
      <c r="CM131" s="421">
        <v>1237056.596448</v>
      </c>
      <c r="CN131" s="421">
        <v>-1192343.276448</v>
      </c>
      <c r="CO131" s="419"/>
      <c r="CP131" s="419"/>
      <c r="CQ131" s="419"/>
      <c r="CR131" s="171">
        <v>3545</v>
      </c>
    </row>
    <row r="132" spans="1:96" ht="9.75">
      <c r="A132" s="203">
        <v>444</v>
      </c>
      <c r="B132" s="203" t="s">
        <v>188</v>
      </c>
      <c r="C132" s="421">
        <v>45886</v>
      </c>
      <c r="D132" s="419"/>
      <c r="E132" s="419"/>
      <c r="F132" s="419"/>
      <c r="G132" s="419"/>
      <c r="H132" s="500">
        <v>4291.05</v>
      </c>
      <c r="I132" s="419"/>
      <c r="J132" s="419"/>
      <c r="K132" s="419"/>
      <c r="L132" s="419"/>
      <c r="M132" s="419"/>
      <c r="N132" s="419"/>
      <c r="O132" s="419"/>
      <c r="P132" s="419"/>
      <c r="Q132" s="421">
        <v>2262</v>
      </c>
      <c r="R132" s="421">
        <v>487</v>
      </c>
      <c r="S132" s="421">
        <v>3292</v>
      </c>
      <c r="T132" s="421">
        <v>1816</v>
      </c>
      <c r="U132" s="421">
        <v>1675</v>
      </c>
      <c r="V132" s="421">
        <v>25015</v>
      </c>
      <c r="W132" s="421">
        <v>6509</v>
      </c>
      <c r="X132" s="421">
        <v>3576</v>
      </c>
      <c r="Y132" s="421">
        <v>1254</v>
      </c>
      <c r="Z132" s="419"/>
      <c r="AA132" s="419"/>
      <c r="AB132" s="419"/>
      <c r="AC132" s="419"/>
      <c r="AD132" s="419"/>
      <c r="AE132" s="422">
        <v>1.0219510988965455</v>
      </c>
      <c r="AF132" s="421">
        <v>62350202.597904235</v>
      </c>
      <c r="AG132" s="420">
        <v>2472</v>
      </c>
      <c r="AH132" s="420">
        <v>21524</v>
      </c>
      <c r="AJ132" s="420">
        <v>2231</v>
      </c>
      <c r="AK132" s="420">
        <v>0.048620494268404306</v>
      </c>
      <c r="AM132" s="420">
        <v>1</v>
      </c>
      <c r="AN132" s="420">
        <v>1614</v>
      </c>
      <c r="AP132" s="420">
        <v>0</v>
      </c>
      <c r="AQ132" s="420">
        <v>0</v>
      </c>
      <c r="AR132" s="420">
        <v>939.44</v>
      </c>
      <c r="AU132" s="420">
        <v>2213</v>
      </c>
      <c r="AV132" s="420">
        <v>14017</v>
      </c>
      <c r="AW132" s="420">
        <v>0.15787971748590995</v>
      </c>
      <c r="AY132" s="420">
        <v>0</v>
      </c>
      <c r="AZ132" s="421">
        <v>15746</v>
      </c>
      <c r="BA132" s="420">
        <v>19558</v>
      </c>
      <c r="BB132" s="420">
        <v>0.8050925452500256</v>
      </c>
      <c r="BD132" s="420">
        <v>0</v>
      </c>
      <c r="BE132" s="420">
        <v>4</v>
      </c>
      <c r="BF132" s="421">
        <v>0</v>
      </c>
      <c r="BG132" s="421">
        <v>0</v>
      </c>
      <c r="BH132" s="419"/>
      <c r="BI132" s="421">
        <v>0</v>
      </c>
      <c r="BJ132" s="419"/>
      <c r="BK132" s="421">
        <v>16518.96</v>
      </c>
      <c r="BL132" s="421">
        <v>-48294</v>
      </c>
      <c r="BM132" s="421">
        <v>-2760027.825</v>
      </c>
      <c r="BN132" s="419"/>
      <c r="BO132" s="421">
        <v>624884.9542209012</v>
      </c>
      <c r="BP132" s="421">
        <v>3336584</v>
      </c>
      <c r="BQ132" s="421">
        <v>1126591</v>
      </c>
      <c r="BR132" s="421">
        <v>2365028.4992995057</v>
      </c>
      <c r="BS132" s="421">
        <v>53694.91146672505</v>
      </c>
      <c r="BT132" s="421">
        <v>63083.83769646494</v>
      </c>
      <c r="BU132" s="421">
        <v>819845.1466709238</v>
      </c>
      <c r="BV132" s="421">
        <v>2276281.1469600773</v>
      </c>
      <c r="BW132" s="421">
        <v>3548105.724815218</v>
      </c>
      <c r="BX132" s="421">
        <v>1036342.8025234072</v>
      </c>
      <c r="BY132" s="421">
        <v>1798553.4888966852</v>
      </c>
      <c r="BZ132" s="419"/>
      <c r="CA132" s="421">
        <v>201652.59755801904</v>
      </c>
      <c r="CB132" s="419"/>
      <c r="CC132" s="419"/>
      <c r="CD132" s="419"/>
      <c r="CE132" s="421">
        <v>2242191.810769207</v>
      </c>
      <c r="CF132" s="421">
        <v>1413610.022491228</v>
      </c>
      <c r="CG132" s="421">
        <v>1825338.5825914943</v>
      </c>
      <c r="CH132" s="421">
        <v>-228903.44923808548</v>
      </c>
      <c r="CI132" s="419"/>
      <c r="CJ132" s="421">
        <v>4975209.079325024</v>
      </c>
      <c r="CK132" s="421">
        <v>-660072</v>
      </c>
      <c r="CL132" s="421">
        <v>4052740.8026000005</v>
      </c>
      <c r="CM132" s="421">
        <v>1365784.7542839998</v>
      </c>
      <c r="CN132" s="421">
        <v>2686956.048316001</v>
      </c>
      <c r="CO132" s="419"/>
      <c r="CP132" s="419"/>
      <c r="CQ132" s="419"/>
      <c r="CR132" s="171">
        <v>13367</v>
      </c>
    </row>
    <row r="133" spans="1:96" ht="9.75">
      <c r="A133" s="203">
        <v>430</v>
      </c>
      <c r="B133" s="203" t="s">
        <v>189</v>
      </c>
      <c r="C133" s="421">
        <v>15770</v>
      </c>
      <c r="D133" s="419"/>
      <c r="E133" s="419"/>
      <c r="F133" s="419"/>
      <c r="G133" s="419"/>
      <c r="H133" s="500">
        <v>4291.05</v>
      </c>
      <c r="I133" s="419"/>
      <c r="J133" s="419"/>
      <c r="K133" s="419"/>
      <c r="L133" s="419"/>
      <c r="M133" s="419"/>
      <c r="N133" s="419"/>
      <c r="O133" s="419"/>
      <c r="P133" s="419"/>
      <c r="Q133" s="421">
        <v>713</v>
      </c>
      <c r="R133" s="421">
        <v>135</v>
      </c>
      <c r="S133" s="421">
        <v>955</v>
      </c>
      <c r="T133" s="421">
        <v>506</v>
      </c>
      <c r="U133" s="421">
        <v>492</v>
      </c>
      <c r="V133" s="421">
        <v>8135</v>
      </c>
      <c r="W133" s="421">
        <v>2608</v>
      </c>
      <c r="X133" s="421">
        <v>1485</v>
      </c>
      <c r="Y133" s="421">
        <v>741</v>
      </c>
      <c r="Z133" s="419"/>
      <c r="AA133" s="419"/>
      <c r="AB133" s="419"/>
      <c r="AC133" s="419"/>
      <c r="AD133" s="419"/>
      <c r="AE133" s="422">
        <v>1.2136646764923642</v>
      </c>
      <c r="AF133" s="421">
        <v>25448252.079283994</v>
      </c>
      <c r="AG133" s="420">
        <v>753</v>
      </c>
      <c r="AH133" s="420">
        <v>6832</v>
      </c>
      <c r="AJ133" s="420">
        <v>623</v>
      </c>
      <c r="AK133" s="420">
        <v>0.03950538998097654</v>
      </c>
      <c r="AM133" s="420">
        <v>0</v>
      </c>
      <c r="AN133" s="420">
        <v>39</v>
      </c>
      <c r="AP133" s="420">
        <v>0</v>
      </c>
      <c r="AQ133" s="420">
        <v>0</v>
      </c>
      <c r="AR133" s="420">
        <v>848.13</v>
      </c>
      <c r="AU133" s="420">
        <v>696</v>
      </c>
      <c r="AV133" s="420">
        <v>4309</v>
      </c>
      <c r="AW133" s="420">
        <v>0.16152239498723603</v>
      </c>
      <c r="AY133" s="420">
        <v>0</v>
      </c>
      <c r="AZ133" s="421">
        <v>6127</v>
      </c>
      <c r="BA133" s="420">
        <v>6159</v>
      </c>
      <c r="BB133" s="420">
        <v>0.9948043513557395</v>
      </c>
      <c r="BD133" s="420">
        <v>0</v>
      </c>
      <c r="BE133" s="420">
        <v>0</v>
      </c>
      <c r="BF133" s="421">
        <v>0</v>
      </c>
      <c r="BG133" s="421">
        <v>0</v>
      </c>
      <c r="BH133" s="419"/>
      <c r="BI133" s="421">
        <v>0</v>
      </c>
      <c r="BJ133" s="419"/>
      <c r="BK133" s="421">
        <v>5677.2</v>
      </c>
      <c r="BL133" s="421">
        <v>-167155</v>
      </c>
      <c r="BM133" s="421">
        <v>-556388.17375</v>
      </c>
      <c r="BN133" s="419"/>
      <c r="BO133" s="421">
        <v>60458.416094228625</v>
      </c>
      <c r="BP133" s="421">
        <v>1444612</v>
      </c>
      <c r="BQ133" s="421">
        <v>489811</v>
      </c>
      <c r="BR133" s="421">
        <v>1178579.4314645445</v>
      </c>
      <c r="BS133" s="421">
        <v>63543.66375985808</v>
      </c>
      <c r="BT133" s="421">
        <v>133455.7818774727</v>
      </c>
      <c r="BU133" s="421">
        <v>556060.4030972832</v>
      </c>
      <c r="BV133" s="421">
        <v>920743.5664731952</v>
      </c>
      <c r="BW133" s="421">
        <v>1523583.406589063</v>
      </c>
      <c r="BX133" s="421">
        <v>452307.5974287652</v>
      </c>
      <c r="BY133" s="421">
        <v>755542.0088893796</v>
      </c>
      <c r="BZ133" s="419"/>
      <c r="CA133" s="421">
        <v>17373.077941068477</v>
      </c>
      <c r="CB133" s="419"/>
      <c r="CC133" s="419"/>
      <c r="CD133" s="419"/>
      <c r="CE133" s="421">
        <v>1000468.9533967766</v>
      </c>
      <c r="CF133" s="421">
        <v>585624.0329090629</v>
      </c>
      <c r="CG133" s="421">
        <v>726545.6585258225</v>
      </c>
      <c r="CH133" s="421">
        <v>-64667.67954653866</v>
      </c>
      <c r="CI133" s="419"/>
      <c r="CJ133" s="421">
        <v>10902187.943337727</v>
      </c>
      <c r="CK133" s="421">
        <v>-1735378</v>
      </c>
      <c r="CL133" s="421">
        <v>772199.0364</v>
      </c>
      <c r="CM133" s="421">
        <v>506110.06908000004</v>
      </c>
      <c r="CN133" s="421">
        <v>266088.96731999994</v>
      </c>
      <c r="CO133" s="419"/>
      <c r="CP133" s="419"/>
      <c r="CQ133" s="419"/>
      <c r="CR133" s="171">
        <v>4075</v>
      </c>
    </row>
    <row r="134" spans="1:96" ht="9.75">
      <c r="A134" s="203">
        <v>433</v>
      </c>
      <c r="B134" s="203" t="s">
        <v>190</v>
      </c>
      <c r="C134" s="421">
        <v>7853</v>
      </c>
      <c r="D134" s="419"/>
      <c r="E134" s="419"/>
      <c r="F134" s="419"/>
      <c r="G134" s="419"/>
      <c r="H134" s="500">
        <v>4291.05</v>
      </c>
      <c r="I134" s="419"/>
      <c r="J134" s="419"/>
      <c r="K134" s="419"/>
      <c r="L134" s="419"/>
      <c r="M134" s="419"/>
      <c r="N134" s="419"/>
      <c r="O134" s="419"/>
      <c r="P134" s="419"/>
      <c r="Q134" s="421">
        <v>355</v>
      </c>
      <c r="R134" s="421">
        <v>89</v>
      </c>
      <c r="S134" s="421">
        <v>591</v>
      </c>
      <c r="T134" s="421">
        <v>333</v>
      </c>
      <c r="U134" s="421">
        <v>320</v>
      </c>
      <c r="V134" s="421">
        <v>4134</v>
      </c>
      <c r="W134" s="421">
        <v>1162</v>
      </c>
      <c r="X134" s="421">
        <v>648</v>
      </c>
      <c r="Y134" s="421">
        <v>221</v>
      </c>
      <c r="Z134" s="419"/>
      <c r="AA134" s="419"/>
      <c r="AB134" s="419"/>
      <c r="AC134" s="419"/>
      <c r="AD134" s="419"/>
      <c r="AE134" s="422">
        <v>0.9766165655715993</v>
      </c>
      <c r="AF134" s="421">
        <v>10197347.94420438</v>
      </c>
      <c r="AG134" s="420">
        <v>255</v>
      </c>
      <c r="AH134" s="420">
        <v>3507</v>
      </c>
      <c r="AJ134" s="420">
        <v>205</v>
      </c>
      <c r="AK134" s="420">
        <v>0.026104673373233158</v>
      </c>
      <c r="AM134" s="420">
        <v>0</v>
      </c>
      <c r="AN134" s="420">
        <v>37</v>
      </c>
      <c r="AP134" s="420">
        <v>0</v>
      </c>
      <c r="AQ134" s="420">
        <v>0</v>
      </c>
      <c r="AR134" s="420">
        <v>597.69</v>
      </c>
      <c r="AU134" s="420">
        <v>307</v>
      </c>
      <c r="AV134" s="420">
        <v>2365</v>
      </c>
      <c r="AW134" s="420">
        <v>0.12980972515856237</v>
      </c>
      <c r="AY134" s="420">
        <v>0</v>
      </c>
      <c r="AZ134" s="421">
        <v>2021</v>
      </c>
      <c r="BA134" s="420">
        <v>3373</v>
      </c>
      <c r="BB134" s="420">
        <v>0.5991698784464868</v>
      </c>
      <c r="BD134" s="420">
        <v>0</v>
      </c>
      <c r="BE134" s="420">
        <v>0</v>
      </c>
      <c r="BF134" s="421">
        <v>0</v>
      </c>
      <c r="BG134" s="421">
        <v>0</v>
      </c>
      <c r="BH134" s="419"/>
      <c r="BI134" s="421">
        <v>0</v>
      </c>
      <c r="BJ134" s="419"/>
      <c r="BK134" s="421">
        <v>2827.08</v>
      </c>
      <c r="BL134" s="421">
        <v>-59608</v>
      </c>
      <c r="BM134" s="421">
        <v>-251755.02</v>
      </c>
      <c r="BN134" s="419"/>
      <c r="BO134" s="421">
        <v>177263.44181268103</v>
      </c>
      <c r="BP134" s="421">
        <v>727932</v>
      </c>
      <c r="BQ134" s="421">
        <v>226573</v>
      </c>
      <c r="BR134" s="421">
        <v>508996.28072444606</v>
      </c>
      <c r="BS134" s="421">
        <v>13819.042114133674</v>
      </c>
      <c r="BT134" s="421">
        <v>58262.31202182018</v>
      </c>
      <c r="BU134" s="421">
        <v>171978.04434284213</v>
      </c>
      <c r="BV134" s="421">
        <v>428050.0253107906</v>
      </c>
      <c r="BW134" s="421">
        <v>684417.2779968116</v>
      </c>
      <c r="BX134" s="421">
        <v>200257.29572065148</v>
      </c>
      <c r="BY134" s="421">
        <v>347559.862140443</v>
      </c>
      <c r="BZ134" s="419"/>
      <c r="CA134" s="421">
        <v>-4638.772412989594</v>
      </c>
      <c r="CB134" s="419"/>
      <c r="CC134" s="419"/>
      <c r="CD134" s="419"/>
      <c r="CE134" s="421">
        <v>463012.0858446886</v>
      </c>
      <c r="CF134" s="421">
        <v>284641.12191934296</v>
      </c>
      <c r="CG134" s="421">
        <v>359674.458775662</v>
      </c>
      <c r="CH134" s="421">
        <v>-33534.50724095736</v>
      </c>
      <c r="CI134" s="419"/>
      <c r="CJ134" s="421">
        <v>4128495.274524457</v>
      </c>
      <c r="CK134" s="421">
        <v>-585101</v>
      </c>
      <c r="CL134" s="421">
        <v>277297.10620000004</v>
      </c>
      <c r="CM134" s="421">
        <v>319879.09128</v>
      </c>
      <c r="CN134" s="421">
        <v>-42581.985079999955</v>
      </c>
      <c r="CO134" s="419"/>
      <c r="CP134" s="419"/>
      <c r="CQ134" s="419"/>
      <c r="CR134" s="171">
        <v>2169</v>
      </c>
    </row>
    <row r="135" spans="1:96" ht="9.75">
      <c r="A135" s="203">
        <v>434</v>
      </c>
      <c r="B135" s="203" t="s">
        <v>191</v>
      </c>
      <c r="C135" s="421">
        <v>14745</v>
      </c>
      <c r="D135" s="419"/>
      <c r="E135" s="419"/>
      <c r="F135" s="419"/>
      <c r="G135" s="419"/>
      <c r="H135" s="500">
        <v>4291.05</v>
      </c>
      <c r="I135" s="419"/>
      <c r="J135" s="419"/>
      <c r="K135" s="419"/>
      <c r="L135" s="419"/>
      <c r="M135" s="419"/>
      <c r="N135" s="419"/>
      <c r="O135" s="419"/>
      <c r="P135" s="419"/>
      <c r="Q135" s="421">
        <v>629</v>
      </c>
      <c r="R135" s="421">
        <v>133</v>
      </c>
      <c r="S135" s="421">
        <v>898</v>
      </c>
      <c r="T135" s="421">
        <v>482</v>
      </c>
      <c r="U135" s="421">
        <v>423</v>
      </c>
      <c r="V135" s="421">
        <v>7831</v>
      </c>
      <c r="W135" s="421">
        <v>2485</v>
      </c>
      <c r="X135" s="421">
        <v>1318</v>
      </c>
      <c r="Y135" s="421">
        <v>546</v>
      </c>
      <c r="Z135" s="419"/>
      <c r="AA135" s="419"/>
      <c r="AB135" s="419"/>
      <c r="AC135" s="419"/>
      <c r="AD135" s="419"/>
      <c r="AE135" s="422">
        <v>1.0647945176617464</v>
      </c>
      <c r="AF135" s="421">
        <v>20875560.101894345</v>
      </c>
      <c r="AG135" s="420">
        <v>950</v>
      </c>
      <c r="AH135" s="420">
        <v>6740</v>
      </c>
      <c r="AJ135" s="420">
        <v>670</v>
      </c>
      <c r="AK135" s="420">
        <v>0.04543913190912174</v>
      </c>
      <c r="AM135" s="420">
        <v>1</v>
      </c>
      <c r="AN135" s="420">
        <v>5904</v>
      </c>
      <c r="AP135" s="420">
        <v>3</v>
      </c>
      <c r="AQ135" s="420">
        <v>723</v>
      </c>
      <c r="AR135" s="420">
        <v>819.81</v>
      </c>
      <c r="AU135" s="420">
        <v>682</v>
      </c>
      <c r="AV135" s="420">
        <v>4243</v>
      </c>
      <c r="AW135" s="420">
        <v>0.16073532877680885</v>
      </c>
      <c r="AY135" s="420">
        <v>0</v>
      </c>
      <c r="AZ135" s="421">
        <v>4957</v>
      </c>
      <c r="BA135" s="420">
        <v>6044</v>
      </c>
      <c r="BB135" s="420">
        <v>0.8201522170747849</v>
      </c>
      <c r="BD135" s="420">
        <v>0</v>
      </c>
      <c r="BE135" s="420">
        <v>0</v>
      </c>
      <c r="BF135" s="421">
        <v>0</v>
      </c>
      <c r="BG135" s="421">
        <v>0</v>
      </c>
      <c r="BH135" s="419"/>
      <c r="BI135" s="421">
        <v>0</v>
      </c>
      <c r="BJ135" s="419"/>
      <c r="BK135" s="421">
        <v>5308.2</v>
      </c>
      <c r="BL135" s="421">
        <v>195042</v>
      </c>
      <c r="BM135" s="421">
        <v>-641973.74</v>
      </c>
      <c r="BN135" s="419"/>
      <c r="BO135" s="421">
        <v>298338.15703547</v>
      </c>
      <c r="BP135" s="421">
        <v>1210696</v>
      </c>
      <c r="BQ135" s="421">
        <v>410614</v>
      </c>
      <c r="BR135" s="421">
        <v>925084.892934011</v>
      </c>
      <c r="BS135" s="421">
        <v>34547.96240556766</v>
      </c>
      <c r="BT135" s="421">
        <v>125012.20418803902</v>
      </c>
      <c r="BU135" s="421">
        <v>361109.1862352993</v>
      </c>
      <c r="BV135" s="421">
        <v>740508.550524073</v>
      </c>
      <c r="BW135" s="421">
        <v>1231942.1627163913</v>
      </c>
      <c r="BX135" s="421">
        <v>383704.22232368414</v>
      </c>
      <c r="BY135" s="421">
        <v>648453.9828344403</v>
      </c>
      <c r="BZ135" s="419"/>
      <c r="CA135" s="421">
        <v>-195108.0074741348</v>
      </c>
      <c r="CB135" s="419"/>
      <c r="CC135" s="419"/>
      <c r="CD135" s="419"/>
      <c r="CE135" s="421">
        <v>821010.1203586147</v>
      </c>
      <c r="CF135" s="421">
        <v>504571.29566713044</v>
      </c>
      <c r="CG135" s="421">
        <v>643109.9319248587</v>
      </c>
      <c r="CH135" s="421">
        <v>-70409.23218048573</v>
      </c>
      <c r="CI135" s="419"/>
      <c r="CJ135" s="421">
        <v>3719728.2390698814</v>
      </c>
      <c r="CK135" s="421">
        <v>-811207</v>
      </c>
      <c r="CL135" s="421">
        <v>1267100.9666000002</v>
      </c>
      <c r="CM135" s="421">
        <v>532192.8390800001</v>
      </c>
      <c r="CN135" s="421">
        <v>734908.1275200001</v>
      </c>
      <c r="CO135" s="419"/>
      <c r="CP135" s="419"/>
      <c r="CQ135" s="419"/>
      <c r="CR135" s="171">
        <v>3673</v>
      </c>
    </row>
    <row r="136" spans="1:96" ht="9.75">
      <c r="A136" s="203">
        <v>435</v>
      </c>
      <c r="B136" s="203" t="s">
        <v>192</v>
      </c>
      <c r="C136" s="421">
        <v>699</v>
      </c>
      <c r="D136" s="419"/>
      <c r="E136" s="419"/>
      <c r="F136" s="419"/>
      <c r="G136" s="419"/>
      <c r="H136" s="500">
        <v>4291.05</v>
      </c>
      <c r="I136" s="419"/>
      <c r="J136" s="419"/>
      <c r="K136" s="419"/>
      <c r="L136" s="419"/>
      <c r="M136" s="419"/>
      <c r="N136" s="419"/>
      <c r="O136" s="419"/>
      <c r="P136" s="419"/>
      <c r="Q136" s="421">
        <v>12</v>
      </c>
      <c r="R136" s="421">
        <v>10</v>
      </c>
      <c r="S136" s="421">
        <v>30</v>
      </c>
      <c r="T136" s="421">
        <v>10</v>
      </c>
      <c r="U136" s="421">
        <v>15</v>
      </c>
      <c r="V136" s="421">
        <v>331</v>
      </c>
      <c r="W136" s="421">
        <v>157</v>
      </c>
      <c r="X136" s="421">
        <v>87</v>
      </c>
      <c r="Y136" s="421">
        <v>47</v>
      </c>
      <c r="Z136" s="419"/>
      <c r="AA136" s="419"/>
      <c r="AB136" s="419"/>
      <c r="AC136" s="419"/>
      <c r="AD136" s="419"/>
      <c r="AE136" s="422">
        <v>1.2401632822780069</v>
      </c>
      <c r="AF136" s="421">
        <v>1152613.2244407674</v>
      </c>
      <c r="AG136" s="420">
        <v>29</v>
      </c>
      <c r="AH136" s="420">
        <v>265</v>
      </c>
      <c r="AJ136" s="420">
        <v>10</v>
      </c>
      <c r="AK136" s="420">
        <v>0.01430615164520744</v>
      </c>
      <c r="AM136" s="420">
        <v>0</v>
      </c>
      <c r="AN136" s="420">
        <v>0</v>
      </c>
      <c r="AP136" s="420">
        <v>3</v>
      </c>
      <c r="AQ136" s="420">
        <v>319</v>
      </c>
      <c r="AR136" s="420">
        <v>214.51</v>
      </c>
      <c r="AU136" s="420">
        <v>30</v>
      </c>
      <c r="AV136" s="420">
        <v>155</v>
      </c>
      <c r="AW136" s="420">
        <v>0.1935483870967742</v>
      </c>
      <c r="AY136" s="420">
        <v>0.4445</v>
      </c>
      <c r="AZ136" s="421">
        <v>172</v>
      </c>
      <c r="BA136" s="420">
        <v>243</v>
      </c>
      <c r="BB136" s="420">
        <v>0.7078189300411523</v>
      </c>
      <c r="BD136" s="420">
        <v>0</v>
      </c>
      <c r="BE136" s="420">
        <v>0</v>
      </c>
      <c r="BF136" s="421">
        <v>0</v>
      </c>
      <c r="BG136" s="421">
        <v>0</v>
      </c>
      <c r="BH136" s="419"/>
      <c r="BI136" s="421">
        <v>0</v>
      </c>
      <c r="BJ136" s="419"/>
      <c r="BK136" s="421">
        <v>251.64</v>
      </c>
      <c r="BL136" s="421">
        <v>-1935</v>
      </c>
      <c r="BM136" s="421">
        <v>-11254.355</v>
      </c>
      <c r="BN136" s="419"/>
      <c r="BO136" s="421">
        <v>215879.84020721586</v>
      </c>
      <c r="BP136" s="421">
        <v>102847</v>
      </c>
      <c r="BQ136" s="421">
        <v>28760</v>
      </c>
      <c r="BR136" s="421">
        <v>66423.33783439497</v>
      </c>
      <c r="BS136" s="421">
        <v>3815.7005838035793</v>
      </c>
      <c r="BT136" s="421">
        <v>10995.240063434358</v>
      </c>
      <c r="BU136" s="421">
        <v>27136.50793780879</v>
      </c>
      <c r="BV136" s="421">
        <v>33965.03785684048</v>
      </c>
      <c r="BW136" s="421">
        <v>51871.14596685789</v>
      </c>
      <c r="BX136" s="421">
        <v>18718.73228490653</v>
      </c>
      <c r="BY136" s="421">
        <v>34500.188558972826</v>
      </c>
      <c r="BZ136" s="419"/>
      <c r="CA136" s="421">
        <v>-4554.693056604385</v>
      </c>
      <c r="CB136" s="419"/>
      <c r="CC136" s="419"/>
      <c r="CD136" s="419"/>
      <c r="CE136" s="421">
        <v>48143.32354880414</v>
      </c>
      <c r="CF136" s="421">
        <v>23972.015617374345</v>
      </c>
      <c r="CG136" s="421">
        <v>26848.30205413723</v>
      </c>
      <c r="CH136" s="421">
        <v>-2842.480047107598</v>
      </c>
      <c r="CI136" s="419"/>
      <c r="CJ136" s="421">
        <v>323956.8275643011</v>
      </c>
      <c r="CK136" s="421">
        <v>-182564</v>
      </c>
      <c r="CL136" s="421">
        <v>64163.6142</v>
      </c>
      <c r="CM136" s="421">
        <v>126687.74</v>
      </c>
      <c r="CN136" s="421">
        <v>-62524.1258</v>
      </c>
      <c r="CO136" s="419"/>
      <c r="CP136" s="419"/>
      <c r="CQ136" s="419"/>
      <c r="CR136" s="171">
        <v>115</v>
      </c>
    </row>
    <row r="137" spans="1:96" ht="9.75">
      <c r="A137" s="203">
        <v>436</v>
      </c>
      <c r="B137" s="203" t="s">
        <v>193</v>
      </c>
      <c r="C137" s="421">
        <v>2036</v>
      </c>
      <c r="D137" s="419"/>
      <c r="E137" s="419"/>
      <c r="F137" s="419"/>
      <c r="G137" s="419"/>
      <c r="H137" s="500">
        <v>4291.05</v>
      </c>
      <c r="I137" s="419"/>
      <c r="J137" s="419"/>
      <c r="K137" s="419"/>
      <c r="L137" s="419"/>
      <c r="M137" s="419"/>
      <c r="N137" s="419"/>
      <c r="O137" s="419"/>
      <c r="P137" s="419"/>
      <c r="Q137" s="421">
        <v>183</v>
      </c>
      <c r="R137" s="421">
        <v>26</v>
      </c>
      <c r="S137" s="421">
        <v>250</v>
      </c>
      <c r="T137" s="421">
        <v>130</v>
      </c>
      <c r="U137" s="421">
        <v>122</v>
      </c>
      <c r="V137" s="421">
        <v>946</v>
      </c>
      <c r="W137" s="421">
        <v>229</v>
      </c>
      <c r="X137" s="421">
        <v>98</v>
      </c>
      <c r="Y137" s="421">
        <v>52</v>
      </c>
      <c r="Z137" s="419"/>
      <c r="AA137" s="419"/>
      <c r="AB137" s="419"/>
      <c r="AC137" s="419"/>
      <c r="AD137" s="419"/>
      <c r="AE137" s="422">
        <v>0.8662729739231819</v>
      </c>
      <c r="AF137" s="421">
        <v>2345093.1199847274</v>
      </c>
      <c r="AG137" s="420">
        <v>82</v>
      </c>
      <c r="AH137" s="420">
        <v>791</v>
      </c>
      <c r="AJ137" s="420">
        <v>29</v>
      </c>
      <c r="AK137" s="420">
        <v>0.01424361493123772</v>
      </c>
      <c r="AM137" s="420">
        <v>0</v>
      </c>
      <c r="AN137" s="420">
        <v>3</v>
      </c>
      <c r="AP137" s="420">
        <v>0</v>
      </c>
      <c r="AQ137" s="420">
        <v>0</v>
      </c>
      <c r="AR137" s="420">
        <v>214.12</v>
      </c>
      <c r="AU137" s="420">
        <v>52</v>
      </c>
      <c r="AV137" s="420">
        <v>538</v>
      </c>
      <c r="AW137" s="420">
        <v>0.09665427509293681</v>
      </c>
      <c r="AY137" s="420">
        <v>0</v>
      </c>
      <c r="AZ137" s="421">
        <v>465</v>
      </c>
      <c r="BA137" s="420">
        <v>720</v>
      </c>
      <c r="BB137" s="420">
        <v>0.6458333333333334</v>
      </c>
      <c r="BD137" s="420">
        <v>0</v>
      </c>
      <c r="BE137" s="420">
        <v>0</v>
      </c>
      <c r="BF137" s="421">
        <v>0</v>
      </c>
      <c r="BG137" s="421">
        <v>0</v>
      </c>
      <c r="BH137" s="419"/>
      <c r="BI137" s="421">
        <v>0</v>
      </c>
      <c r="BJ137" s="419"/>
      <c r="BK137" s="421">
        <v>732.9599999999999</v>
      </c>
      <c r="BL137" s="421">
        <v>27057</v>
      </c>
      <c r="BM137" s="421">
        <v>-50446.665</v>
      </c>
      <c r="BN137" s="419"/>
      <c r="BO137" s="421">
        <v>-8187.144025707617</v>
      </c>
      <c r="BP137" s="421">
        <v>152295</v>
      </c>
      <c r="BQ137" s="421">
        <v>45371</v>
      </c>
      <c r="BR137" s="421">
        <v>119780.92998940397</v>
      </c>
      <c r="BS137" s="421">
        <v>4609.6513827783165</v>
      </c>
      <c r="BT137" s="421">
        <v>6310.905657128428</v>
      </c>
      <c r="BU137" s="421">
        <v>59475.10213118984</v>
      </c>
      <c r="BV137" s="421">
        <v>96539.81285947633</v>
      </c>
      <c r="BW137" s="421">
        <v>158323.6257132645</v>
      </c>
      <c r="BX137" s="421">
        <v>36220.49153380224</v>
      </c>
      <c r="BY137" s="421">
        <v>79665.9346530349</v>
      </c>
      <c r="BZ137" s="419"/>
      <c r="CA137" s="421">
        <v>15037.957041734993</v>
      </c>
      <c r="CB137" s="419"/>
      <c r="CC137" s="419"/>
      <c r="CD137" s="419"/>
      <c r="CE137" s="421">
        <v>107837.55725778629</v>
      </c>
      <c r="CF137" s="421">
        <v>61886.62085785912</v>
      </c>
      <c r="CG137" s="421">
        <v>77624.73037069236</v>
      </c>
      <c r="CH137" s="421">
        <v>-6976.263697361506</v>
      </c>
      <c r="CI137" s="419"/>
      <c r="CJ137" s="421">
        <v>2214441.320029495</v>
      </c>
      <c r="CK137" s="421">
        <v>-336778</v>
      </c>
      <c r="CL137" s="421">
        <v>50675.096000000005</v>
      </c>
      <c r="CM137" s="421">
        <v>93003.7056</v>
      </c>
      <c r="CN137" s="421">
        <v>-42328.609599999996</v>
      </c>
      <c r="CO137" s="419"/>
      <c r="CP137" s="419"/>
      <c r="CQ137" s="419"/>
      <c r="CR137" s="171">
        <v>869</v>
      </c>
    </row>
    <row r="138" spans="1:96" ht="9.75">
      <c r="A138" s="203">
        <v>440</v>
      </c>
      <c r="B138" s="203" t="s">
        <v>194</v>
      </c>
      <c r="C138" s="421">
        <v>5534</v>
      </c>
      <c r="D138" s="419"/>
      <c r="E138" s="419"/>
      <c r="F138" s="419"/>
      <c r="G138" s="419"/>
      <c r="H138" s="500">
        <v>4291.05</v>
      </c>
      <c r="I138" s="419"/>
      <c r="J138" s="419"/>
      <c r="K138" s="419"/>
      <c r="L138" s="419"/>
      <c r="M138" s="419"/>
      <c r="N138" s="419"/>
      <c r="O138" s="419"/>
      <c r="P138" s="419"/>
      <c r="Q138" s="421">
        <v>657</v>
      </c>
      <c r="R138" s="421">
        <v>109</v>
      </c>
      <c r="S138" s="421">
        <v>658</v>
      </c>
      <c r="T138" s="421">
        <v>296</v>
      </c>
      <c r="U138" s="421">
        <v>274</v>
      </c>
      <c r="V138" s="421">
        <v>2729</v>
      </c>
      <c r="W138" s="421">
        <v>447</v>
      </c>
      <c r="X138" s="421">
        <v>248</v>
      </c>
      <c r="Y138" s="421">
        <v>116</v>
      </c>
      <c r="Z138" s="419"/>
      <c r="AA138" s="419"/>
      <c r="AB138" s="419"/>
      <c r="AC138" s="419"/>
      <c r="AD138" s="419"/>
      <c r="AE138" s="422">
        <v>0.5967838828203608</v>
      </c>
      <c r="AF138" s="421">
        <v>4391205.823410371</v>
      </c>
      <c r="AG138" s="420">
        <v>98</v>
      </c>
      <c r="AH138" s="420">
        <v>2410</v>
      </c>
      <c r="AJ138" s="420">
        <v>157</v>
      </c>
      <c r="AK138" s="420">
        <v>0.028370075894470544</v>
      </c>
      <c r="AM138" s="420">
        <v>3</v>
      </c>
      <c r="AN138" s="420">
        <v>5071</v>
      </c>
      <c r="AP138" s="420">
        <v>3</v>
      </c>
      <c r="AQ138" s="420">
        <v>2087</v>
      </c>
      <c r="AR138" s="420">
        <v>142.46</v>
      </c>
      <c r="AU138" s="420">
        <v>134</v>
      </c>
      <c r="AV138" s="420">
        <v>1459</v>
      </c>
      <c r="AW138" s="420">
        <v>0.09184372858122002</v>
      </c>
      <c r="AY138" s="420">
        <v>0</v>
      </c>
      <c r="AZ138" s="421">
        <v>1148</v>
      </c>
      <c r="BA138" s="420">
        <v>2384</v>
      </c>
      <c r="BB138" s="420">
        <v>0.4815436241610738</v>
      </c>
      <c r="BD138" s="420">
        <v>0</v>
      </c>
      <c r="BE138" s="420">
        <v>0</v>
      </c>
      <c r="BF138" s="421">
        <v>0</v>
      </c>
      <c r="BG138" s="421">
        <v>0</v>
      </c>
      <c r="BH138" s="419"/>
      <c r="BI138" s="421">
        <v>0</v>
      </c>
      <c r="BJ138" s="419"/>
      <c r="BK138" s="421">
        <v>1992.24</v>
      </c>
      <c r="BL138" s="421">
        <v>-43352</v>
      </c>
      <c r="BM138" s="421">
        <v>-43149.215</v>
      </c>
      <c r="BN138" s="419"/>
      <c r="BO138" s="421">
        <v>14361.762467931956</v>
      </c>
      <c r="BP138" s="421">
        <v>333918</v>
      </c>
      <c r="BQ138" s="421">
        <v>115068</v>
      </c>
      <c r="BR138" s="421">
        <v>264249.4247212743</v>
      </c>
      <c r="BS138" s="421">
        <v>8620.971730934089</v>
      </c>
      <c r="BT138" s="421">
        <v>32415.934720927144</v>
      </c>
      <c r="BU138" s="421">
        <v>138524.35282339575</v>
      </c>
      <c r="BV138" s="421">
        <v>269394.57623006677</v>
      </c>
      <c r="BW138" s="421">
        <v>333512.1917080896</v>
      </c>
      <c r="BX138" s="421">
        <v>102423.60818471834</v>
      </c>
      <c r="BY138" s="421">
        <v>201379.02455617866</v>
      </c>
      <c r="BZ138" s="419"/>
      <c r="CA138" s="421">
        <v>-7963.932646833914</v>
      </c>
      <c r="CB138" s="419"/>
      <c r="CC138" s="419"/>
      <c r="CD138" s="419"/>
      <c r="CE138" s="421">
        <v>249972.51896339984</v>
      </c>
      <c r="CF138" s="421">
        <v>165221.95337106785</v>
      </c>
      <c r="CG138" s="421">
        <v>216044.40090231196</v>
      </c>
      <c r="CH138" s="421">
        <v>-19120.62620302941</v>
      </c>
      <c r="CI138" s="419"/>
      <c r="CJ138" s="421">
        <v>4617387.924443741</v>
      </c>
      <c r="CK138" s="421">
        <v>-1244698</v>
      </c>
      <c r="CL138" s="421">
        <v>50675.096000000005</v>
      </c>
      <c r="CM138" s="421">
        <v>229602.89820000003</v>
      </c>
      <c r="CN138" s="421">
        <v>-178927.80220000003</v>
      </c>
      <c r="CO138" s="419"/>
      <c r="CP138" s="419"/>
      <c r="CQ138" s="419"/>
      <c r="CR138" s="171">
        <v>2682</v>
      </c>
    </row>
    <row r="139" spans="1:96" ht="9.75">
      <c r="A139" s="203">
        <v>441</v>
      </c>
      <c r="B139" s="203" t="s">
        <v>195</v>
      </c>
      <c r="C139" s="421">
        <v>4543</v>
      </c>
      <c r="D139" s="419"/>
      <c r="E139" s="419"/>
      <c r="F139" s="419"/>
      <c r="G139" s="419"/>
      <c r="H139" s="500">
        <v>4291.05</v>
      </c>
      <c r="I139" s="419"/>
      <c r="J139" s="419"/>
      <c r="K139" s="419"/>
      <c r="L139" s="419"/>
      <c r="M139" s="419"/>
      <c r="N139" s="419"/>
      <c r="O139" s="419"/>
      <c r="P139" s="419"/>
      <c r="Q139" s="421">
        <v>173</v>
      </c>
      <c r="R139" s="421">
        <v>30</v>
      </c>
      <c r="S139" s="421">
        <v>262</v>
      </c>
      <c r="T139" s="421">
        <v>133</v>
      </c>
      <c r="U139" s="421">
        <v>116</v>
      </c>
      <c r="V139" s="421">
        <v>2254</v>
      </c>
      <c r="W139" s="421">
        <v>871</v>
      </c>
      <c r="X139" s="421">
        <v>472</v>
      </c>
      <c r="Y139" s="421">
        <v>232</v>
      </c>
      <c r="Z139" s="419"/>
      <c r="AA139" s="419"/>
      <c r="AB139" s="419"/>
      <c r="AC139" s="419"/>
      <c r="AD139" s="419"/>
      <c r="AE139" s="422">
        <v>1.2087318351144276</v>
      </c>
      <c r="AF139" s="421">
        <v>7301300.967341553</v>
      </c>
      <c r="AG139" s="420">
        <v>237</v>
      </c>
      <c r="AH139" s="420">
        <v>1949</v>
      </c>
      <c r="AJ139" s="420">
        <v>170</v>
      </c>
      <c r="AK139" s="420">
        <v>0.03742020691173233</v>
      </c>
      <c r="AM139" s="420">
        <v>0</v>
      </c>
      <c r="AN139" s="420">
        <v>15</v>
      </c>
      <c r="AP139" s="420">
        <v>0</v>
      </c>
      <c r="AQ139" s="420">
        <v>0</v>
      </c>
      <c r="AR139" s="420">
        <v>750.06</v>
      </c>
      <c r="AU139" s="420">
        <v>144</v>
      </c>
      <c r="AV139" s="420">
        <v>1155</v>
      </c>
      <c r="AW139" s="420">
        <v>0.12467532467532468</v>
      </c>
      <c r="AY139" s="420">
        <v>0.3245</v>
      </c>
      <c r="AZ139" s="421">
        <v>1290</v>
      </c>
      <c r="BA139" s="420">
        <v>1713</v>
      </c>
      <c r="BB139" s="420">
        <v>0.7530647985989493</v>
      </c>
      <c r="BD139" s="420">
        <v>0</v>
      </c>
      <c r="BE139" s="420">
        <v>0</v>
      </c>
      <c r="BF139" s="421">
        <v>0</v>
      </c>
      <c r="BG139" s="421">
        <v>0</v>
      </c>
      <c r="BH139" s="419"/>
      <c r="BI139" s="421">
        <v>0</v>
      </c>
      <c r="BJ139" s="419"/>
      <c r="BK139" s="421">
        <v>1635.48</v>
      </c>
      <c r="BL139" s="421">
        <v>97180</v>
      </c>
      <c r="BM139" s="421">
        <v>-162383.185</v>
      </c>
      <c r="BN139" s="419"/>
      <c r="BO139" s="421">
        <v>-3537.7496837247163</v>
      </c>
      <c r="BP139" s="421">
        <v>440971</v>
      </c>
      <c r="BQ139" s="421">
        <v>142817</v>
      </c>
      <c r="BR139" s="421">
        <v>344336.52454953437</v>
      </c>
      <c r="BS139" s="421">
        <v>17832.943227524513</v>
      </c>
      <c r="BT139" s="421">
        <v>59729.45641819508</v>
      </c>
      <c r="BU139" s="421">
        <v>158241.6708336102</v>
      </c>
      <c r="BV139" s="421">
        <v>262569.6459401098</v>
      </c>
      <c r="BW139" s="421">
        <v>409634.62053091574</v>
      </c>
      <c r="BX139" s="421">
        <v>124770.503660501</v>
      </c>
      <c r="BY139" s="421">
        <v>219985.4825288346</v>
      </c>
      <c r="BZ139" s="419"/>
      <c r="CA139" s="421">
        <v>-1609.7209362484864</v>
      </c>
      <c r="CB139" s="419"/>
      <c r="CC139" s="419"/>
      <c r="CD139" s="419"/>
      <c r="CE139" s="421">
        <v>302548.0451029629</v>
      </c>
      <c r="CF139" s="421">
        <v>170566.4925230936</v>
      </c>
      <c r="CG139" s="421">
        <v>195642.0147911127</v>
      </c>
      <c r="CH139" s="421">
        <v>-19308.93473187383</v>
      </c>
      <c r="CI139" s="419"/>
      <c r="CJ139" s="421">
        <v>2099359.3031591214</v>
      </c>
      <c r="CK139" s="421">
        <v>-553468</v>
      </c>
      <c r="CL139" s="421">
        <v>107311.96800000001</v>
      </c>
      <c r="CM139" s="421">
        <v>156884.13543999998</v>
      </c>
      <c r="CN139" s="421">
        <v>-49572.167439999976</v>
      </c>
      <c r="CO139" s="419"/>
      <c r="CP139" s="419"/>
      <c r="CQ139" s="419"/>
      <c r="CR139" s="171">
        <v>987</v>
      </c>
    </row>
    <row r="140" spans="1:96" ht="9.75">
      <c r="A140" s="203">
        <v>475</v>
      </c>
      <c r="B140" s="203" t="s">
        <v>196</v>
      </c>
      <c r="C140" s="421">
        <v>5451</v>
      </c>
      <c r="D140" s="419"/>
      <c r="E140" s="419"/>
      <c r="F140" s="419"/>
      <c r="G140" s="419"/>
      <c r="H140" s="500">
        <v>4291.05</v>
      </c>
      <c r="I140" s="419"/>
      <c r="J140" s="419"/>
      <c r="K140" s="419"/>
      <c r="L140" s="419"/>
      <c r="M140" s="419"/>
      <c r="N140" s="419"/>
      <c r="O140" s="419"/>
      <c r="P140" s="419"/>
      <c r="Q140" s="421">
        <v>309</v>
      </c>
      <c r="R140" s="421">
        <v>45</v>
      </c>
      <c r="S140" s="421">
        <v>374</v>
      </c>
      <c r="T140" s="421">
        <v>158</v>
      </c>
      <c r="U140" s="421">
        <v>135</v>
      </c>
      <c r="V140" s="421">
        <v>2859</v>
      </c>
      <c r="W140" s="421">
        <v>798</v>
      </c>
      <c r="X140" s="421">
        <v>532</v>
      </c>
      <c r="Y140" s="421">
        <v>241</v>
      </c>
      <c r="Z140" s="419"/>
      <c r="AA140" s="419"/>
      <c r="AB140" s="419"/>
      <c r="AC140" s="419"/>
      <c r="AD140" s="419"/>
      <c r="AE140" s="422">
        <v>0.946424922523801</v>
      </c>
      <c r="AF140" s="421">
        <v>6859459.62971174</v>
      </c>
      <c r="AG140" s="420">
        <v>187</v>
      </c>
      <c r="AH140" s="420">
        <v>2617</v>
      </c>
      <c r="AJ140" s="420">
        <v>272</v>
      </c>
      <c r="AK140" s="420">
        <v>0.04989910108237021</v>
      </c>
      <c r="AM140" s="420">
        <v>3</v>
      </c>
      <c r="AN140" s="420">
        <v>4650</v>
      </c>
      <c r="AP140" s="420">
        <v>1</v>
      </c>
      <c r="AQ140" s="420">
        <v>0</v>
      </c>
      <c r="AR140" s="420">
        <v>521.74</v>
      </c>
      <c r="AU140" s="420">
        <v>172</v>
      </c>
      <c r="AV140" s="420">
        <v>1600</v>
      </c>
      <c r="AW140" s="420">
        <v>0.1075</v>
      </c>
      <c r="AY140" s="420">
        <v>0</v>
      </c>
      <c r="AZ140" s="421">
        <v>1864</v>
      </c>
      <c r="BA140" s="420">
        <v>2457</v>
      </c>
      <c r="BB140" s="420">
        <v>0.7586487586487587</v>
      </c>
      <c r="BD140" s="420">
        <v>0</v>
      </c>
      <c r="BE140" s="420">
        <v>0</v>
      </c>
      <c r="BF140" s="421">
        <v>0</v>
      </c>
      <c r="BG140" s="421">
        <v>0</v>
      </c>
      <c r="BH140" s="419"/>
      <c r="BI140" s="421">
        <v>0</v>
      </c>
      <c r="BJ140" s="419"/>
      <c r="BK140" s="421">
        <v>1962.36</v>
      </c>
      <c r="BL140" s="421">
        <v>-140850</v>
      </c>
      <c r="BM140" s="421">
        <v>-72934.125</v>
      </c>
      <c r="BN140" s="419"/>
      <c r="BO140" s="421">
        <v>102448.75923616439</v>
      </c>
      <c r="BP140" s="421">
        <v>527887</v>
      </c>
      <c r="BQ140" s="421">
        <v>179692</v>
      </c>
      <c r="BR140" s="421">
        <v>440779.18001771974</v>
      </c>
      <c r="BS140" s="421">
        <v>19590.202182369918</v>
      </c>
      <c r="BT140" s="421">
        <v>73233.53154674625</v>
      </c>
      <c r="BU140" s="421">
        <v>172456.4755134179</v>
      </c>
      <c r="BV140" s="421">
        <v>309448.79501962755</v>
      </c>
      <c r="BW140" s="421">
        <v>542673.1834396141</v>
      </c>
      <c r="BX140" s="421">
        <v>163920.23664022674</v>
      </c>
      <c r="BY140" s="421">
        <v>270575.7109624512</v>
      </c>
      <c r="BZ140" s="419"/>
      <c r="CA140" s="421">
        <v>-17387.697660890735</v>
      </c>
      <c r="CB140" s="419"/>
      <c r="CC140" s="419"/>
      <c r="CD140" s="419"/>
      <c r="CE140" s="421">
        <v>364213.62055919674</v>
      </c>
      <c r="CF140" s="421">
        <v>214770.5484535838</v>
      </c>
      <c r="CG140" s="421">
        <v>263863.65758095664</v>
      </c>
      <c r="CH140" s="421">
        <v>-23443.006885512063</v>
      </c>
      <c r="CI140" s="419"/>
      <c r="CJ140" s="421">
        <v>3415253.5028451006</v>
      </c>
      <c r="CK140" s="421">
        <v>15935</v>
      </c>
      <c r="CL140" s="421">
        <v>654304.916</v>
      </c>
      <c r="CM140" s="421">
        <v>98697.20168</v>
      </c>
      <c r="CN140" s="421">
        <v>555607.71432</v>
      </c>
      <c r="CO140" s="419"/>
      <c r="CP140" s="419"/>
      <c r="CQ140" s="419"/>
      <c r="CR140" s="171">
        <v>1497</v>
      </c>
    </row>
    <row r="141" spans="1:96" ht="9.75">
      <c r="A141" s="203">
        <v>480</v>
      </c>
      <c r="B141" s="203" t="s">
        <v>197</v>
      </c>
      <c r="C141" s="421">
        <v>1999</v>
      </c>
      <c r="D141" s="419"/>
      <c r="E141" s="419"/>
      <c r="F141" s="419"/>
      <c r="G141" s="419"/>
      <c r="H141" s="500">
        <v>4291.05</v>
      </c>
      <c r="I141" s="419"/>
      <c r="J141" s="419"/>
      <c r="K141" s="419"/>
      <c r="L141" s="419"/>
      <c r="M141" s="419"/>
      <c r="N141" s="419"/>
      <c r="O141" s="419"/>
      <c r="P141" s="419"/>
      <c r="Q141" s="421">
        <v>106</v>
      </c>
      <c r="R141" s="421">
        <v>18</v>
      </c>
      <c r="S141" s="421">
        <v>155</v>
      </c>
      <c r="T141" s="421">
        <v>56</v>
      </c>
      <c r="U141" s="421">
        <v>61</v>
      </c>
      <c r="V141" s="421">
        <v>1048</v>
      </c>
      <c r="W141" s="421">
        <v>305</v>
      </c>
      <c r="X141" s="421">
        <v>178</v>
      </c>
      <c r="Y141" s="421">
        <v>72</v>
      </c>
      <c r="Z141" s="419"/>
      <c r="AA141" s="419"/>
      <c r="AB141" s="419"/>
      <c r="AC141" s="419"/>
      <c r="AD141" s="419"/>
      <c r="AE141" s="422">
        <v>1.025031901205928</v>
      </c>
      <c r="AF141" s="421">
        <v>2724443.0169981318</v>
      </c>
      <c r="AG141" s="420">
        <v>91</v>
      </c>
      <c r="AH141" s="420">
        <v>896</v>
      </c>
      <c r="AJ141" s="420">
        <v>56</v>
      </c>
      <c r="AK141" s="420">
        <v>0.02801400700350175</v>
      </c>
      <c r="AM141" s="420">
        <v>0</v>
      </c>
      <c r="AN141" s="420">
        <v>19</v>
      </c>
      <c r="AP141" s="420">
        <v>0</v>
      </c>
      <c r="AQ141" s="420">
        <v>0</v>
      </c>
      <c r="AR141" s="420">
        <v>195.31</v>
      </c>
      <c r="AU141" s="420">
        <v>100</v>
      </c>
      <c r="AV141" s="420">
        <v>618</v>
      </c>
      <c r="AW141" s="420">
        <v>0.16181229773462782</v>
      </c>
      <c r="AY141" s="420">
        <v>0</v>
      </c>
      <c r="AZ141" s="421">
        <v>501</v>
      </c>
      <c r="BA141" s="420">
        <v>831</v>
      </c>
      <c r="BB141" s="420">
        <v>0.6028880866425993</v>
      </c>
      <c r="BD141" s="420">
        <v>0</v>
      </c>
      <c r="BE141" s="420">
        <v>0</v>
      </c>
      <c r="BF141" s="421">
        <v>0</v>
      </c>
      <c r="BG141" s="421">
        <v>0</v>
      </c>
      <c r="BH141" s="419"/>
      <c r="BI141" s="421">
        <v>0</v>
      </c>
      <c r="BJ141" s="419"/>
      <c r="BK141" s="421">
        <v>719.64</v>
      </c>
      <c r="BL141" s="421">
        <v>-23633</v>
      </c>
      <c r="BM141" s="421">
        <v>-55771.475</v>
      </c>
      <c r="BN141" s="419"/>
      <c r="BO141" s="421">
        <v>-2801.1581095047295</v>
      </c>
      <c r="BP141" s="421">
        <v>189435</v>
      </c>
      <c r="BQ141" s="421">
        <v>64417</v>
      </c>
      <c r="BR141" s="421">
        <v>154742.8346528901</v>
      </c>
      <c r="BS141" s="421">
        <v>7161.85268333947</v>
      </c>
      <c r="BT141" s="421">
        <v>25643.29382656168</v>
      </c>
      <c r="BU141" s="421">
        <v>61135.430983444574</v>
      </c>
      <c r="BV141" s="421">
        <v>131032.9521289443</v>
      </c>
      <c r="BW141" s="421">
        <v>184634.59575103052</v>
      </c>
      <c r="BX141" s="421">
        <v>58231.54700398651</v>
      </c>
      <c r="BY141" s="421">
        <v>97282.76340994959</v>
      </c>
      <c r="BZ141" s="419"/>
      <c r="CA141" s="421">
        <v>8552.909385261857</v>
      </c>
      <c r="CB141" s="419"/>
      <c r="CC141" s="419"/>
      <c r="CD141" s="419"/>
      <c r="CE141" s="421">
        <v>134846.85780025378</v>
      </c>
      <c r="CF141" s="421">
        <v>78407.55321111369</v>
      </c>
      <c r="CG141" s="421">
        <v>92563.32599306834</v>
      </c>
      <c r="CH141" s="421">
        <v>-7946.424820279248</v>
      </c>
      <c r="CI141" s="419"/>
      <c r="CJ141" s="421">
        <v>1435108.214155642</v>
      </c>
      <c r="CK141" s="421">
        <v>-475710</v>
      </c>
      <c r="CL141" s="421">
        <v>29808.88</v>
      </c>
      <c r="CM141" s="421">
        <v>690075.572</v>
      </c>
      <c r="CN141" s="421">
        <v>-660266.692</v>
      </c>
      <c r="CO141" s="419"/>
      <c r="CP141" s="419"/>
      <c r="CQ141" s="419"/>
      <c r="CR141" s="171">
        <v>525</v>
      </c>
    </row>
    <row r="142" spans="1:96" ht="9.75">
      <c r="A142" s="203">
        <v>481</v>
      </c>
      <c r="B142" s="203" t="s">
        <v>198</v>
      </c>
      <c r="C142" s="421">
        <v>9543</v>
      </c>
      <c r="D142" s="419"/>
      <c r="E142" s="419"/>
      <c r="F142" s="419"/>
      <c r="G142" s="419"/>
      <c r="H142" s="500">
        <v>4291.05</v>
      </c>
      <c r="I142" s="419"/>
      <c r="J142" s="419"/>
      <c r="K142" s="419"/>
      <c r="L142" s="419"/>
      <c r="M142" s="419"/>
      <c r="N142" s="419"/>
      <c r="O142" s="419"/>
      <c r="P142" s="419"/>
      <c r="Q142" s="421">
        <v>629</v>
      </c>
      <c r="R142" s="421">
        <v>131</v>
      </c>
      <c r="S142" s="421">
        <v>858</v>
      </c>
      <c r="T142" s="421">
        <v>449</v>
      </c>
      <c r="U142" s="421">
        <v>374</v>
      </c>
      <c r="V142" s="421">
        <v>5296</v>
      </c>
      <c r="W142" s="421">
        <v>1069</v>
      </c>
      <c r="X142" s="421">
        <v>561</v>
      </c>
      <c r="Y142" s="421">
        <v>176</v>
      </c>
      <c r="Z142" s="419"/>
      <c r="AA142" s="419"/>
      <c r="AB142" s="419"/>
      <c r="AC142" s="419"/>
      <c r="AD142" s="419"/>
      <c r="AE142" s="422">
        <v>0.7088536147666727</v>
      </c>
      <c r="AF142" s="421">
        <v>8994334.524757314</v>
      </c>
      <c r="AG142" s="420">
        <v>401</v>
      </c>
      <c r="AH142" s="420">
        <v>4772</v>
      </c>
      <c r="AJ142" s="420">
        <v>209</v>
      </c>
      <c r="AK142" s="420">
        <v>0.02190086974745887</v>
      </c>
      <c r="AM142" s="420">
        <v>0</v>
      </c>
      <c r="AN142" s="420">
        <v>107</v>
      </c>
      <c r="AP142" s="420">
        <v>0</v>
      </c>
      <c r="AQ142" s="420">
        <v>0</v>
      </c>
      <c r="AR142" s="420">
        <v>174.87</v>
      </c>
      <c r="AU142" s="420">
        <v>274</v>
      </c>
      <c r="AV142" s="420">
        <v>3312</v>
      </c>
      <c r="AW142" s="420">
        <v>0.08272946859903382</v>
      </c>
      <c r="AY142" s="420">
        <v>0</v>
      </c>
      <c r="AZ142" s="421">
        <v>2336</v>
      </c>
      <c r="BA142" s="420">
        <v>4518</v>
      </c>
      <c r="BB142" s="420">
        <v>0.5170429393536963</v>
      </c>
      <c r="BD142" s="420">
        <v>0</v>
      </c>
      <c r="BE142" s="420">
        <v>0</v>
      </c>
      <c r="BF142" s="421">
        <v>0</v>
      </c>
      <c r="BG142" s="421">
        <v>0</v>
      </c>
      <c r="BH142" s="419"/>
      <c r="BI142" s="421">
        <v>0</v>
      </c>
      <c r="BJ142" s="419"/>
      <c r="BK142" s="421">
        <v>3435.48</v>
      </c>
      <c r="BL142" s="421">
        <v>36413</v>
      </c>
      <c r="BM142" s="421">
        <v>-134450.055</v>
      </c>
      <c r="BN142" s="419"/>
      <c r="BO142" s="421">
        <v>32000.689960744232</v>
      </c>
      <c r="BP142" s="421">
        <v>621436</v>
      </c>
      <c r="BQ142" s="421">
        <v>207148</v>
      </c>
      <c r="BR142" s="421">
        <v>331328.82182197727</v>
      </c>
      <c r="BS142" s="421">
        <v>-3308.595417114833</v>
      </c>
      <c r="BT142" s="421">
        <v>-53204.678997454095</v>
      </c>
      <c r="BU142" s="421">
        <v>172834.1055396685</v>
      </c>
      <c r="BV142" s="421">
        <v>408529.98781932035</v>
      </c>
      <c r="BW142" s="421">
        <v>752960.6109749416</v>
      </c>
      <c r="BX142" s="421">
        <v>181718.37970835684</v>
      </c>
      <c r="BY142" s="421">
        <v>322529.81921711017</v>
      </c>
      <c r="BZ142" s="419"/>
      <c r="CA142" s="421">
        <v>-32083.263849012423</v>
      </c>
      <c r="CB142" s="419"/>
      <c r="CC142" s="419"/>
      <c r="CD142" s="419"/>
      <c r="CE142" s="421">
        <v>405730.0304792667</v>
      </c>
      <c r="CF142" s="421">
        <v>272602.39546321786</v>
      </c>
      <c r="CG142" s="421">
        <v>376544.6248466825</v>
      </c>
      <c r="CH142" s="421">
        <v>-48203.6476701827</v>
      </c>
      <c r="CI142" s="419"/>
      <c r="CJ142" s="421">
        <v>-160739.02161271192</v>
      </c>
      <c r="CK142" s="421">
        <v>-1858795</v>
      </c>
      <c r="CL142" s="421">
        <v>299653.7662</v>
      </c>
      <c r="CM142" s="421">
        <v>496481.8008399999</v>
      </c>
      <c r="CN142" s="421">
        <v>-196828.0346399999</v>
      </c>
      <c r="CO142" s="419"/>
      <c r="CP142" s="419"/>
      <c r="CQ142" s="419"/>
      <c r="CR142" s="171">
        <v>3033</v>
      </c>
    </row>
    <row r="143" spans="1:96" ht="9.75">
      <c r="A143" s="203">
        <v>483</v>
      </c>
      <c r="B143" s="203" t="s">
        <v>199</v>
      </c>
      <c r="C143" s="421">
        <v>1078</v>
      </c>
      <c r="D143" s="419"/>
      <c r="E143" s="419"/>
      <c r="F143" s="419"/>
      <c r="G143" s="419"/>
      <c r="H143" s="500">
        <v>4291.05</v>
      </c>
      <c r="I143" s="419"/>
      <c r="J143" s="419"/>
      <c r="K143" s="419"/>
      <c r="L143" s="419"/>
      <c r="M143" s="419"/>
      <c r="N143" s="419"/>
      <c r="O143" s="419"/>
      <c r="P143" s="419"/>
      <c r="Q143" s="421">
        <v>113</v>
      </c>
      <c r="R143" s="421">
        <v>19</v>
      </c>
      <c r="S143" s="421">
        <v>101</v>
      </c>
      <c r="T143" s="421">
        <v>52</v>
      </c>
      <c r="U143" s="421">
        <v>47</v>
      </c>
      <c r="V143" s="421">
        <v>481</v>
      </c>
      <c r="W143" s="421">
        <v>161</v>
      </c>
      <c r="X143" s="421">
        <v>61</v>
      </c>
      <c r="Y143" s="421">
        <v>43</v>
      </c>
      <c r="Z143" s="419"/>
      <c r="AA143" s="419"/>
      <c r="AB143" s="419"/>
      <c r="AC143" s="419"/>
      <c r="AD143" s="419"/>
      <c r="AE143" s="422">
        <v>0.9734307974074322</v>
      </c>
      <c r="AF143" s="421">
        <v>1395247.9639740454</v>
      </c>
      <c r="AG143" s="420">
        <v>54</v>
      </c>
      <c r="AH143" s="420">
        <v>417</v>
      </c>
      <c r="AJ143" s="420">
        <v>3</v>
      </c>
      <c r="AK143" s="420">
        <v>0.0027829313543599257</v>
      </c>
      <c r="AM143" s="420">
        <v>0</v>
      </c>
      <c r="AN143" s="420">
        <v>0</v>
      </c>
      <c r="AP143" s="420">
        <v>0</v>
      </c>
      <c r="AQ143" s="420">
        <v>0</v>
      </c>
      <c r="AR143" s="420">
        <v>229.97</v>
      </c>
      <c r="AU143" s="420">
        <v>28</v>
      </c>
      <c r="AV143" s="420">
        <v>231</v>
      </c>
      <c r="AW143" s="420">
        <v>0.12121212121212122</v>
      </c>
      <c r="AY143" s="420">
        <v>0</v>
      </c>
      <c r="AZ143" s="421">
        <v>239</v>
      </c>
      <c r="BA143" s="420">
        <v>363</v>
      </c>
      <c r="BB143" s="420">
        <v>0.6584022038567493</v>
      </c>
      <c r="BD143" s="420">
        <v>0</v>
      </c>
      <c r="BE143" s="420">
        <v>0</v>
      </c>
      <c r="BF143" s="421">
        <v>0</v>
      </c>
      <c r="BG143" s="421">
        <v>0</v>
      </c>
      <c r="BH143" s="419"/>
      <c r="BI143" s="421">
        <v>0</v>
      </c>
      <c r="BJ143" s="419"/>
      <c r="BK143" s="421">
        <v>388.08</v>
      </c>
      <c r="BL143" s="421">
        <v>-5108</v>
      </c>
      <c r="BM143" s="421">
        <v>-23912.33</v>
      </c>
      <c r="BN143" s="419"/>
      <c r="BO143" s="421">
        <v>-2330.2481867615134</v>
      </c>
      <c r="BP143" s="421">
        <v>112571</v>
      </c>
      <c r="BQ143" s="421">
        <v>33696</v>
      </c>
      <c r="BR143" s="421">
        <v>92424.51788242359</v>
      </c>
      <c r="BS143" s="421">
        <v>5507.555395064793</v>
      </c>
      <c r="BT143" s="421">
        <v>19154.82272696823</v>
      </c>
      <c r="BU143" s="421">
        <v>43544.673574117616</v>
      </c>
      <c r="BV143" s="421">
        <v>65777.08988297192</v>
      </c>
      <c r="BW143" s="421">
        <v>103253.28900229663</v>
      </c>
      <c r="BX143" s="421">
        <v>26737.41563920715</v>
      </c>
      <c r="BY143" s="421">
        <v>53503.323978154454</v>
      </c>
      <c r="BZ143" s="419"/>
      <c r="CA143" s="421">
        <v>5668.733182156559</v>
      </c>
      <c r="CB143" s="419"/>
      <c r="CC143" s="419"/>
      <c r="CD143" s="419"/>
      <c r="CE143" s="421">
        <v>78290.57150029382</v>
      </c>
      <c r="CF143" s="421">
        <v>44070.74749864338</v>
      </c>
      <c r="CG143" s="421">
        <v>52842.08199597741</v>
      </c>
      <c r="CH143" s="421">
        <v>-3163.561232757829</v>
      </c>
      <c r="CI143" s="419"/>
      <c r="CJ143" s="421">
        <v>1650898.7852223522</v>
      </c>
      <c r="CK143" s="421">
        <v>-282816</v>
      </c>
      <c r="CL143" s="421">
        <v>74671.24440000001</v>
      </c>
      <c r="CM143" s="421">
        <v>38751.544</v>
      </c>
      <c r="CN143" s="421">
        <v>35919.70040000001</v>
      </c>
      <c r="CO143" s="419"/>
      <c r="CP143" s="419"/>
      <c r="CQ143" s="419"/>
      <c r="CR143" s="171">
        <v>428</v>
      </c>
    </row>
    <row r="144" spans="1:96" ht="9.75">
      <c r="A144" s="203">
        <v>484</v>
      </c>
      <c r="B144" s="203" t="s">
        <v>200</v>
      </c>
      <c r="C144" s="421">
        <v>3066</v>
      </c>
      <c r="D144" s="419"/>
      <c r="E144" s="419"/>
      <c r="F144" s="419"/>
      <c r="G144" s="419"/>
      <c r="H144" s="500">
        <v>4291.05</v>
      </c>
      <c r="I144" s="419"/>
      <c r="J144" s="419"/>
      <c r="K144" s="419"/>
      <c r="L144" s="419"/>
      <c r="M144" s="419"/>
      <c r="N144" s="419"/>
      <c r="O144" s="419"/>
      <c r="P144" s="419"/>
      <c r="Q144" s="421">
        <v>154</v>
      </c>
      <c r="R144" s="421">
        <v>45</v>
      </c>
      <c r="S144" s="421">
        <v>167</v>
      </c>
      <c r="T144" s="421">
        <v>92</v>
      </c>
      <c r="U144" s="421">
        <v>94</v>
      </c>
      <c r="V144" s="421">
        <v>1425</v>
      </c>
      <c r="W144" s="421">
        <v>582</v>
      </c>
      <c r="X144" s="421">
        <v>321</v>
      </c>
      <c r="Y144" s="421">
        <v>186</v>
      </c>
      <c r="Z144" s="419"/>
      <c r="AA144" s="419"/>
      <c r="AB144" s="419"/>
      <c r="AC144" s="419"/>
      <c r="AD144" s="419"/>
      <c r="AE144" s="422">
        <v>1.2087276867536294</v>
      </c>
      <c r="AF144" s="421">
        <v>4927517.496209107</v>
      </c>
      <c r="AG144" s="420">
        <v>145</v>
      </c>
      <c r="AH144" s="420">
        <v>1210</v>
      </c>
      <c r="AJ144" s="420">
        <v>51</v>
      </c>
      <c r="AK144" s="420">
        <v>0.016634050880626222</v>
      </c>
      <c r="AM144" s="420">
        <v>0</v>
      </c>
      <c r="AN144" s="420">
        <v>13</v>
      </c>
      <c r="AP144" s="420">
        <v>0</v>
      </c>
      <c r="AQ144" s="420">
        <v>0</v>
      </c>
      <c r="AR144" s="420">
        <v>446.16</v>
      </c>
      <c r="AU144" s="420">
        <v>134</v>
      </c>
      <c r="AV144" s="420">
        <v>722</v>
      </c>
      <c r="AW144" s="420">
        <v>0.18559556786703602</v>
      </c>
      <c r="AY144" s="420">
        <v>0.6354</v>
      </c>
      <c r="AZ144" s="421">
        <v>956</v>
      </c>
      <c r="BA144" s="420">
        <v>1054</v>
      </c>
      <c r="BB144" s="420">
        <v>0.9070208728652751</v>
      </c>
      <c r="BD144" s="420">
        <v>0</v>
      </c>
      <c r="BE144" s="420">
        <v>0</v>
      </c>
      <c r="BF144" s="421">
        <v>0</v>
      </c>
      <c r="BG144" s="421">
        <v>0</v>
      </c>
      <c r="BH144" s="419"/>
      <c r="BI144" s="421">
        <v>0</v>
      </c>
      <c r="BJ144" s="419"/>
      <c r="BK144" s="421">
        <v>1103.76</v>
      </c>
      <c r="BL144" s="421">
        <v>80593</v>
      </c>
      <c r="BM144" s="421">
        <v>-50342.84</v>
      </c>
      <c r="BN144" s="419"/>
      <c r="BO144" s="421">
        <v>74367.37922729924</v>
      </c>
      <c r="BP144" s="421">
        <v>331324</v>
      </c>
      <c r="BQ144" s="421">
        <v>93113</v>
      </c>
      <c r="BR144" s="421">
        <v>256823.8610218016</v>
      </c>
      <c r="BS144" s="421">
        <v>13951.650723552873</v>
      </c>
      <c r="BT144" s="421">
        <v>22369.26415276425</v>
      </c>
      <c r="BU144" s="421">
        <v>113238.57277297978</v>
      </c>
      <c r="BV144" s="421">
        <v>151607.59694996048</v>
      </c>
      <c r="BW144" s="421">
        <v>266347.51058556547</v>
      </c>
      <c r="BX144" s="421">
        <v>74204.93166680018</v>
      </c>
      <c r="BY144" s="421">
        <v>134678.30637987037</v>
      </c>
      <c r="BZ144" s="419"/>
      <c r="CA144" s="421">
        <v>13953.486607691724</v>
      </c>
      <c r="CB144" s="419"/>
      <c r="CC144" s="419"/>
      <c r="CD144" s="419"/>
      <c r="CE144" s="421">
        <v>195253.85175951576</v>
      </c>
      <c r="CF144" s="421">
        <v>109855.45639265601</v>
      </c>
      <c r="CG144" s="421">
        <v>128791.98246304523</v>
      </c>
      <c r="CH144" s="421">
        <v>-12355.081841906755</v>
      </c>
      <c r="CI144" s="419"/>
      <c r="CJ144" s="421">
        <v>1519164.9276438016</v>
      </c>
      <c r="CK144" s="421">
        <v>287052</v>
      </c>
      <c r="CL144" s="421">
        <v>159552.0302</v>
      </c>
      <c r="CM144" s="421">
        <v>96878.86000000002</v>
      </c>
      <c r="CN144" s="421">
        <v>62673.17019999999</v>
      </c>
      <c r="CO144" s="419"/>
      <c r="CP144" s="419"/>
      <c r="CQ144" s="419"/>
      <c r="CR144" s="171">
        <v>716</v>
      </c>
    </row>
    <row r="145" spans="1:96" ht="9.75">
      <c r="A145" s="203">
        <v>489</v>
      </c>
      <c r="B145" s="203" t="s">
        <v>201</v>
      </c>
      <c r="C145" s="421">
        <v>1868</v>
      </c>
      <c r="D145" s="419"/>
      <c r="E145" s="419"/>
      <c r="F145" s="419"/>
      <c r="G145" s="419"/>
      <c r="H145" s="500">
        <v>4291.05</v>
      </c>
      <c r="I145" s="419"/>
      <c r="J145" s="419"/>
      <c r="K145" s="419"/>
      <c r="L145" s="419"/>
      <c r="M145" s="419"/>
      <c r="N145" s="419"/>
      <c r="O145" s="419"/>
      <c r="P145" s="419"/>
      <c r="Q145" s="421">
        <v>46</v>
      </c>
      <c r="R145" s="421">
        <v>10</v>
      </c>
      <c r="S145" s="421">
        <v>93</v>
      </c>
      <c r="T145" s="421">
        <v>59</v>
      </c>
      <c r="U145" s="421">
        <v>57</v>
      </c>
      <c r="V145" s="421">
        <v>900</v>
      </c>
      <c r="W145" s="421">
        <v>370</v>
      </c>
      <c r="X145" s="421">
        <v>230</v>
      </c>
      <c r="Y145" s="421">
        <v>103</v>
      </c>
      <c r="Z145" s="419"/>
      <c r="AA145" s="419"/>
      <c r="AB145" s="419"/>
      <c r="AC145" s="419"/>
      <c r="AD145" s="419"/>
      <c r="AE145" s="422">
        <v>1.700043365154618</v>
      </c>
      <c r="AF145" s="421">
        <v>4222449.109315378</v>
      </c>
      <c r="AG145" s="420">
        <v>94</v>
      </c>
      <c r="AH145" s="420">
        <v>756</v>
      </c>
      <c r="AJ145" s="420">
        <v>99</v>
      </c>
      <c r="AK145" s="420">
        <v>0.05299785867237687</v>
      </c>
      <c r="AM145" s="420">
        <v>0</v>
      </c>
      <c r="AN145" s="420">
        <v>6</v>
      </c>
      <c r="AP145" s="420">
        <v>0</v>
      </c>
      <c r="AQ145" s="420">
        <v>0</v>
      </c>
      <c r="AR145" s="420">
        <v>422.5</v>
      </c>
      <c r="AU145" s="420">
        <v>85</v>
      </c>
      <c r="AV145" s="420">
        <v>495</v>
      </c>
      <c r="AW145" s="420">
        <v>0.1717171717171717</v>
      </c>
      <c r="AY145" s="420">
        <v>0.5145</v>
      </c>
      <c r="AZ145" s="421">
        <v>415</v>
      </c>
      <c r="BA145" s="420">
        <v>638</v>
      </c>
      <c r="BB145" s="420">
        <v>0.6504702194357367</v>
      </c>
      <c r="BD145" s="420">
        <v>0</v>
      </c>
      <c r="BE145" s="420">
        <v>0</v>
      </c>
      <c r="BF145" s="421">
        <v>0</v>
      </c>
      <c r="BG145" s="421">
        <v>0</v>
      </c>
      <c r="BH145" s="419"/>
      <c r="BI145" s="421">
        <v>0</v>
      </c>
      <c r="BJ145" s="419"/>
      <c r="BK145" s="421">
        <v>672.48</v>
      </c>
      <c r="BL145" s="421">
        <v>-49160</v>
      </c>
      <c r="BM145" s="421">
        <v>-34357.695</v>
      </c>
      <c r="BN145" s="419"/>
      <c r="BO145" s="421">
        <v>129195.3782286048</v>
      </c>
      <c r="BP145" s="421">
        <v>244042</v>
      </c>
      <c r="BQ145" s="421">
        <v>68380</v>
      </c>
      <c r="BR145" s="421">
        <v>194514.60255742777</v>
      </c>
      <c r="BS145" s="421">
        <v>9286.78962930894</v>
      </c>
      <c r="BT145" s="421">
        <v>31055.31105772127</v>
      </c>
      <c r="BU145" s="421">
        <v>85533.22699393757</v>
      </c>
      <c r="BV145" s="421">
        <v>101389.57729098982</v>
      </c>
      <c r="BW145" s="421">
        <v>167634.94692412065</v>
      </c>
      <c r="BX145" s="421">
        <v>52449.19624394667</v>
      </c>
      <c r="BY145" s="421">
        <v>93097.11665887535</v>
      </c>
      <c r="BZ145" s="419"/>
      <c r="CA145" s="421">
        <v>-4699.1846860089645</v>
      </c>
      <c r="CB145" s="419"/>
      <c r="CC145" s="419"/>
      <c r="CD145" s="419"/>
      <c r="CE145" s="421">
        <v>136647.09226866692</v>
      </c>
      <c r="CF145" s="421">
        <v>71317.37159166526</v>
      </c>
      <c r="CG145" s="421">
        <v>80134.3826834651</v>
      </c>
      <c r="CH145" s="421">
        <v>-6550.282312110535</v>
      </c>
      <c r="CI145" s="419"/>
      <c r="CJ145" s="421">
        <v>1678221.9256298193</v>
      </c>
      <c r="CK145" s="421">
        <v>-377906</v>
      </c>
      <c r="CL145" s="421">
        <v>109100.5008</v>
      </c>
      <c r="CM145" s="421">
        <v>1384622.476</v>
      </c>
      <c r="CN145" s="421">
        <v>-1275521.9752</v>
      </c>
      <c r="CO145" s="419"/>
      <c r="CP145" s="419"/>
      <c r="CQ145" s="419"/>
      <c r="CR145" s="171">
        <v>364</v>
      </c>
    </row>
    <row r="146" spans="1:96" ht="9.75">
      <c r="A146" s="203">
        <v>491</v>
      </c>
      <c r="B146" s="203" t="s">
        <v>202</v>
      </c>
      <c r="C146" s="421">
        <v>52583</v>
      </c>
      <c r="D146" s="419"/>
      <c r="E146" s="419"/>
      <c r="F146" s="419"/>
      <c r="G146" s="419"/>
      <c r="H146" s="500">
        <v>4291.05</v>
      </c>
      <c r="I146" s="419"/>
      <c r="J146" s="419"/>
      <c r="K146" s="419"/>
      <c r="L146" s="419"/>
      <c r="M146" s="419"/>
      <c r="N146" s="419"/>
      <c r="O146" s="419"/>
      <c r="P146" s="419"/>
      <c r="Q146" s="421">
        <v>2553</v>
      </c>
      <c r="R146" s="421">
        <v>514</v>
      </c>
      <c r="S146" s="421">
        <v>3140</v>
      </c>
      <c r="T146" s="421">
        <v>1664</v>
      </c>
      <c r="U146" s="421">
        <v>1678</v>
      </c>
      <c r="V146" s="421">
        <v>28742</v>
      </c>
      <c r="W146" s="421">
        <v>7933</v>
      </c>
      <c r="X146" s="421">
        <v>4559</v>
      </c>
      <c r="Y146" s="421">
        <v>1800</v>
      </c>
      <c r="Z146" s="419"/>
      <c r="AA146" s="419"/>
      <c r="AB146" s="419"/>
      <c r="AC146" s="419"/>
      <c r="AD146" s="419"/>
      <c r="AE146" s="422">
        <v>1.2412025703672174</v>
      </c>
      <c r="AF146" s="421">
        <v>86779187.33489433</v>
      </c>
      <c r="AG146" s="420">
        <v>3033</v>
      </c>
      <c r="AH146" s="420">
        <v>24497</v>
      </c>
      <c r="AJ146" s="420">
        <v>2193</v>
      </c>
      <c r="AK146" s="420">
        <v>0.04170549417111994</v>
      </c>
      <c r="AM146" s="420">
        <v>0</v>
      </c>
      <c r="AN146" s="420">
        <v>84</v>
      </c>
      <c r="AP146" s="420">
        <v>3</v>
      </c>
      <c r="AQ146" s="420">
        <v>287</v>
      </c>
      <c r="AR146" s="420">
        <v>2548.19</v>
      </c>
      <c r="AU146" s="420">
        <v>1614</v>
      </c>
      <c r="AV146" s="420">
        <v>15011</v>
      </c>
      <c r="AW146" s="420">
        <v>0.10752115115581906</v>
      </c>
      <c r="AY146" s="420">
        <v>0</v>
      </c>
      <c r="AZ146" s="421">
        <v>21938</v>
      </c>
      <c r="BA146" s="420">
        <v>21241</v>
      </c>
      <c r="BB146" s="420">
        <v>1.0328138976507697</v>
      </c>
      <c r="BD146" s="420">
        <v>0</v>
      </c>
      <c r="BE146" s="420">
        <v>2</v>
      </c>
      <c r="BF146" s="421">
        <v>0</v>
      </c>
      <c r="BG146" s="421">
        <v>0</v>
      </c>
      <c r="BH146" s="419"/>
      <c r="BI146" s="421">
        <v>0</v>
      </c>
      <c r="BJ146" s="419"/>
      <c r="BK146" s="421">
        <v>18929.88</v>
      </c>
      <c r="BL146" s="421">
        <v>692000</v>
      </c>
      <c r="BM146" s="421">
        <v>-3203185.885</v>
      </c>
      <c r="BN146" s="419"/>
      <c r="BO146" s="421">
        <v>23894.41926728841</v>
      </c>
      <c r="BP146" s="421">
        <v>4322833</v>
      </c>
      <c r="BQ146" s="421">
        <v>1361978</v>
      </c>
      <c r="BR146" s="421">
        <v>3066998.8023660365</v>
      </c>
      <c r="BS146" s="421">
        <v>122168.39431532685</v>
      </c>
      <c r="BT146" s="421">
        <v>340435.90893708135</v>
      </c>
      <c r="BU146" s="421">
        <v>1609040.7155045995</v>
      </c>
      <c r="BV146" s="421">
        <v>2742251.6253696885</v>
      </c>
      <c r="BW146" s="421">
        <v>4236835.159566074</v>
      </c>
      <c r="BX146" s="421">
        <v>1338821.7239010881</v>
      </c>
      <c r="BY146" s="421">
        <v>2333577.0332820513</v>
      </c>
      <c r="BZ146" s="419"/>
      <c r="CA146" s="421">
        <v>265030.60404663614</v>
      </c>
      <c r="CB146" s="419"/>
      <c r="CC146" s="419"/>
      <c r="CD146" s="419"/>
      <c r="CE146" s="421">
        <v>3035028.0673102704</v>
      </c>
      <c r="CF146" s="421">
        <v>1849046.070379161</v>
      </c>
      <c r="CG146" s="421">
        <v>2286588.1110985694</v>
      </c>
      <c r="CH146" s="421">
        <v>-259232.61642114187</v>
      </c>
      <c r="CI146" s="419"/>
      <c r="CJ146" s="421">
        <v>20391473.436254103</v>
      </c>
      <c r="CK146" s="421">
        <v>913284</v>
      </c>
      <c r="CL146" s="421">
        <v>826078.5869999999</v>
      </c>
      <c r="CM146" s="421">
        <v>641452.8173880001</v>
      </c>
      <c r="CN146" s="421">
        <v>184625.76961199986</v>
      </c>
      <c r="CO146" s="419"/>
      <c r="CP146" s="419"/>
      <c r="CQ146" s="419"/>
      <c r="CR146" s="171">
        <v>15309</v>
      </c>
    </row>
    <row r="147" spans="1:96" ht="9.75">
      <c r="A147" s="203">
        <v>494</v>
      </c>
      <c r="B147" s="203" t="s">
        <v>203</v>
      </c>
      <c r="C147" s="421">
        <v>8903</v>
      </c>
      <c r="D147" s="419"/>
      <c r="E147" s="419"/>
      <c r="F147" s="419"/>
      <c r="G147" s="419"/>
      <c r="H147" s="500">
        <v>4291.05</v>
      </c>
      <c r="I147" s="419"/>
      <c r="J147" s="419"/>
      <c r="K147" s="419"/>
      <c r="L147" s="419"/>
      <c r="M147" s="419"/>
      <c r="N147" s="419"/>
      <c r="O147" s="419"/>
      <c r="P147" s="419"/>
      <c r="Q147" s="421">
        <v>694</v>
      </c>
      <c r="R147" s="421">
        <v>135</v>
      </c>
      <c r="S147" s="421">
        <v>927</v>
      </c>
      <c r="T147" s="421">
        <v>477</v>
      </c>
      <c r="U147" s="421">
        <v>455</v>
      </c>
      <c r="V147" s="421">
        <v>4577</v>
      </c>
      <c r="W147" s="421">
        <v>956</v>
      </c>
      <c r="X147" s="421">
        <v>466</v>
      </c>
      <c r="Y147" s="421">
        <v>216</v>
      </c>
      <c r="Z147" s="419"/>
      <c r="AA147" s="419"/>
      <c r="AB147" s="419"/>
      <c r="AC147" s="419"/>
      <c r="AD147" s="419"/>
      <c r="AE147" s="422">
        <v>1.1119323352144082</v>
      </c>
      <c r="AF147" s="421">
        <v>13162618.257699285</v>
      </c>
      <c r="AG147" s="420">
        <v>437</v>
      </c>
      <c r="AH147" s="420">
        <v>3840</v>
      </c>
      <c r="AJ147" s="420">
        <v>119</v>
      </c>
      <c r="AK147" s="420">
        <v>0.013366281028866674</v>
      </c>
      <c r="AM147" s="420">
        <v>0</v>
      </c>
      <c r="AN147" s="420">
        <v>8</v>
      </c>
      <c r="AP147" s="420">
        <v>0</v>
      </c>
      <c r="AQ147" s="420">
        <v>0</v>
      </c>
      <c r="AR147" s="420">
        <v>783.75</v>
      </c>
      <c r="AU147" s="420">
        <v>223</v>
      </c>
      <c r="AV147" s="420">
        <v>2633</v>
      </c>
      <c r="AW147" s="420">
        <v>0.0846942650968477</v>
      </c>
      <c r="AY147" s="420">
        <v>0</v>
      </c>
      <c r="AZ147" s="421">
        <v>2423</v>
      </c>
      <c r="BA147" s="420">
        <v>3408</v>
      </c>
      <c r="BB147" s="420">
        <v>0.7109741784037559</v>
      </c>
      <c r="BD147" s="420">
        <v>0</v>
      </c>
      <c r="BE147" s="420">
        <v>0</v>
      </c>
      <c r="BF147" s="421">
        <v>0</v>
      </c>
      <c r="BG147" s="421">
        <v>0</v>
      </c>
      <c r="BH147" s="419"/>
      <c r="BI147" s="421">
        <v>0</v>
      </c>
      <c r="BJ147" s="419"/>
      <c r="BK147" s="421">
        <v>3205.08</v>
      </c>
      <c r="BL147" s="421">
        <v>-149101</v>
      </c>
      <c r="BM147" s="421">
        <v>-281223.245</v>
      </c>
      <c r="BN147" s="419"/>
      <c r="BO147" s="421">
        <v>-106345.7427293472</v>
      </c>
      <c r="BP147" s="421">
        <v>653139</v>
      </c>
      <c r="BQ147" s="421">
        <v>192506</v>
      </c>
      <c r="BR147" s="421">
        <v>447332.6942989805</v>
      </c>
      <c r="BS147" s="421">
        <v>11353.484939487833</v>
      </c>
      <c r="BT147" s="421">
        <v>31511.033225112184</v>
      </c>
      <c r="BU147" s="421">
        <v>234842.3314750822</v>
      </c>
      <c r="BV147" s="421">
        <v>426890.521875695</v>
      </c>
      <c r="BW147" s="421">
        <v>628463.0091237711</v>
      </c>
      <c r="BX147" s="421">
        <v>151492.253400503</v>
      </c>
      <c r="BY147" s="421">
        <v>335902.63491397357</v>
      </c>
      <c r="BZ147" s="419"/>
      <c r="CA147" s="421">
        <v>43268.91066117222</v>
      </c>
      <c r="CB147" s="419"/>
      <c r="CC147" s="419"/>
      <c r="CD147" s="419"/>
      <c r="CE147" s="421">
        <v>447443.2922491736</v>
      </c>
      <c r="CF147" s="421">
        <v>283168.8837006567</v>
      </c>
      <c r="CG147" s="421">
        <v>351681.9685868783</v>
      </c>
      <c r="CH147" s="421">
        <v>-36813.90113456863</v>
      </c>
      <c r="CI147" s="419"/>
      <c r="CJ147" s="421">
        <v>7993527.07173998</v>
      </c>
      <c r="CK147" s="421">
        <v>21242</v>
      </c>
      <c r="CL147" s="421">
        <v>205755.79419999997</v>
      </c>
      <c r="CM147" s="421">
        <v>132630.140228</v>
      </c>
      <c r="CN147" s="421">
        <v>73125.65397199997</v>
      </c>
      <c r="CO147" s="419"/>
      <c r="CP147" s="419"/>
      <c r="CQ147" s="419"/>
      <c r="CR147" s="171">
        <v>3387</v>
      </c>
    </row>
    <row r="148" spans="1:96" ht="9.75">
      <c r="A148" s="203">
        <v>495</v>
      </c>
      <c r="B148" s="203" t="s">
        <v>204</v>
      </c>
      <c r="C148" s="421">
        <v>1558</v>
      </c>
      <c r="D148" s="419"/>
      <c r="E148" s="419"/>
      <c r="F148" s="419"/>
      <c r="G148" s="419"/>
      <c r="H148" s="500">
        <v>4291.05</v>
      </c>
      <c r="I148" s="419"/>
      <c r="J148" s="419"/>
      <c r="K148" s="419"/>
      <c r="L148" s="419"/>
      <c r="M148" s="419"/>
      <c r="N148" s="419"/>
      <c r="O148" s="419"/>
      <c r="P148" s="419"/>
      <c r="Q148" s="421">
        <v>60</v>
      </c>
      <c r="R148" s="421">
        <v>11</v>
      </c>
      <c r="S148" s="421">
        <v>111</v>
      </c>
      <c r="T148" s="421">
        <v>50</v>
      </c>
      <c r="U148" s="421">
        <v>44</v>
      </c>
      <c r="V148" s="421">
        <v>727</v>
      </c>
      <c r="W148" s="421">
        <v>293</v>
      </c>
      <c r="X148" s="421">
        <v>156</v>
      </c>
      <c r="Y148" s="421">
        <v>106</v>
      </c>
      <c r="Z148" s="419"/>
      <c r="AA148" s="419"/>
      <c r="AB148" s="419"/>
      <c r="AC148" s="419"/>
      <c r="AD148" s="419"/>
      <c r="AE148" s="422">
        <v>1.2366505967759112</v>
      </c>
      <c r="AF148" s="421">
        <v>2561781.10744222</v>
      </c>
      <c r="AG148" s="420">
        <v>84</v>
      </c>
      <c r="AH148" s="420">
        <v>579</v>
      </c>
      <c r="AJ148" s="420">
        <v>22</v>
      </c>
      <c r="AK148" s="420">
        <v>0.014120667522464698</v>
      </c>
      <c r="AM148" s="420">
        <v>0</v>
      </c>
      <c r="AN148" s="420">
        <v>1</v>
      </c>
      <c r="AP148" s="420">
        <v>0</v>
      </c>
      <c r="AQ148" s="420">
        <v>0</v>
      </c>
      <c r="AR148" s="420">
        <v>733.24</v>
      </c>
      <c r="AU148" s="420">
        <v>54</v>
      </c>
      <c r="AV148" s="420">
        <v>348</v>
      </c>
      <c r="AW148" s="420">
        <v>0.15517241379310345</v>
      </c>
      <c r="AY148" s="420">
        <v>0.2409</v>
      </c>
      <c r="AZ148" s="421">
        <v>593</v>
      </c>
      <c r="BA148" s="420">
        <v>524</v>
      </c>
      <c r="BB148" s="420">
        <v>1.131679389312977</v>
      </c>
      <c r="BD148" s="420">
        <v>0</v>
      </c>
      <c r="BE148" s="420">
        <v>0</v>
      </c>
      <c r="BF148" s="421">
        <v>0</v>
      </c>
      <c r="BG148" s="421">
        <v>0</v>
      </c>
      <c r="BH148" s="419"/>
      <c r="BI148" s="421">
        <v>0</v>
      </c>
      <c r="BJ148" s="419"/>
      <c r="BK148" s="421">
        <v>560.88</v>
      </c>
      <c r="BL148" s="421">
        <v>35851</v>
      </c>
      <c r="BM148" s="421">
        <v>-55541.475</v>
      </c>
      <c r="BN148" s="419"/>
      <c r="BO148" s="421">
        <v>30935.09080532845</v>
      </c>
      <c r="BP148" s="421">
        <v>201000</v>
      </c>
      <c r="BQ148" s="421">
        <v>58208</v>
      </c>
      <c r="BR148" s="421">
        <v>145030.28769449375</v>
      </c>
      <c r="BS148" s="421">
        <v>7608.706656098017</v>
      </c>
      <c r="BT148" s="421">
        <v>11383.485910040366</v>
      </c>
      <c r="BU148" s="421">
        <v>76181.8023706329</v>
      </c>
      <c r="BV148" s="421">
        <v>89379.49012113403</v>
      </c>
      <c r="BW148" s="421">
        <v>138868.57876536797</v>
      </c>
      <c r="BX148" s="421">
        <v>39101.05290441499</v>
      </c>
      <c r="BY148" s="421">
        <v>76872.69028395084</v>
      </c>
      <c r="BZ148" s="419"/>
      <c r="CA148" s="421">
        <v>-16999.544491988687</v>
      </c>
      <c r="CB148" s="419"/>
      <c r="CC148" s="419"/>
      <c r="CD148" s="419"/>
      <c r="CE148" s="421">
        <v>107965.53201872055</v>
      </c>
      <c r="CF148" s="421">
        <v>56571.66069690582</v>
      </c>
      <c r="CG148" s="421">
        <v>65048.99191688492</v>
      </c>
      <c r="CH148" s="421">
        <v>-5942.745419044916</v>
      </c>
      <c r="CI148" s="419"/>
      <c r="CJ148" s="421">
        <v>892224.4764997415</v>
      </c>
      <c r="CK148" s="421">
        <v>-388195</v>
      </c>
      <c r="CL148" s="421">
        <v>4545.8542</v>
      </c>
      <c r="CM148" s="421">
        <v>162458.39599999998</v>
      </c>
      <c r="CN148" s="421">
        <v>-157912.54179999998</v>
      </c>
      <c r="CO148" s="419"/>
      <c r="CP148" s="419"/>
      <c r="CQ148" s="419"/>
      <c r="CR148" s="171">
        <v>356</v>
      </c>
    </row>
    <row r="149" spans="1:96" ht="9.75">
      <c r="A149" s="203">
        <v>498</v>
      </c>
      <c r="B149" s="203" t="s">
        <v>205</v>
      </c>
      <c r="C149" s="421">
        <v>2297</v>
      </c>
      <c r="D149" s="419"/>
      <c r="E149" s="419"/>
      <c r="F149" s="419"/>
      <c r="G149" s="419"/>
      <c r="H149" s="500">
        <v>4291.05</v>
      </c>
      <c r="I149" s="419"/>
      <c r="J149" s="419"/>
      <c r="K149" s="419"/>
      <c r="L149" s="419"/>
      <c r="M149" s="419"/>
      <c r="N149" s="419"/>
      <c r="O149" s="419"/>
      <c r="P149" s="419"/>
      <c r="Q149" s="421">
        <v>105</v>
      </c>
      <c r="R149" s="421">
        <v>19</v>
      </c>
      <c r="S149" s="421">
        <v>171</v>
      </c>
      <c r="T149" s="421">
        <v>75</v>
      </c>
      <c r="U149" s="421">
        <v>60</v>
      </c>
      <c r="V149" s="421">
        <v>1216</v>
      </c>
      <c r="W149" s="421">
        <v>366</v>
      </c>
      <c r="X149" s="421">
        <v>214</v>
      </c>
      <c r="Y149" s="421">
        <v>71</v>
      </c>
      <c r="Z149" s="419"/>
      <c r="AA149" s="419"/>
      <c r="AB149" s="419"/>
      <c r="AC149" s="419"/>
      <c r="AD149" s="419"/>
      <c r="AE149" s="422">
        <v>1.0787905332469527</v>
      </c>
      <c r="AF149" s="421">
        <v>3294774.342720648</v>
      </c>
      <c r="AG149" s="420">
        <v>183</v>
      </c>
      <c r="AH149" s="420">
        <v>1048</v>
      </c>
      <c r="AJ149" s="420">
        <v>91</v>
      </c>
      <c r="AK149" s="420">
        <v>0.039616891597736174</v>
      </c>
      <c r="AM149" s="420">
        <v>0</v>
      </c>
      <c r="AN149" s="420">
        <v>13</v>
      </c>
      <c r="AP149" s="420">
        <v>0</v>
      </c>
      <c r="AQ149" s="420">
        <v>0</v>
      </c>
      <c r="AR149" s="420">
        <v>1904.05</v>
      </c>
      <c r="AU149" s="420">
        <v>81</v>
      </c>
      <c r="AV149" s="420">
        <v>661</v>
      </c>
      <c r="AW149" s="420">
        <v>0.12254160363086233</v>
      </c>
      <c r="AY149" s="420">
        <v>1.7764</v>
      </c>
      <c r="AZ149" s="421">
        <v>1059</v>
      </c>
      <c r="BA149" s="420">
        <v>999</v>
      </c>
      <c r="BB149" s="420">
        <v>1.06006006006006</v>
      </c>
      <c r="BD149" s="420">
        <v>0</v>
      </c>
      <c r="BE149" s="420">
        <v>6</v>
      </c>
      <c r="BF149" s="421">
        <v>0</v>
      </c>
      <c r="BG149" s="421">
        <v>0</v>
      </c>
      <c r="BH149" s="419"/>
      <c r="BI149" s="421">
        <v>0</v>
      </c>
      <c r="BJ149" s="419"/>
      <c r="BK149" s="421">
        <v>826.92</v>
      </c>
      <c r="BL149" s="421">
        <v>21632</v>
      </c>
      <c r="BM149" s="421">
        <v>-23481.055</v>
      </c>
      <c r="BN149" s="419"/>
      <c r="BO149" s="421">
        <v>250073.0429299483</v>
      </c>
      <c r="BP149" s="421">
        <v>181502</v>
      </c>
      <c r="BQ149" s="421">
        <v>72651</v>
      </c>
      <c r="BR149" s="421">
        <v>189835.50121662323</v>
      </c>
      <c r="BS149" s="421">
        <v>9827.294284804399</v>
      </c>
      <c r="BT149" s="421">
        <v>18290.03388256738</v>
      </c>
      <c r="BU149" s="421">
        <v>66345.62201419225</v>
      </c>
      <c r="BV149" s="421">
        <v>141999.74252757968</v>
      </c>
      <c r="BW149" s="421">
        <v>202939.75100335455</v>
      </c>
      <c r="BX149" s="421">
        <v>74196.18839086179</v>
      </c>
      <c r="BY149" s="421">
        <v>119805.01513015835</v>
      </c>
      <c r="BZ149" s="419"/>
      <c r="CA149" s="421">
        <v>-15076.774782236955</v>
      </c>
      <c r="CB149" s="419"/>
      <c r="CC149" s="419"/>
      <c r="CD149" s="419"/>
      <c r="CE149" s="421">
        <v>159470.2682767379</v>
      </c>
      <c r="CF149" s="421">
        <v>89081.02935298141</v>
      </c>
      <c r="CG149" s="421">
        <v>108550.8061041037</v>
      </c>
      <c r="CH149" s="421">
        <v>-10510.139033505326</v>
      </c>
      <c r="CI149" s="419"/>
      <c r="CJ149" s="421">
        <v>793947.2927794643</v>
      </c>
      <c r="CK149" s="421">
        <v>38261</v>
      </c>
      <c r="CL149" s="421">
        <v>131308.1164</v>
      </c>
      <c r="CM149" s="421">
        <v>68962.84388000001</v>
      </c>
      <c r="CN149" s="421">
        <v>62345.272519999984</v>
      </c>
      <c r="CO149" s="419"/>
      <c r="CP149" s="419"/>
      <c r="CQ149" s="419"/>
      <c r="CR149" s="171">
        <v>633</v>
      </c>
    </row>
    <row r="150" spans="1:96" ht="9.75">
      <c r="A150" s="203">
        <v>499</v>
      </c>
      <c r="B150" s="203" t="s">
        <v>206</v>
      </c>
      <c r="C150" s="421">
        <v>19453</v>
      </c>
      <c r="D150" s="419"/>
      <c r="E150" s="419"/>
      <c r="F150" s="419"/>
      <c r="G150" s="419"/>
      <c r="H150" s="500">
        <v>4291.05</v>
      </c>
      <c r="I150" s="419"/>
      <c r="J150" s="419"/>
      <c r="K150" s="419"/>
      <c r="L150" s="419"/>
      <c r="M150" s="419"/>
      <c r="N150" s="419"/>
      <c r="O150" s="419"/>
      <c r="P150" s="419"/>
      <c r="Q150" s="421">
        <v>1343</v>
      </c>
      <c r="R150" s="421">
        <v>301</v>
      </c>
      <c r="S150" s="421">
        <v>1655</v>
      </c>
      <c r="T150" s="421">
        <v>788</v>
      </c>
      <c r="U150" s="421">
        <v>693</v>
      </c>
      <c r="V150" s="421">
        <v>10341</v>
      </c>
      <c r="W150" s="421">
        <v>2349</v>
      </c>
      <c r="X150" s="421">
        <v>1333</v>
      </c>
      <c r="Y150" s="421">
        <v>650</v>
      </c>
      <c r="Z150" s="419"/>
      <c r="AA150" s="419"/>
      <c r="AB150" s="419"/>
      <c r="AC150" s="419"/>
      <c r="AD150" s="419"/>
      <c r="AE150" s="422">
        <v>0.8006885195443251</v>
      </c>
      <c r="AF150" s="421">
        <v>20709887.589968365</v>
      </c>
      <c r="AG150" s="420">
        <v>739</v>
      </c>
      <c r="AH150" s="420">
        <v>9402</v>
      </c>
      <c r="AJ150" s="420">
        <v>543</v>
      </c>
      <c r="AK150" s="420">
        <v>0.027913432375469078</v>
      </c>
      <c r="AM150" s="420">
        <v>3</v>
      </c>
      <c r="AN150" s="420">
        <v>13358</v>
      </c>
      <c r="AP150" s="420">
        <v>3</v>
      </c>
      <c r="AQ150" s="420">
        <v>2114</v>
      </c>
      <c r="AR150" s="420">
        <v>849.16</v>
      </c>
      <c r="AU150" s="420">
        <v>446</v>
      </c>
      <c r="AV150" s="420">
        <v>6425</v>
      </c>
      <c r="AW150" s="420">
        <v>0.06941634241245136</v>
      </c>
      <c r="AY150" s="420">
        <v>0</v>
      </c>
      <c r="AZ150" s="421">
        <v>5303</v>
      </c>
      <c r="BA150" s="420">
        <v>8940</v>
      </c>
      <c r="BB150" s="420">
        <v>0.5931767337807606</v>
      </c>
      <c r="BD150" s="420">
        <v>0</v>
      </c>
      <c r="BE150" s="420">
        <v>1</v>
      </c>
      <c r="BF150" s="421">
        <v>0</v>
      </c>
      <c r="BG150" s="421">
        <v>0</v>
      </c>
      <c r="BH150" s="419"/>
      <c r="BI150" s="421">
        <v>0</v>
      </c>
      <c r="BJ150" s="419"/>
      <c r="BK150" s="421">
        <v>7003.08</v>
      </c>
      <c r="BL150" s="421">
        <v>-186509</v>
      </c>
      <c r="BM150" s="421">
        <v>-226181.705</v>
      </c>
      <c r="BN150" s="419"/>
      <c r="BO150" s="421">
        <v>184900.8623964414</v>
      </c>
      <c r="BP150" s="421">
        <v>1354331</v>
      </c>
      <c r="BQ150" s="421">
        <v>457111</v>
      </c>
      <c r="BR150" s="421">
        <v>972889.3078533442</v>
      </c>
      <c r="BS150" s="421">
        <v>21636.19619890987</v>
      </c>
      <c r="BT150" s="421">
        <v>12412.837833004593</v>
      </c>
      <c r="BU150" s="421">
        <v>412351.04040340486</v>
      </c>
      <c r="BV150" s="421">
        <v>922743.1690326901</v>
      </c>
      <c r="BW150" s="421">
        <v>1507483.560543186</v>
      </c>
      <c r="BX150" s="421">
        <v>416792.2585272256</v>
      </c>
      <c r="BY150" s="421">
        <v>740084.8058070397</v>
      </c>
      <c r="BZ150" s="419"/>
      <c r="CA150" s="421">
        <v>-52714.12466637585</v>
      </c>
      <c r="CB150" s="419"/>
      <c r="CC150" s="419"/>
      <c r="CD150" s="419"/>
      <c r="CE150" s="421">
        <v>972090.3473987605</v>
      </c>
      <c r="CF150" s="421">
        <v>601274.8240882616</v>
      </c>
      <c r="CG150" s="421">
        <v>770066.289514491</v>
      </c>
      <c r="CH150" s="421">
        <v>-93995.12941286236</v>
      </c>
      <c r="CI150" s="419"/>
      <c r="CJ150" s="421">
        <v>4645054.223046212</v>
      </c>
      <c r="CK150" s="421">
        <v>-1321634</v>
      </c>
      <c r="CL150" s="421">
        <v>1040553.4786</v>
      </c>
      <c r="CM150" s="421">
        <v>703444.8546800001</v>
      </c>
      <c r="CN150" s="421">
        <v>337108.6239199999</v>
      </c>
      <c r="CO150" s="419"/>
      <c r="CP150" s="419"/>
      <c r="CQ150" s="419"/>
      <c r="CR150" s="171">
        <v>6220</v>
      </c>
    </row>
    <row r="151" spans="1:96" ht="9.75">
      <c r="A151" s="203">
        <v>500</v>
      </c>
      <c r="B151" s="203" t="s">
        <v>207</v>
      </c>
      <c r="C151" s="421">
        <v>10267</v>
      </c>
      <c r="D151" s="419"/>
      <c r="E151" s="419"/>
      <c r="F151" s="419"/>
      <c r="G151" s="419"/>
      <c r="H151" s="500">
        <v>4291.05</v>
      </c>
      <c r="I151" s="419"/>
      <c r="J151" s="419"/>
      <c r="K151" s="419"/>
      <c r="L151" s="419"/>
      <c r="M151" s="419"/>
      <c r="N151" s="419"/>
      <c r="O151" s="419"/>
      <c r="P151" s="419"/>
      <c r="Q151" s="421">
        <v>702</v>
      </c>
      <c r="R151" s="421">
        <v>170</v>
      </c>
      <c r="S151" s="421">
        <v>1006</v>
      </c>
      <c r="T151" s="421">
        <v>484</v>
      </c>
      <c r="U151" s="421">
        <v>433</v>
      </c>
      <c r="V151" s="421">
        <v>5542</v>
      </c>
      <c r="W151" s="421">
        <v>1184</v>
      </c>
      <c r="X151" s="421">
        <v>577</v>
      </c>
      <c r="Y151" s="421">
        <v>169</v>
      </c>
      <c r="Z151" s="419"/>
      <c r="AA151" s="419"/>
      <c r="AB151" s="419"/>
      <c r="AC151" s="419"/>
      <c r="AD151" s="419"/>
      <c r="AE151" s="422">
        <v>0.85248868361349</v>
      </c>
      <c r="AF151" s="421">
        <v>11637501.165352313</v>
      </c>
      <c r="AG151" s="420">
        <v>471</v>
      </c>
      <c r="AH151" s="420">
        <v>4915</v>
      </c>
      <c r="AJ151" s="420">
        <v>153</v>
      </c>
      <c r="AK151" s="420">
        <v>0.014902113567741307</v>
      </c>
      <c r="AM151" s="420">
        <v>0</v>
      </c>
      <c r="AN151" s="420">
        <v>12</v>
      </c>
      <c r="AP151" s="420">
        <v>0</v>
      </c>
      <c r="AQ151" s="420">
        <v>0</v>
      </c>
      <c r="AR151" s="420">
        <v>144.06</v>
      </c>
      <c r="AU151" s="420">
        <v>192</v>
      </c>
      <c r="AV151" s="420">
        <v>3591</v>
      </c>
      <c r="AW151" s="420">
        <v>0.053467000835421885</v>
      </c>
      <c r="AY151" s="420">
        <v>0</v>
      </c>
      <c r="AZ151" s="421">
        <v>2811</v>
      </c>
      <c r="BA151" s="420">
        <v>4501</v>
      </c>
      <c r="BB151" s="420">
        <v>0.624527882692735</v>
      </c>
      <c r="BD151" s="420">
        <v>0</v>
      </c>
      <c r="BE151" s="420">
        <v>0</v>
      </c>
      <c r="BF151" s="421">
        <v>0</v>
      </c>
      <c r="BG151" s="421">
        <v>0</v>
      </c>
      <c r="BH151" s="419"/>
      <c r="BI151" s="421">
        <v>0</v>
      </c>
      <c r="BJ151" s="419"/>
      <c r="BK151" s="421">
        <v>3696.12</v>
      </c>
      <c r="BL151" s="421">
        <v>104302</v>
      </c>
      <c r="BM151" s="421">
        <v>-282097.43</v>
      </c>
      <c r="BN151" s="419"/>
      <c r="BO151" s="421">
        <v>-63532.664028301835</v>
      </c>
      <c r="BP151" s="421">
        <v>581389</v>
      </c>
      <c r="BQ151" s="421">
        <v>183400</v>
      </c>
      <c r="BR151" s="421">
        <v>363140.8708062557</v>
      </c>
      <c r="BS151" s="421">
        <v>3914.9002659224384</v>
      </c>
      <c r="BT151" s="421">
        <v>-423439.1547483835</v>
      </c>
      <c r="BU151" s="421">
        <v>128225.02205424709</v>
      </c>
      <c r="BV151" s="421">
        <v>386549.5045330577</v>
      </c>
      <c r="BW151" s="421">
        <v>667376.9982023478</v>
      </c>
      <c r="BX151" s="421">
        <v>167680.14204433767</v>
      </c>
      <c r="BY151" s="421">
        <v>323116.8319311075</v>
      </c>
      <c r="BZ151" s="419"/>
      <c r="CA151" s="421">
        <v>9298.039049497762</v>
      </c>
      <c r="CB151" s="419"/>
      <c r="CC151" s="419"/>
      <c r="CD151" s="419"/>
      <c r="CE151" s="421">
        <v>379412.16862785514</v>
      </c>
      <c r="CF151" s="421">
        <v>269571.43722290994</v>
      </c>
      <c r="CG151" s="421">
        <v>352637.04239048704</v>
      </c>
      <c r="CH151" s="421">
        <v>-48079.772643546814</v>
      </c>
      <c r="CI151" s="419"/>
      <c r="CJ151" s="421">
        <v>400449.093862858</v>
      </c>
      <c r="CK151" s="421">
        <v>-568847</v>
      </c>
      <c r="CL151" s="421">
        <v>128178.184</v>
      </c>
      <c r="CM151" s="421">
        <v>299902.670348</v>
      </c>
      <c r="CN151" s="421">
        <v>-171724.486348</v>
      </c>
      <c r="CO151" s="419"/>
      <c r="CP151" s="419"/>
      <c r="CQ151" s="419"/>
      <c r="CR151" s="171">
        <v>3425</v>
      </c>
    </row>
    <row r="152" spans="1:96" ht="9.75">
      <c r="A152" s="203">
        <v>503</v>
      </c>
      <c r="B152" s="203" t="s">
        <v>208</v>
      </c>
      <c r="C152" s="421">
        <v>7645</v>
      </c>
      <c r="D152" s="419"/>
      <c r="E152" s="419"/>
      <c r="F152" s="419"/>
      <c r="G152" s="419"/>
      <c r="H152" s="500">
        <v>4291.05</v>
      </c>
      <c r="I152" s="419"/>
      <c r="J152" s="419"/>
      <c r="K152" s="419"/>
      <c r="L152" s="419"/>
      <c r="M152" s="419"/>
      <c r="N152" s="419"/>
      <c r="O152" s="419"/>
      <c r="P152" s="419"/>
      <c r="Q152" s="421">
        <v>404</v>
      </c>
      <c r="R152" s="421">
        <v>77</v>
      </c>
      <c r="S152" s="421">
        <v>498</v>
      </c>
      <c r="T152" s="421">
        <v>260</v>
      </c>
      <c r="U152" s="421">
        <v>242</v>
      </c>
      <c r="V152" s="421">
        <v>4086</v>
      </c>
      <c r="W152" s="421">
        <v>1151</v>
      </c>
      <c r="X152" s="421">
        <v>644</v>
      </c>
      <c r="Y152" s="421">
        <v>283</v>
      </c>
      <c r="Z152" s="419"/>
      <c r="AA152" s="419"/>
      <c r="AB152" s="419"/>
      <c r="AC152" s="419"/>
      <c r="AD152" s="419"/>
      <c r="AE152" s="422">
        <v>1.0426423241425413</v>
      </c>
      <c r="AF152" s="421">
        <v>10598402.116977558</v>
      </c>
      <c r="AG152" s="420">
        <v>320</v>
      </c>
      <c r="AH152" s="420">
        <v>3578</v>
      </c>
      <c r="AJ152" s="420">
        <v>185</v>
      </c>
      <c r="AK152" s="420">
        <v>0.02419882275997384</v>
      </c>
      <c r="AM152" s="420">
        <v>0</v>
      </c>
      <c r="AN152" s="420">
        <v>63</v>
      </c>
      <c r="AP152" s="420">
        <v>0</v>
      </c>
      <c r="AQ152" s="420">
        <v>0</v>
      </c>
      <c r="AR152" s="420">
        <v>519.8</v>
      </c>
      <c r="AU152" s="420">
        <v>293</v>
      </c>
      <c r="AV152" s="420">
        <v>2247</v>
      </c>
      <c r="AW152" s="420">
        <v>0.1303960836671117</v>
      </c>
      <c r="AY152" s="420">
        <v>0</v>
      </c>
      <c r="AZ152" s="421">
        <v>1958</v>
      </c>
      <c r="BA152" s="420">
        <v>3264</v>
      </c>
      <c r="BB152" s="420">
        <v>0.5998774509803921</v>
      </c>
      <c r="BD152" s="420">
        <v>0</v>
      </c>
      <c r="BE152" s="420">
        <v>0</v>
      </c>
      <c r="BF152" s="421">
        <v>0</v>
      </c>
      <c r="BG152" s="421">
        <v>0</v>
      </c>
      <c r="BH152" s="419"/>
      <c r="BI152" s="421">
        <v>0</v>
      </c>
      <c r="BJ152" s="419"/>
      <c r="BK152" s="421">
        <v>2752.2</v>
      </c>
      <c r="BL152" s="421">
        <v>-137561</v>
      </c>
      <c r="BM152" s="421">
        <v>-162991.705</v>
      </c>
      <c r="BN152" s="419"/>
      <c r="BO152" s="421">
        <v>16050.776211857796</v>
      </c>
      <c r="BP152" s="421">
        <v>672555</v>
      </c>
      <c r="BQ152" s="421">
        <v>216780</v>
      </c>
      <c r="BR152" s="421">
        <v>474562.0938275964</v>
      </c>
      <c r="BS152" s="421">
        <v>15988.73824683974</v>
      </c>
      <c r="BT152" s="421">
        <v>78732.96706707103</v>
      </c>
      <c r="BU152" s="421">
        <v>195548.96349423224</v>
      </c>
      <c r="BV152" s="421">
        <v>430684.55735492456</v>
      </c>
      <c r="BW152" s="421">
        <v>726253.7460421171</v>
      </c>
      <c r="BX152" s="421">
        <v>200202.43590228446</v>
      </c>
      <c r="BY152" s="421">
        <v>347871.3990283382</v>
      </c>
      <c r="BZ152" s="419"/>
      <c r="CA152" s="421">
        <v>4505.048740123515</v>
      </c>
      <c r="CB152" s="419"/>
      <c r="CC152" s="419"/>
      <c r="CD152" s="419"/>
      <c r="CE152" s="421">
        <v>460505.5633940815</v>
      </c>
      <c r="CF152" s="421">
        <v>280432.62115809065</v>
      </c>
      <c r="CG152" s="421">
        <v>353269.7176923511</v>
      </c>
      <c r="CH152" s="421">
        <v>-33140.6733591933</v>
      </c>
      <c r="CI152" s="419"/>
      <c r="CJ152" s="421">
        <v>4311364.71292841</v>
      </c>
      <c r="CK152" s="421">
        <v>-188851</v>
      </c>
      <c r="CL152" s="421">
        <v>374325.01060000004</v>
      </c>
      <c r="CM152" s="421">
        <v>234476.65007999996</v>
      </c>
      <c r="CN152" s="421">
        <v>139848.36052000007</v>
      </c>
      <c r="CO152" s="419"/>
      <c r="CP152" s="419"/>
      <c r="CQ152" s="419"/>
      <c r="CR152" s="171">
        <v>2062</v>
      </c>
    </row>
    <row r="153" spans="1:96" ht="9.75">
      <c r="A153" s="203">
        <v>504</v>
      </c>
      <c r="B153" s="203" t="s">
        <v>209</v>
      </c>
      <c r="C153" s="421">
        <v>1871</v>
      </c>
      <c r="D153" s="419"/>
      <c r="E153" s="419"/>
      <c r="F153" s="419"/>
      <c r="G153" s="419"/>
      <c r="H153" s="500">
        <v>4291.05</v>
      </c>
      <c r="I153" s="419"/>
      <c r="J153" s="419"/>
      <c r="K153" s="419"/>
      <c r="L153" s="419"/>
      <c r="M153" s="419"/>
      <c r="N153" s="419"/>
      <c r="O153" s="419"/>
      <c r="P153" s="419"/>
      <c r="Q153" s="421">
        <v>87</v>
      </c>
      <c r="R153" s="421">
        <v>27</v>
      </c>
      <c r="S153" s="421">
        <v>129</v>
      </c>
      <c r="T153" s="421">
        <v>68</v>
      </c>
      <c r="U153" s="421">
        <v>47</v>
      </c>
      <c r="V153" s="421">
        <v>962</v>
      </c>
      <c r="W153" s="421">
        <v>301</v>
      </c>
      <c r="X153" s="421">
        <v>184</v>
      </c>
      <c r="Y153" s="421">
        <v>66</v>
      </c>
      <c r="Z153" s="419"/>
      <c r="AA153" s="419"/>
      <c r="AB153" s="419"/>
      <c r="AC153" s="419"/>
      <c r="AD153" s="419"/>
      <c r="AE153" s="422">
        <v>1.0566995225840963</v>
      </c>
      <c r="AF153" s="421">
        <v>2628771.588593774</v>
      </c>
      <c r="AG153" s="420">
        <v>120</v>
      </c>
      <c r="AH153" s="420">
        <v>890</v>
      </c>
      <c r="AJ153" s="420">
        <v>84</v>
      </c>
      <c r="AK153" s="420">
        <v>0.04489577765900588</v>
      </c>
      <c r="AM153" s="420">
        <v>1</v>
      </c>
      <c r="AN153" s="420">
        <v>174</v>
      </c>
      <c r="AP153" s="420">
        <v>0</v>
      </c>
      <c r="AQ153" s="420">
        <v>0</v>
      </c>
      <c r="AR153" s="420">
        <v>200.44</v>
      </c>
      <c r="AU153" s="420">
        <v>97</v>
      </c>
      <c r="AV153" s="420">
        <v>544</v>
      </c>
      <c r="AW153" s="420">
        <v>0.17830882352941177</v>
      </c>
      <c r="AY153" s="420">
        <v>0</v>
      </c>
      <c r="AZ153" s="421">
        <v>466</v>
      </c>
      <c r="BA153" s="420">
        <v>755</v>
      </c>
      <c r="BB153" s="420">
        <v>0.6172185430463576</v>
      </c>
      <c r="BD153" s="420">
        <v>0</v>
      </c>
      <c r="BE153" s="420">
        <v>0</v>
      </c>
      <c r="BF153" s="421">
        <v>0</v>
      </c>
      <c r="BG153" s="421">
        <v>0</v>
      </c>
      <c r="BH153" s="419"/>
      <c r="BI153" s="421">
        <v>0</v>
      </c>
      <c r="BJ153" s="419"/>
      <c r="BK153" s="421">
        <v>673.56</v>
      </c>
      <c r="BL153" s="421">
        <v>-5293</v>
      </c>
      <c r="BM153" s="421">
        <v>-73756.7375</v>
      </c>
      <c r="BN153" s="419"/>
      <c r="BO153" s="421">
        <v>166062.03001650702</v>
      </c>
      <c r="BP153" s="421">
        <v>195468</v>
      </c>
      <c r="BQ153" s="421">
        <v>62369</v>
      </c>
      <c r="BR153" s="421">
        <v>141372.8779053007</v>
      </c>
      <c r="BS153" s="421">
        <v>6568.424044971691</v>
      </c>
      <c r="BT153" s="421">
        <v>18572.25033574297</v>
      </c>
      <c r="BU153" s="421">
        <v>55129.76659964208</v>
      </c>
      <c r="BV153" s="421">
        <v>116165.3091711666</v>
      </c>
      <c r="BW153" s="421">
        <v>177216.08435129444</v>
      </c>
      <c r="BX153" s="421">
        <v>61755.48162109174</v>
      </c>
      <c r="BY153" s="421">
        <v>92708.74512305671</v>
      </c>
      <c r="BZ153" s="419"/>
      <c r="CA153" s="421">
        <v>12599.827470855751</v>
      </c>
      <c r="CB153" s="419"/>
      <c r="CC153" s="419"/>
      <c r="CD153" s="419"/>
      <c r="CE153" s="421">
        <v>125473.27135620078</v>
      </c>
      <c r="CF153" s="421">
        <v>72041.96108911447</v>
      </c>
      <c r="CG153" s="421">
        <v>83973.09158642493</v>
      </c>
      <c r="CH153" s="421">
        <v>-7510.314357583271</v>
      </c>
      <c r="CI153" s="419"/>
      <c r="CJ153" s="421">
        <v>1280850.8187118086</v>
      </c>
      <c r="CK153" s="421">
        <v>-500555</v>
      </c>
      <c r="CL153" s="421">
        <v>53730.5062</v>
      </c>
      <c r="CM153" s="421">
        <v>986822.9724000001</v>
      </c>
      <c r="CN153" s="421">
        <v>-933092.4662000001</v>
      </c>
      <c r="CO153" s="419"/>
      <c r="CP153" s="419"/>
      <c r="CQ153" s="419"/>
      <c r="CR153" s="171">
        <v>486</v>
      </c>
    </row>
    <row r="154" spans="1:96" ht="9.75">
      <c r="A154" s="203">
        <v>505</v>
      </c>
      <c r="B154" s="203" t="s">
        <v>210</v>
      </c>
      <c r="C154" s="421">
        <v>20783</v>
      </c>
      <c r="D154" s="419"/>
      <c r="E154" s="419"/>
      <c r="F154" s="419"/>
      <c r="G154" s="419"/>
      <c r="H154" s="500">
        <v>4291.05</v>
      </c>
      <c r="I154" s="419"/>
      <c r="J154" s="419"/>
      <c r="K154" s="419"/>
      <c r="L154" s="419"/>
      <c r="M154" s="419"/>
      <c r="N154" s="419"/>
      <c r="O154" s="419"/>
      <c r="P154" s="419"/>
      <c r="Q154" s="421">
        <v>1301</v>
      </c>
      <c r="R154" s="421">
        <v>290</v>
      </c>
      <c r="S154" s="421">
        <v>1824</v>
      </c>
      <c r="T154" s="421">
        <v>908</v>
      </c>
      <c r="U154" s="421">
        <v>845</v>
      </c>
      <c r="V154" s="421">
        <v>11539</v>
      </c>
      <c r="W154" s="421">
        <v>2439</v>
      </c>
      <c r="X154" s="421">
        <v>1201</v>
      </c>
      <c r="Y154" s="421">
        <v>436</v>
      </c>
      <c r="Z154" s="419"/>
      <c r="AA154" s="419"/>
      <c r="AB154" s="419"/>
      <c r="AC154" s="419"/>
      <c r="AD154" s="419"/>
      <c r="AE154" s="422">
        <v>0.8850495078294286</v>
      </c>
      <c r="AF154" s="421">
        <v>24457009.692006055</v>
      </c>
      <c r="AG154" s="420">
        <v>904</v>
      </c>
      <c r="AH154" s="420">
        <v>10037</v>
      </c>
      <c r="AJ154" s="420">
        <v>807</v>
      </c>
      <c r="AK154" s="420">
        <v>0.038829812827791944</v>
      </c>
      <c r="AM154" s="420">
        <v>0</v>
      </c>
      <c r="AN154" s="420">
        <v>175</v>
      </c>
      <c r="AP154" s="420">
        <v>0</v>
      </c>
      <c r="AQ154" s="420">
        <v>0</v>
      </c>
      <c r="AR154" s="420">
        <v>580.85</v>
      </c>
      <c r="AU154" s="420">
        <v>970</v>
      </c>
      <c r="AV154" s="420">
        <v>6794</v>
      </c>
      <c r="AW154" s="420">
        <v>0.14277303503090963</v>
      </c>
      <c r="AY154" s="420">
        <v>0</v>
      </c>
      <c r="AZ154" s="421">
        <v>6422</v>
      </c>
      <c r="BA154" s="420">
        <v>9504</v>
      </c>
      <c r="BB154" s="420">
        <v>0.6757154882154882</v>
      </c>
      <c r="BD154" s="420">
        <v>0</v>
      </c>
      <c r="BE154" s="420">
        <v>5</v>
      </c>
      <c r="BF154" s="421">
        <v>0</v>
      </c>
      <c r="BG154" s="421">
        <v>0</v>
      </c>
      <c r="BH154" s="419"/>
      <c r="BI154" s="421">
        <v>0</v>
      </c>
      <c r="BJ154" s="419"/>
      <c r="BK154" s="421">
        <v>7481.88</v>
      </c>
      <c r="BL154" s="421">
        <v>-224658</v>
      </c>
      <c r="BM154" s="421">
        <v>-786776.6325</v>
      </c>
      <c r="BN154" s="419"/>
      <c r="BO154" s="421">
        <v>80214.3359831199</v>
      </c>
      <c r="BP154" s="421">
        <v>1479734</v>
      </c>
      <c r="BQ154" s="421">
        <v>475013</v>
      </c>
      <c r="BR154" s="421">
        <v>989053.6281817912</v>
      </c>
      <c r="BS154" s="421">
        <v>9088.89205300404</v>
      </c>
      <c r="BT154" s="421">
        <v>13788.275486488605</v>
      </c>
      <c r="BU154" s="421">
        <v>313030.11754291435</v>
      </c>
      <c r="BV154" s="421">
        <v>1002537.4279780103</v>
      </c>
      <c r="BW154" s="421">
        <v>1537345.6575770497</v>
      </c>
      <c r="BX154" s="421">
        <v>427475.5058452923</v>
      </c>
      <c r="BY154" s="421">
        <v>779475.2186518909</v>
      </c>
      <c r="BZ154" s="419"/>
      <c r="CA154" s="421">
        <v>-12345.044454043076</v>
      </c>
      <c r="CB154" s="419"/>
      <c r="CC154" s="419"/>
      <c r="CD154" s="419"/>
      <c r="CE154" s="421">
        <v>1001701.6257097448</v>
      </c>
      <c r="CF154" s="421">
        <v>648612.678419614</v>
      </c>
      <c r="CG154" s="421">
        <v>843570.954178667</v>
      </c>
      <c r="CH154" s="421">
        <v>-98369.84268413341</v>
      </c>
      <c r="CI154" s="419"/>
      <c r="CJ154" s="421">
        <v>3814966.772129959</v>
      </c>
      <c r="CK154" s="421">
        <v>-2081499</v>
      </c>
      <c r="CL154" s="421">
        <v>892850.4782000001</v>
      </c>
      <c r="CM154" s="421">
        <v>2313865.125348</v>
      </c>
      <c r="CN154" s="421">
        <v>-1421014.6471479996</v>
      </c>
      <c r="CO154" s="419"/>
      <c r="CP154" s="419"/>
      <c r="CQ154" s="419"/>
      <c r="CR154" s="171">
        <v>6878</v>
      </c>
    </row>
    <row r="155" spans="1:96" ht="9.75">
      <c r="A155" s="203">
        <v>508</v>
      </c>
      <c r="B155" s="203" t="s">
        <v>211</v>
      </c>
      <c r="C155" s="421">
        <v>9673</v>
      </c>
      <c r="D155" s="419"/>
      <c r="E155" s="419"/>
      <c r="F155" s="419"/>
      <c r="G155" s="419"/>
      <c r="H155" s="500">
        <v>4291.05</v>
      </c>
      <c r="I155" s="419"/>
      <c r="J155" s="419"/>
      <c r="K155" s="419"/>
      <c r="L155" s="419"/>
      <c r="M155" s="419"/>
      <c r="N155" s="419"/>
      <c r="O155" s="419"/>
      <c r="P155" s="419"/>
      <c r="Q155" s="421">
        <v>367</v>
      </c>
      <c r="R155" s="421">
        <v>65</v>
      </c>
      <c r="S155" s="421">
        <v>517</v>
      </c>
      <c r="T155" s="421">
        <v>253</v>
      </c>
      <c r="U155" s="421">
        <v>269</v>
      </c>
      <c r="V155" s="421">
        <v>4750</v>
      </c>
      <c r="W155" s="421">
        <v>1922</v>
      </c>
      <c r="X155" s="421">
        <v>1062</v>
      </c>
      <c r="Y155" s="421">
        <v>468</v>
      </c>
      <c r="Z155" s="419"/>
      <c r="AA155" s="419"/>
      <c r="AB155" s="419"/>
      <c r="AC155" s="419"/>
      <c r="AD155" s="419"/>
      <c r="AE155" s="422">
        <v>1.3855564887062928</v>
      </c>
      <c r="AF155" s="421">
        <v>17820216.565976374</v>
      </c>
      <c r="AG155" s="420">
        <v>486</v>
      </c>
      <c r="AH155" s="420">
        <v>3934</v>
      </c>
      <c r="AJ155" s="420">
        <v>234</v>
      </c>
      <c r="AK155" s="420">
        <v>0.024191047244908507</v>
      </c>
      <c r="AM155" s="420">
        <v>0</v>
      </c>
      <c r="AN155" s="420">
        <v>16</v>
      </c>
      <c r="AP155" s="420">
        <v>0</v>
      </c>
      <c r="AQ155" s="420">
        <v>0</v>
      </c>
      <c r="AR155" s="420">
        <v>534.85</v>
      </c>
      <c r="AU155" s="420">
        <v>328</v>
      </c>
      <c r="AV155" s="420">
        <v>2457</v>
      </c>
      <c r="AW155" s="420">
        <v>0.13349613349613348</v>
      </c>
      <c r="AY155" s="420">
        <v>0</v>
      </c>
      <c r="AZ155" s="421">
        <v>3664</v>
      </c>
      <c r="BA155" s="420">
        <v>3461</v>
      </c>
      <c r="BB155" s="420">
        <v>1.0586535683328517</v>
      </c>
      <c r="BD155" s="420">
        <v>0</v>
      </c>
      <c r="BE155" s="420">
        <v>1</v>
      </c>
      <c r="BF155" s="421">
        <v>0</v>
      </c>
      <c r="BG155" s="421">
        <v>0</v>
      </c>
      <c r="BH155" s="419"/>
      <c r="BI155" s="421">
        <v>0</v>
      </c>
      <c r="BJ155" s="419"/>
      <c r="BK155" s="421">
        <v>3482.2799999999997</v>
      </c>
      <c r="BL155" s="421">
        <v>69280</v>
      </c>
      <c r="BM155" s="421">
        <v>-487152.8892</v>
      </c>
      <c r="BN155" s="419"/>
      <c r="BO155" s="421">
        <v>12822.151121586561</v>
      </c>
      <c r="BP155" s="421">
        <v>803272</v>
      </c>
      <c r="BQ155" s="421">
        <v>260536</v>
      </c>
      <c r="BR155" s="421">
        <v>594607.0055709057</v>
      </c>
      <c r="BS155" s="421">
        <v>29984.572558197375</v>
      </c>
      <c r="BT155" s="421">
        <v>81713.79125779483</v>
      </c>
      <c r="BU155" s="421">
        <v>348205.48234426253</v>
      </c>
      <c r="BV155" s="421">
        <v>470837.27244409214</v>
      </c>
      <c r="BW155" s="421">
        <v>887671.2259239312</v>
      </c>
      <c r="BX155" s="421">
        <v>228034.70317835227</v>
      </c>
      <c r="BY155" s="421">
        <v>418329.02621177264</v>
      </c>
      <c r="BZ155" s="419"/>
      <c r="CA155" s="421">
        <v>7567.308102485476</v>
      </c>
      <c r="CB155" s="419"/>
      <c r="CC155" s="419"/>
      <c r="CD155" s="419"/>
      <c r="CE155" s="421">
        <v>534889.7192558051</v>
      </c>
      <c r="CF155" s="421">
        <v>319124.39739216893</v>
      </c>
      <c r="CG155" s="421">
        <v>405434.2497514378</v>
      </c>
      <c r="CH155" s="421">
        <v>-48086.175688795345</v>
      </c>
      <c r="CI155" s="419"/>
      <c r="CJ155" s="421">
        <v>2950809.290598202</v>
      </c>
      <c r="CK155" s="421">
        <v>-1126144</v>
      </c>
      <c r="CL155" s="421">
        <v>365158.7799999999</v>
      </c>
      <c r="CM155" s="421">
        <v>96953.3822</v>
      </c>
      <c r="CN155" s="421">
        <v>268205.3977999999</v>
      </c>
      <c r="CO155" s="419"/>
      <c r="CP155" s="419"/>
      <c r="CQ155" s="419"/>
      <c r="CR155" s="171">
        <v>2174</v>
      </c>
    </row>
    <row r="156" spans="1:96" ht="9.75">
      <c r="A156" s="203">
        <v>507</v>
      </c>
      <c r="B156" s="203" t="s">
        <v>212</v>
      </c>
      <c r="C156" s="421">
        <v>5676</v>
      </c>
      <c r="D156" s="419"/>
      <c r="E156" s="419"/>
      <c r="F156" s="419"/>
      <c r="G156" s="419"/>
      <c r="H156" s="500">
        <v>4291.05</v>
      </c>
      <c r="I156" s="419"/>
      <c r="J156" s="419"/>
      <c r="K156" s="419"/>
      <c r="L156" s="419"/>
      <c r="M156" s="419"/>
      <c r="N156" s="419"/>
      <c r="O156" s="419"/>
      <c r="P156" s="419"/>
      <c r="Q156" s="421">
        <v>197</v>
      </c>
      <c r="R156" s="421">
        <v>44</v>
      </c>
      <c r="S156" s="421">
        <v>305</v>
      </c>
      <c r="T156" s="421">
        <v>155</v>
      </c>
      <c r="U156" s="421">
        <v>139</v>
      </c>
      <c r="V156" s="421">
        <v>2710</v>
      </c>
      <c r="W156" s="421">
        <v>1187</v>
      </c>
      <c r="X156" s="421">
        <v>673</v>
      </c>
      <c r="Y156" s="421">
        <v>266</v>
      </c>
      <c r="Z156" s="419"/>
      <c r="AA156" s="419"/>
      <c r="AB156" s="419"/>
      <c r="AC156" s="419"/>
      <c r="AD156" s="419"/>
      <c r="AE156" s="422">
        <v>1.5510055479665774</v>
      </c>
      <c r="AF156" s="421">
        <v>11705319.971024275</v>
      </c>
      <c r="AG156" s="420">
        <v>282</v>
      </c>
      <c r="AH156" s="420">
        <v>2295</v>
      </c>
      <c r="AJ156" s="420">
        <v>135</v>
      </c>
      <c r="AK156" s="420">
        <v>0.023784355179704016</v>
      </c>
      <c r="AM156" s="420">
        <v>0</v>
      </c>
      <c r="AN156" s="420">
        <v>16</v>
      </c>
      <c r="AP156" s="420">
        <v>0</v>
      </c>
      <c r="AQ156" s="420">
        <v>0</v>
      </c>
      <c r="AR156" s="420">
        <v>980.9</v>
      </c>
      <c r="AU156" s="420">
        <v>230</v>
      </c>
      <c r="AV156" s="420">
        <v>1309</v>
      </c>
      <c r="AW156" s="420">
        <v>0.17570664629488159</v>
      </c>
      <c r="AY156" s="420">
        <v>0.2687</v>
      </c>
      <c r="AZ156" s="421">
        <v>1890</v>
      </c>
      <c r="BA156" s="420">
        <v>1957</v>
      </c>
      <c r="BB156" s="420">
        <v>0.9657639243740419</v>
      </c>
      <c r="BD156" s="420">
        <v>0</v>
      </c>
      <c r="BE156" s="420">
        <v>0</v>
      </c>
      <c r="BF156" s="421">
        <v>0</v>
      </c>
      <c r="BG156" s="421">
        <v>0</v>
      </c>
      <c r="BH156" s="419"/>
      <c r="BI156" s="421">
        <v>0</v>
      </c>
      <c r="BJ156" s="419"/>
      <c r="BK156" s="421">
        <v>2043.36</v>
      </c>
      <c r="BL156" s="421">
        <v>-181678</v>
      </c>
      <c r="BM156" s="421">
        <v>-243179.27</v>
      </c>
      <c r="BN156" s="419"/>
      <c r="BO156" s="421">
        <v>122414.00437887199</v>
      </c>
      <c r="BP156" s="421">
        <v>612511</v>
      </c>
      <c r="BQ156" s="421">
        <v>180567</v>
      </c>
      <c r="BR156" s="421">
        <v>450385.43213346513</v>
      </c>
      <c r="BS156" s="421">
        <v>24541.28516919258</v>
      </c>
      <c r="BT156" s="421">
        <v>82977.25452723737</v>
      </c>
      <c r="BU156" s="421">
        <v>229492.8758543228</v>
      </c>
      <c r="BV156" s="421">
        <v>315091.644873337</v>
      </c>
      <c r="BW156" s="421">
        <v>509287.6136667533</v>
      </c>
      <c r="BX156" s="421">
        <v>144620.6813741098</v>
      </c>
      <c r="BY156" s="421">
        <v>270129.4987416424</v>
      </c>
      <c r="BZ156" s="419"/>
      <c r="CA156" s="421">
        <v>-39742.59923086878</v>
      </c>
      <c r="CB156" s="419"/>
      <c r="CC156" s="419"/>
      <c r="CD156" s="419"/>
      <c r="CE156" s="421">
        <v>366252.40444420127</v>
      </c>
      <c r="CF156" s="421">
        <v>207075.90957533682</v>
      </c>
      <c r="CG156" s="421">
        <v>232604.70334325312</v>
      </c>
      <c r="CH156" s="421">
        <v>-24619.31478167387</v>
      </c>
      <c r="CI156" s="419"/>
      <c r="CJ156" s="421">
        <v>3208269.939315948</v>
      </c>
      <c r="CK156" s="421">
        <v>2781</v>
      </c>
      <c r="CL156" s="421">
        <v>260976.7444</v>
      </c>
      <c r="CM156" s="421">
        <v>142769.63076</v>
      </c>
      <c r="CN156" s="421">
        <v>118207.11364</v>
      </c>
      <c r="CO156" s="419"/>
      <c r="CP156" s="419"/>
      <c r="CQ156" s="419"/>
      <c r="CR156" s="171">
        <v>1180</v>
      </c>
    </row>
    <row r="157" spans="1:96" ht="9.75">
      <c r="A157" s="203">
        <v>529</v>
      </c>
      <c r="B157" s="203" t="s">
        <v>213</v>
      </c>
      <c r="C157" s="421">
        <v>19427</v>
      </c>
      <c r="D157" s="419"/>
      <c r="E157" s="419"/>
      <c r="F157" s="419"/>
      <c r="G157" s="419"/>
      <c r="H157" s="500">
        <v>4291.05</v>
      </c>
      <c r="I157" s="419"/>
      <c r="J157" s="419"/>
      <c r="K157" s="419"/>
      <c r="L157" s="419"/>
      <c r="M157" s="419"/>
      <c r="N157" s="419"/>
      <c r="O157" s="419"/>
      <c r="P157" s="419"/>
      <c r="Q157" s="421">
        <v>920</v>
      </c>
      <c r="R157" s="421">
        <v>199</v>
      </c>
      <c r="S157" s="421">
        <v>1282</v>
      </c>
      <c r="T157" s="421">
        <v>716</v>
      </c>
      <c r="U157" s="421">
        <v>666</v>
      </c>
      <c r="V157" s="421">
        <v>10526</v>
      </c>
      <c r="W157" s="421">
        <v>3033</v>
      </c>
      <c r="X157" s="421">
        <v>1562</v>
      </c>
      <c r="Y157" s="421">
        <v>523</v>
      </c>
      <c r="Z157" s="419"/>
      <c r="AA157" s="419"/>
      <c r="AB157" s="419"/>
      <c r="AC157" s="419"/>
      <c r="AD157" s="419"/>
      <c r="AE157" s="422">
        <v>0.9075369560118965</v>
      </c>
      <c r="AF157" s="421">
        <v>23442159.31445841</v>
      </c>
      <c r="AG157" s="420">
        <v>924</v>
      </c>
      <c r="AH157" s="420">
        <v>9016</v>
      </c>
      <c r="AJ157" s="420">
        <v>553</v>
      </c>
      <c r="AK157" s="420">
        <v>0.02846553765378082</v>
      </c>
      <c r="AM157" s="420">
        <v>0</v>
      </c>
      <c r="AN157" s="420">
        <v>260</v>
      </c>
      <c r="AP157" s="420">
        <v>3</v>
      </c>
      <c r="AQ157" s="420">
        <v>4242</v>
      </c>
      <c r="AR157" s="420">
        <v>312.53</v>
      </c>
      <c r="AU157" s="420">
        <v>613</v>
      </c>
      <c r="AV157" s="420">
        <v>5937</v>
      </c>
      <c r="AW157" s="420">
        <v>0.1032508000673741</v>
      </c>
      <c r="AY157" s="420">
        <v>0</v>
      </c>
      <c r="AZ157" s="421">
        <v>5690</v>
      </c>
      <c r="BA157" s="420">
        <v>8368</v>
      </c>
      <c r="BB157" s="420">
        <v>0.6799713193116634</v>
      </c>
      <c r="BD157" s="420">
        <v>0</v>
      </c>
      <c r="BE157" s="420">
        <v>1</v>
      </c>
      <c r="BF157" s="421">
        <v>0</v>
      </c>
      <c r="BG157" s="421">
        <v>0</v>
      </c>
      <c r="BH157" s="419"/>
      <c r="BI157" s="421">
        <v>0</v>
      </c>
      <c r="BJ157" s="419"/>
      <c r="BK157" s="421">
        <v>6993.719999999999</v>
      </c>
      <c r="BL157" s="421">
        <v>-111370</v>
      </c>
      <c r="BM157" s="421">
        <v>-683413.7805</v>
      </c>
      <c r="BN157" s="419"/>
      <c r="BO157" s="421">
        <v>-180401.39770806208</v>
      </c>
      <c r="BP157" s="421">
        <v>1126269</v>
      </c>
      <c r="BQ157" s="421">
        <v>399804</v>
      </c>
      <c r="BR157" s="421">
        <v>766201.2766296709</v>
      </c>
      <c r="BS157" s="421">
        <v>14389.925838253772</v>
      </c>
      <c r="BT157" s="421">
        <v>-431494.31892511674</v>
      </c>
      <c r="BU157" s="421">
        <v>292074.77072624414</v>
      </c>
      <c r="BV157" s="421">
        <v>716649.1748623804</v>
      </c>
      <c r="BW157" s="421">
        <v>1313253.560745515</v>
      </c>
      <c r="BX157" s="421">
        <v>386703.96748320304</v>
      </c>
      <c r="BY157" s="421">
        <v>671825.3355864485</v>
      </c>
      <c r="BZ157" s="419"/>
      <c r="CA157" s="421">
        <v>-206526.12006763177</v>
      </c>
      <c r="CB157" s="419"/>
      <c r="CC157" s="419"/>
      <c r="CD157" s="419"/>
      <c r="CE157" s="421">
        <v>837054.1054922671</v>
      </c>
      <c r="CF157" s="421">
        <v>537418.1633384227</v>
      </c>
      <c r="CG157" s="421">
        <v>706986.6849327618</v>
      </c>
      <c r="CH157" s="421">
        <v>-105918.72397989352</v>
      </c>
      <c r="CI157" s="419"/>
      <c r="CJ157" s="421">
        <v>-5488248.020184127</v>
      </c>
      <c r="CK157" s="421">
        <v>-1063833</v>
      </c>
      <c r="CL157" s="421">
        <v>327972.2022</v>
      </c>
      <c r="CM157" s="421">
        <v>530568.2551200001</v>
      </c>
      <c r="CN157" s="421">
        <v>-202596.0529200001</v>
      </c>
      <c r="CO157" s="419"/>
      <c r="CP157" s="419"/>
      <c r="CQ157" s="419"/>
      <c r="CR157" s="171">
        <v>5181</v>
      </c>
    </row>
    <row r="158" spans="1:96" ht="9.75">
      <c r="A158" s="203">
        <v>531</v>
      </c>
      <c r="B158" s="203" t="s">
        <v>214</v>
      </c>
      <c r="C158" s="421">
        <v>5256</v>
      </c>
      <c r="D158" s="419"/>
      <c r="E158" s="419"/>
      <c r="F158" s="419"/>
      <c r="G158" s="419"/>
      <c r="H158" s="500">
        <v>4291.05</v>
      </c>
      <c r="I158" s="419"/>
      <c r="J158" s="419"/>
      <c r="K158" s="419"/>
      <c r="L158" s="419"/>
      <c r="M158" s="419"/>
      <c r="N158" s="419"/>
      <c r="O158" s="419"/>
      <c r="P158" s="419"/>
      <c r="Q158" s="421">
        <v>229</v>
      </c>
      <c r="R158" s="421">
        <v>60</v>
      </c>
      <c r="S158" s="421">
        <v>359</v>
      </c>
      <c r="T158" s="421">
        <v>193</v>
      </c>
      <c r="U158" s="421">
        <v>190</v>
      </c>
      <c r="V158" s="421">
        <v>2717</v>
      </c>
      <c r="W158" s="421">
        <v>809</v>
      </c>
      <c r="X158" s="421">
        <v>515</v>
      </c>
      <c r="Y158" s="421">
        <v>184</v>
      </c>
      <c r="Z158" s="419"/>
      <c r="AA158" s="419"/>
      <c r="AB158" s="419"/>
      <c r="AC158" s="419"/>
      <c r="AD158" s="419"/>
      <c r="AE158" s="422">
        <v>1.0080367514946365</v>
      </c>
      <c r="AF158" s="421">
        <v>7044647.659320089</v>
      </c>
      <c r="AG158" s="420">
        <v>258</v>
      </c>
      <c r="AH158" s="420">
        <v>2304</v>
      </c>
      <c r="AJ158" s="420">
        <v>89</v>
      </c>
      <c r="AK158" s="420">
        <v>0.016933028919330288</v>
      </c>
      <c r="AM158" s="420">
        <v>0</v>
      </c>
      <c r="AN158" s="420">
        <v>26</v>
      </c>
      <c r="AP158" s="420">
        <v>0</v>
      </c>
      <c r="AQ158" s="420">
        <v>0</v>
      </c>
      <c r="AR158" s="420">
        <v>182.9</v>
      </c>
      <c r="AU158" s="420">
        <v>170</v>
      </c>
      <c r="AV158" s="420">
        <v>1515</v>
      </c>
      <c r="AW158" s="420">
        <v>0.11221122112211221</v>
      </c>
      <c r="AY158" s="420">
        <v>0</v>
      </c>
      <c r="AZ158" s="421">
        <v>1540</v>
      </c>
      <c r="BA158" s="420">
        <v>2088</v>
      </c>
      <c r="BB158" s="420">
        <v>0.7375478927203065</v>
      </c>
      <c r="BD158" s="420">
        <v>0</v>
      </c>
      <c r="BE158" s="420">
        <v>0</v>
      </c>
      <c r="BF158" s="421">
        <v>0</v>
      </c>
      <c r="BG158" s="421">
        <v>0</v>
      </c>
      <c r="BH158" s="419"/>
      <c r="BI158" s="421">
        <v>0</v>
      </c>
      <c r="BJ158" s="419"/>
      <c r="BK158" s="421">
        <v>1892.1599999999999</v>
      </c>
      <c r="BL158" s="421">
        <v>-28716</v>
      </c>
      <c r="BM158" s="421">
        <v>-152595.08</v>
      </c>
      <c r="BN158" s="419"/>
      <c r="BO158" s="421">
        <v>-12822.98214763403</v>
      </c>
      <c r="BP158" s="421">
        <v>438841</v>
      </c>
      <c r="BQ158" s="421">
        <v>144033</v>
      </c>
      <c r="BR158" s="421">
        <v>315657.2615734365</v>
      </c>
      <c r="BS158" s="421">
        <v>13267.612924917235</v>
      </c>
      <c r="BT158" s="421">
        <v>5784.877426108886</v>
      </c>
      <c r="BU158" s="421">
        <v>154824.90383729787</v>
      </c>
      <c r="BV158" s="421">
        <v>277279.57392231474</v>
      </c>
      <c r="BW158" s="421">
        <v>446750.8001192693</v>
      </c>
      <c r="BX158" s="421">
        <v>120873.6093740913</v>
      </c>
      <c r="BY158" s="421">
        <v>226991.36700585016</v>
      </c>
      <c r="BZ158" s="419"/>
      <c r="CA158" s="421">
        <v>29113.656547874874</v>
      </c>
      <c r="CB158" s="419"/>
      <c r="CC158" s="419"/>
      <c r="CD158" s="419"/>
      <c r="CE158" s="421">
        <v>295492.10994245997</v>
      </c>
      <c r="CF158" s="421">
        <v>172881.86799960214</v>
      </c>
      <c r="CG158" s="421">
        <v>222297.87222362738</v>
      </c>
      <c r="CH158" s="421">
        <v>-23126.81437787196</v>
      </c>
      <c r="CI158" s="419"/>
      <c r="CJ158" s="421">
        <v>3463871.254610694</v>
      </c>
      <c r="CK158" s="421">
        <v>-181406</v>
      </c>
      <c r="CL158" s="421">
        <v>108876.9342</v>
      </c>
      <c r="CM158" s="421">
        <v>174858.89008</v>
      </c>
      <c r="CN158" s="421">
        <v>-65981.95588000001</v>
      </c>
      <c r="CO158" s="419"/>
      <c r="CP158" s="419"/>
      <c r="CQ158" s="419"/>
      <c r="CR158" s="171">
        <v>1444</v>
      </c>
    </row>
    <row r="159" spans="1:96" ht="9.75">
      <c r="A159" s="203">
        <v>535</v>
      </c>
      <c r="B159" s="203" t="s">
        <v>215</v>
      </c>
      <c r="C159" s="421">
        <v>10500</v>
      </c>
      <c r="D159" s="419"/>
      <c r="E159" s="419"/>
      <c r="F159" s="419"/>
      <c r="G159" s="419"/>
      <c r="H159" s="500">
        <v>4291.05</v>
      </c>
      <c r="I159" s="419"/>
      <c r="J159" s="419"/>
      <c r="K159" s="419"/>
      <c r="L159" s="419"/>
      <c r="M159" s="419"/>
      <c r="N159" s="419"/>
      <c r="O159" s="419"/>
      <c r="P159" s="419"/>
      <c r="Q159" s="421">
        <v>784</v>
      </c>
      <c r="R159" s="421">
        <v>157</v>
      </c>
      <c r="S159" s="421">
        <v>1081</v>
      </c>
      <c r="T159" s="421">
        <v>504</v>
      </c>
      <c r="U159" s="421">
        <v>476</v>
      </c>
      <c r="V159" s="421">
        <v>5049</v>
      </c>
      <c r="W159" s="421">
        <v>1369</v>
      </c>
      <c r="X159" s="421">
        <v>744</v>
      </c>
      <c r="Y159" s="421">
        <v>336</v>
      </c>
      <c r="Z159" s="419"/>
      <c r="AA159" s="419"/>
      <c r="AB159" s="419"/>
      <c r="AC159" s="419"/>
      <c r="AD159" s="419"/>
      <c r="AE159" s="422">
        <v>1.4991088759944036</v>
      </c>
      <c r="AF159" s="421">
        <v>20929074.585515928</v>
      </c>
      <c r="AG159" s="420">
        <v>472</v>
      </c>
      <c r="AH159" s="420">
        <v>4384</v>
      </c>
      <c r="AJ159" s="420">
        <v>100</v>
      </c>
      <c r="AK159" s="420">
        <v>0.009523809523809525</v>
      </c>
      <c r="AM159" s="420">
        <v>0</v>
      </c>
      <c r="AN159" s="420">
        <v>6</v>
      </c>
      <c r="AP159" s="420">
        <v>0</v>
      </c>
      <c r="AQ159" s="420">
        <v>0</v>
      </c>
      <c r="AR159" s="420">
        <v>526.67</v>
      </c>
      <c r="AU159" s="420">
        <v>278</v>
      </c>
      <c r="AV159" s="420">
        <v>2795</v>
      </c>
      <c r="AW159" s="420">
        <v>0.09946332737030411</v>
      </c>
      <c r="AY159" s="420">
        <v>0</v>
      </c>
      <c r="AZ159" s="421">
        <v>3660</v>
      </c>
      <c r="BA159" s="420">
        <v>3987</v>
      </c>
      <c r="BB159" s="420">
        <v>0.9179834462001505</v>
      </c>
      <c r="BD159" s="420">
        <v>0</v>
      </c>
      <c r="BE159" s="420">
        <v>0</v>
      </c>
      <c r="BF159" s="421">
        <v>0</v>
      </c>
      <c r="BG159" s="421">
        <v>0</v>
      </c>
      <c r="BH159" s="419"/>
      <c r="BI159" s="421">
        <v>0</v>
      </c>
      <c r="BJ159" s="419"/>
      <c r="BK159" s="421">
        <v>3780</v>
      </c>
      <c r="BL159" s="421">
        <v>-75295</v>
      </c>
      <c r="BM159" s="421">
        <v>-257669.86</v>
      </c>
      <c r="BN159" s="419"/>
      <c r="BO159" s="421">
        <v>74965.71019779146</v>
      </c>
      <c r="BP159" s="421">
        <v>959779</v>
      </c>
      <c r="BQ159" s="421">
        <v>298038</v>
      </c>
      <c r="BR159" s="421">
        <v>742244.5716010841</v>
      </c>
      <c r="BS159" s="421">
        <v>31395.044960570765</v>
      </c>
      <c r="BT159" s="421">
        <v>86216.86642767818</v>
      </c>
      <c r="BU159" s="421">
        <v>384828.58999843674</v>
      </c>
      <c r="BV159" s="421">
        <v>586699.586095908</v>
      </c>
      <c r="BW159" s="421">
        <v>917056.1474282783</v>
      </c>
      <c r="BX159" s="421">
        <v>236083.63672031384</v>
      </c>
      <c r="BY159" s="421">
        <v>483486.1247853721</v>
      </c>
      <c r="BZ159" s="419"/>
      <c r="CA159" s="421">
        <v>15964.159667927612</v>
      </c>
      <c r="CB159" s="419"/>
      <c r="CC159" s="419"/>
      <c r="CD159" s="419"/>
      <c r="CE159" s="421">
        <v>655415.298039975</v>
      </c>
      <c r="CF159" s="421">
        <v>382809.2445615442</v>
      </c>
      <c r="CG159" s="421">
        <v>476506.2241132801</v>
      </c>
      <c r="CH159" s="421">
        <v>-38524.10534080755</v>
      </c>
      <c r="CI159" s="419"/>
      <c r="CJ159" s="421">
        <v>11478301.695837356</v>
      </c>
      <c r="CK159" s="421">
        <v>-923772</v>
      </c>
      <c r="CL159" s="421">
        <v>255089.49059999996</v>
      </c>
      <c r="CM159" s="421">
        <v>340119.32080000004</v>
      </c>
      <c r="CN159" s="421">
        <v>-85029.83020000008</v>
      </c>
      <c r="CO159" s="419"/>
      <c r="CP159" s="419"/>
      <c r="CQ159" s="419"/>
      <c r="CR159" s="171">
        <v>4011</v>
      </c>
    </row>
    <row r="160" spans="1:96" ht="9.75">
      <c r="A160" s="203">
        <v>536</v>
      </c>
      <c r="B160" s="203" t="s">
        <v>216</v>
      </c>
      <c r="C160" s="421">
        <v>34476</v>
      </c>
      <c r="D160" s="419"/>
      <c r="E160" s="419"/>
      <c r="F160" s="419"/>
      <c r="G160" s="419"/>
      <c r="H160" s="500">
        <v>4291.05</v>
      </c>
      <c r="I160" s="419"/>
      <c r="J160" s="419"/>
      <c r="K160" s="419"/>
      <c r="L160" s="419"/>
      <c r="M160" s="419"/>
      <c r="N160" s="419"/>
      <c r="O160" s="419"/>
      <c r="P160" s="419"/>
      <c r="Q160" s="421">
        <v>2083</v>
      </c>
      <c r="R160" s="421">
        <v>425</v>
      </c>
      <c r="S160" s="421">
        <v>2881</v>
      </c>
      <c r="T160" s="421">
        <v>1418</v>
      </c>
      <c r="U160" s="421">
        <v>1218</v>
      </c>
      <c r="V160" s="421">
        <v>19287</v>
      </c>
      <c r="W160" s="421">
        <v>4174</v>
      </c>
      <c r="X160" s="421">
        <v>2130</v>
      </c>
      <c r="Y160" s="421">
        <v>860</v>
      </c>
      <c r="Z160" s="419"/>
      <c r="AA160" s="419"/>
      <c r="AB160" s="419"/>
      <c r="AC160" s="419"/>
      <c r="AD160" s="419"/>
      <c r="AE160" s="422">
        <v>0.8593216349223656</v>
      </c>
      <c r="AF160" s="421">
        <v>39391287.15577877</v>
      </c>
      <c r="AG160" s="420">
        <v>2122</v>
      </c>
      <c r="AH160" s="420">
        <v>15904</v>
      </c>
      <c r="AJ160" s="420">
        <v>967</v>
      </c>
      <c r="AK160" s="420">
        <v>0.02804849750551108</v>
      </c>
      <c r="AM160" s="420">
        <v>0</v>
      </c>
      <c r="AN160" s="420">
        <v>119</v>
      </c>
      <c r="AP160" s="420">
        <v>0</v>
      </c>
      <c r="AQ160" s="420">
        <v>0</v>
      </c>
      <c r="AR160" s="420">
        <v>288.29</v>
      </c>
      <c r="AU160" s="420">
        <v>1055</v>
      </c>
      <c r="AV160" s="420">
        <v>11777</v>
      </c>
      <c r="AW160" s="420">
        <v>0.08958138745011462</v>
      </c>
      <c r="AY160" s="420">
        <v>0</v>
      </c>
      <c r="AZ160" s="421">
        <v>11515</v>
      </c>
      <c r="BA160" s="420">
        <v>14663</v>
      </c>
      <c r="BB160" s="420">
        <v>0.7853099638546001</v>
      </c>
      <c r="BD160" s="420">
        <v>0</v>
      </c>
      <c r="BE160" s="420">
        <v>3</v>
      </c>
      <c r="BF160" s="421">
        <v>0</v>
      </c>
      <c r="BG160" s="421">
        <v>0</v>
      </c>
      <c r="BH160" s="419"/>
      <c r="BI160" s="421">
        <v>0</v>
      </c>
      <c r="BJ160" s="419"/>
      <c r="BK160" s="421">
        <v>12411.359999999999</v>
      </c>
      <c r="BL160" s="421">
        <v>591491</v>
      </c>
      <c r="BM160" s="421">
        <v>-1724436.871</v>
      </c>
      <c r="BN160" s="419"/>
      <c r="BO160" s="421">
        <v>-794237.1566494778</v>
      </c>
      <c r="BP160" s="421">
        <v>2025008</v>
      </c>
      <c r="BQ160" s="421">
        <v>639058</v>
      </c>
      <c r="BR160" s="421">
        <v>1293658.0277316587</v>
      </c>
      <c r="BS160" s="421">
        <v>16113.233209466209</v>
      </c>
      <c r="BT160" s="421">
        <v>29726.065003372754</v>
      </c>
      <c r="BU160" s="421">
        <v>685453.0718300026</v>
      </c>
      <c r="BV160" s="421">
        <v>1344889.1313814824</v>
      </c>
      <c r="BW160" s="421">
        <v>2233952.074535946</v>
      </c>
      <c r="BX160" s="421">
        <v>578686.8977107815</v>
      </c>
      <c r="BY160" s="421">
        <v>1155887.2384274635</v>
      </c>
      <c r="BZ160" s="419"/>
      <c r="CA160" s="421">
        <v>191644.28763538686</v>
      </c>
      <c r="CB160" s="419"/>
      <c r="CC160" s="419"/>
      <c r="CD160" s="419"/>
      <c r="CE160" s="421">
        <v>1444850.5615021733</v>
      </c>
      <c r="CF160" s="421">
        <v>964067.9339414801</v>
      </c>
      <c r="CG160" s="421">
        <v>1278987.4662765325</v>
      </c>
      <c r="CH160" s="421">
        <v>-170085.89447632874</v>
      </c>
      <c r="CI160" s="419"/>
      <c r="CJ160" s="421">
        <v>3066882.0026867962</v>
      </c>
      <c r="CK160" s="421">
        <v>-2186345</v>
      </c>
      <c r="CL160" s="421">
        <v>849776.6466000001</v>
      </c>
      <c r="CM160" s="421">
        <v>1068809.3159519997</v>
      </c>
      <c r="CN160" s="421">
        <v>-219032.66935199965</v>
      </c>
      <c r="CO160" s="419"/>
      <c r="CP160" s="419"/>
      <c r="CQ160" s="419"/>
      <c r="CR160" s="171">
        <v>10958</v>
      </c>
    </row>
    <row r="161" spans="1:96" ht="9.75">
      <c r="A161" s="203">
        <v>538</v>
      </c>
      <c r="B161" s="203" t="s">
        <v>217</v>
      </c>
      <c r="C161" s="421">
        <v>4693</v>
      </c>
      <c r="D161" s="419"/>
      <c r="E161" s="419"/>
      <c r="F161" s="419"/>
      <c r="G161" s="419"/>
      <c r="H161" s="500">
        <v>4291.05</v>
      </c>
      <c r="I161" s="419"/>
      <c r="J161" s="419"/>
      <c r="K161" s="419"/>
      <c r="L161" s="419"/>
      <c r="M161" s="419"/>
      <c r="N161" s="419"/>
      <c r="O161" s="419"/>
      <c r="P161" s="419"/>
      <c r="Q161" s="421">
        <v>279</v>
      </c>
      <c r="R161" s="421">
        <v>52</v>
      </c>
      <c r="S161" s="421">
        <v>417</v>
      </c>
      <c r="T161" s="421">
        <v>219</v>
      </c>
      <c r="U161" s="421">
        <v>174</v>
      </c>
      <c r="V161" s="421">
        <v>2583</v>
      </c>
      <c r="W161" s="421">
        <v>583</v>
      </c>
      <c r="X161" s="421">
        <v>259</v>
      </c>
      <c r="Y161" s="421">
        <v>127</v>
      </c>
      <c r="Z161" s="419"/>
      <c r="AA161" s="419"/>
      <c r="AB161" s="419"/>
      <c r="AC161" s="419"/>
      <c r="AD161" s="419"/>
      <c r="AE161" s="422">
        <v>0.8749906236415627</v>
      </c>
      <c r="AF161" s="421">
        <v>5459859.999173954</v>
      </c>
      <c r="AG161" s="420">
        <v>196</v>
      </c>
      <c r="AH161" s="420">
        <v>2325</v>
      </c>
      <c r="AJ161" s="420">
        <v>80</v>
      </c>
      <c r="AK161" s="420">
        <v>0.01704666524611123</v>
      </c>
      <c r="AM161" s="420">
        <v>0</v>
      </c>
      <c r="AN161" s="420">
        <v>42</v>
      </c>
      <c r="AP161" s="420">
        <v>0</v>
      </c>
      <c r="AQ161" s="420">
        <v>0</v>
      </c>
      <c r="AR161" s="420">
        <v>198.93</v>
      </c>
      <c r="AU161" s="420">
        <v>141</v>
      </c>
      <c r="AV161" s="420">
        <v>1563</v>
      </c>
      <c r="AW161" s="420">
        <v>0.09021113243761997</v>
      </c>
      <c r="AY161" s="420">
        <v>0</v>
      </c>
      <c r="AZ161" s="421">
        <v>997</v>
      </c>
      <c r="BA161" s="420">
        <v>2186</v>
      </c>
      <c r="BB161" s="420">
        <v>0.45608417200365964</v>
      </c>
      <c r="BD161" s="420">
        <v>0</v>
      </c>
      <c r="BE161" s="420">
        <v>1</v>
      </c>
      <c r="BF161" s="421">
        <v>0</v>
      </c>
      <c r="BG161" s="421">
        <v>0</v>
      </c>
      <c r="BH161" s="419"/>
      <c r="BI161" s="421">
        <v>0</v>
      </c>
      <c r="BJ161" s="419"/>
      <c r="BK161" s="421">
        <v>1689.48</v>
      </c>
      <c r="BL161" s="421">
        <v>-33501</v>
      </c>
      <c r="BM161" s="421">
        <v>-56138.18</v>
      </c>
      <c r="BN161" s="419"/>
      <c r="BO161" s="421">
        <v>79742.1947365161</v>
      </c>
      <c r="BP161" s="421">
        <v>391270</v>
      </c>
      <c r="BQ161" s="421">
        <v>123013</v>
      </c>
      <c r="BR161" s="421">
        <v>242596.63038865852</v>
      </c>
      <c r="BS161" s="421">
        <v>3579.7945299190155</v>
      </c>
      <c r="BT161" s="421">
        <v>17659.404046923213</v>
      </c>
      <c r="BU161" s="421">
        <v>96120.12557031705</v>
      </c>
      <c r="BV161" s="421">
        <v>243463.35821764384</v>
      </c>
      <c r="BW161" s="421">
        <v>418804.3747541638</v>
      </c>
      <c r="BX161" s="421">
        <v>102384.76512897338</v>
      </c>
      <c r="BY161" s="421">
        <v>193340.9530611128</v>
      </c>
      <c r="BZ161" s="419"/>
      <c r="CA161" s="421">
        <v>5426.143595330752</v>
      </c>
      <c r="CB161" s="419"/>
      <c r="CC161" s="419"/>
      <c r="CD161" s="419"/>
      <c r="CE161" s="421">
        <v>251378.99568681928</v>
      </c>
      <c r="CF161" s="421">
        <v>163920.25787598902</v>
      </c>
      <c r="CG161" s="421">
        <v>210987.42050161652</v>
      </c>
      <c r="CH161" s="421">
        <v>-21267.278332092123</v>
      </c>
      <c r="CI161" s="419"/>
      <c r="CJ161" s="421">
        <v>2170330.5703757163</v>
      </c>
      <c r="CK161" s="421">
        <v>709852</v>
      </c>
      <c r="CL161" s="421">
        <v>152174.3324</v>
      </c>
      <c r="CM161" s="421">
        <v>138238.681</v>
      </c>
      <c r="CN161" s="421">
        <v>13935.651400000002</v>
      </c>
      <c r="CO161" s="419"/>
      <c r="CP161" s="419"/>
      <c r="CQ161" s="419"/>
      <c r="CR161" s="171">
        <v>1482</v>
      </c>
    </row>
    <row r="162" spans="1:96" ht="9.75">
      <c r="A162" s="203">
        <v>541</v>
      </c>
      <c r="B162" s="203" t="s">
        <v>218</v>
      </c>
      <c r="C162" s="421">
        <v>9501</v>
      </c>
      <c r="D162" s="419"/>
      <c r="E162" s="419"/>
      <c r="F162" s="419"/>
      <c r="G162" s="419"/>
      <c r="H162" s="500">
        <v>4291.05</v>
      </c>
      <c r="I162" s="419"/>
      <c r="J162" s="419"/>
      <c r="K162" s="419"/>
      <c r="L162" s="419"/>
      <c r="M162" s="419"/>
      <c r="N162" s="419"/>
      <c r="O162" s="419"/>
      <c r="P162" s="419"/>
      <c r="Q162" s="421">
        <v>349</v>
      </c>
      <c r="R162" s="421">
        <v>82</v>
      </c>
      <c r="S162" s="421">
        <v>472</v>
      </c>
      <c r="T162" s="421">
        <v>288</v>
      </c>
      <c r="U162" s="421">
        <v>274</v>
      </c>
      <c r="V162" s="421">
        <v>4632</v>
      </c>
      <c r="W162" s="421">
        <v>1879</v>
      </c>
      <c r="X162" s="421">
        <v>1057</v>
      </c>
      <c r="Y162" s="421">
        <v>468</v>
      </c>
      <c r="Z162" s="419"/>
      <c r="AA162" s="419"/>
      <c r="AB162" s="419"/>
      <c r="AC162" s="419"/>
      <c r="AD162" s="419"/>
      <c r="AE162" s="422">
        <v>1.7506783613088654</v>
      </c>
      <c r="AF162" s="421">
        <v>22115829.51464165</v>
      </c>
      <c r="AG162" s="420">
        <v>606</v>
      </c>
      <c r="AH162" s="420">
        <v>3857</v>
      </c>
      <c r="AJ162" s="420">
        <v>191</v>
      </c>
      <c r="AK162" s="420">
        <v>0.020103147037153983</v>
      </c>
      <c r="AM162" s="420">
        <v>0</v>
      </c>
      <c r="AN162" s="420">
        <v>6</v>
      </c>
      <c r="AP162" s="420">
        <v>0</v>
      </c>
      <c r="AQ162" s="420">
        <v>0</v>
      </c>
      <c r="AR162" s="420">
        <v>2401.38</v>
      </c>
      <c r="AU162" s="420">
        <v>281</v>
      </c>
      <c r="AV162" s="420">
        <v>2235</v>
      </c>
      <c r="AW162" s="420">
        <v>0.12572706935123043</v>
      </c>
      <c r="AY162" s="420">
        <v>1.1038</v>
      </c>
      <c r="AZ162" s="421">
        <v>3189</v>
      </c>
      <c r="BA162" s="420">
        <v>3226</v>
      </c>
      <c r="BB162" s="420">
        <v>0.9885306881587105</v>
      </c>
      <c r="BD162" s="420">
        <v>0</v>
      </c>
      <c r="BE162" s="420">
        <v>0</v>
      </c>
      <c r="BF162" s="421">
        <v>0</v>
      </c>
      <c r="BG162" s="421">
        <v>0</v>
      </c>
      <c r="BH162" s="419"/>
      <c r="BI162" s="421">
        <v>0</v>
      </c>
      <c r="BJ162" s="419"/>
      <c r="BK162" s="421">
        <v>3420.3599999999997</v>
      </c>
      <c r="BL162" s="421">
        <v>383597</v>
      </c>
      <c r="BM162" s="421">
        <v>-319294.95605</v>
      </c>
      <c r="BN162" s="419"/>
      <c r="BO162" s="421">
        <v>6571.232326386496</v>
      </c>
      <c r="BP162" s="421">
        <v>995247</v>
      </c>
      <c r="BQ162" s="421">
        <v>308034</v>
      </c>
      <c r="BR162" s="421">
        <v>838594.180571449</v>
      </c>
      <c r="BS162" s="421">
        <v>47545.38943216877</v>
      </c>
      <c r="BT162" s="421">
        <v>133720.40702885162</v>
      </c>
      <c r="BU162" s="421">
        <v>433982.7376795004</v>
      </c>
      <c r="BV162" s="421">
        <v>556119.8056431452</v>
      </c>
      <c r="BW162" s="421">
        <v>898885.2349585677</v>
      </c>
      <c r="BX162" s="421">
        <v>274897.1767368656</v>
      </c>
      <c r="BY162" s="421">
        <v>484578.3921871536</v>
      </c>
      <c r="BZ162" s="419"/>
      <c r="CA162" s="421">
        <v>33317.42157281474</v>
      </c>
      <c r="CB162" s="419"/>
      <c r="CC162" s="419"/>
      <c r="CD162" s="419"/>
      <c r="CE162" s="421">
        <v>656237.7374546616</v>
      </c>
      <c r="CF162" s="421">
        <v>351879.62141524645</v>
      </c>
      <c r="CG162" s="421">
        <v>419970.8218329321</v>
      </c>
      <c r="CH162" s="421">
        <v>-34698.32289589509</v>
      </c>
      <c r="CI162" s="419"/>
      <c r="CJ162" s="421">
        <v>8307413.690070428</v>
      </c>
      <c r="CK162" s="421">
        <v>-962239</v>
      </c>
      <c r="CL162" s="421">
        <v>73106.2782</v>
      </c>
      <c r="CM162" s="421">
        <v>143857.65488</v>
      </c>
      <c r="CN162" s="421">
        <v>-70751.37667999999</v>
      </c>
      <c r="CO162" s="419"/>
      <c r="CP162" s="419"/>
      <c r="CQ162" s="419"/>
      <c r="CR162" s="171">
        <v>2104</v>
      </c>
    </row>
    <row r="163" spans="1:96" ht="9.75">
      <c r="A163" s="203">
        <v>543</v>
      </c>
      <c r="B163" s="203" t="s">
        <v>219</v>
      </c>
      <c r="C163" s="421">
        <v>43663</v>
      </c>
      <c r="D163" s="419"/>
      <c r="E163" s="419"/>
      <c r="F163" s="419"/>
      <c r="G163" s="419"/>
      <c r="H163" s="500">
        <v>4291.05</v>
      </c>
      <c r="I163" s="419"/>
      <c r="J163" s="419"/>
      <c r="K163" s="419"/>
      <c r="L163" s="419"/>
      <c r="M163" s="419"/>
      <c r="N163" s="419"/>
      <c r="O163" s="419"/>
      <c r="P163" s="419"/>
      <c r="Q163" s="421">
        <v>2849</v>
      </c>
      <c r="R163" s="421">
        <v>621</v>
      </c>
      <c r="S163" s="421">
        <v>3833</v>
      </c>
      <c r="T163" s="421">
        <v>1968</v>
      </c>
      <c r="U163" s="421">
        <v>1889</v>
      </c>
      <c r="V163" s="421">
        <v>25063</v>
      </c>
      <c r="W163" s="421">
        <v>4383</v>
      </c>
      <c r="X163" s="421">
        <v>2385</v>
      </c>
      <c r="Y163" s="421">
        <v>672</v>
      </c>
      <c r="Z163" s="419"/>
      <c r="AA163" s="419"/>
      <c r="AB163" s="419"/>
      <c r="AC163" s="419"/>
      <c r="AD163" s="419"/>
      <c r="AE163" s="422">
        <v>0.8021502361880586</v>
      </c>
      <c r="AF163" s="421">
        <v>46568992.29781422</v>
      </c>
      <c r="AG163" s="420">
        <v>2206</v>
      </c>
      <c r="AH163" s="420">
        <v>21514</v>
      </c>
      <c r="AJ163" s="420">
        <v>2587</v>
      </c>
      <c r="AK163" s="420">
        <v>0.05924924993701761</v>
      </c>
      <c r="AM163" s="420">
        <v>0</v>
      </c>
      <c r="AN163" s="420">
        <v>538</v>
      </c>
      <c r="AP163" s="420">
        <v>0</v>
      </c>
      <c r="AQ163" s="420">
        <v>0</v>
      </c>
      <c r="AR163" s="420">
        <v>361.87</v>
      </c>
      <c r="AU163" s="420">
        <v>2226</v>
      </c>
      <c r="AV163" s="420">
        <v>14960</v>
      </c>
      <c r="AW163" s="420">
        <v>0.14879679144385027</v>
      </c>
      <c r="AY163" s="420">
        <v>0</v>
      </c>
      <c r="AZ163" s="421">
        <v>12558</v>
      </c>
      <c r="BA163" s="420">
        <v>20461</v>
      </c>
      <c r="BB163" s="420">
        <v>0.6137529934998289</v>
      </c>
      <c r="BD163" s="420">
        <v>0</v>
      </c>
      <c r="BE163" s="420">
        <v>1</v>
      </c>
      <c r="BF163" s="421">
        <v>0</v>
      </c>
      <c r="BG163" s="421">
        <v>0</v>
      </c>
      <c r="BH163" s="419"/>
      <c r="BI163" s="421">
        <v>0</v>
      </c>
      <c r="BJ163" s="419"/>
      <c r="BK163" s="421">
        <v>15718.68</v>
      </c>
      <c r="BL163" s="421">
        <v>244629</v>
      </c>
      <c r="BM163" s="421">
        <v>-2058902.279</v>
      </c>
      <c r="BN163" s="419"/>
      <c r="BO163" s="421">
        <v>-528898.4591088146</v>
      </c>
      <c r="BP163" s="421">
        <v>2508951</v>
      </c>
      <c r="BQ163" s="421">
        <v>815872</v>
      </c>
      <c r="BR163" s="421">
        <v>1541302.5968424971</v>
      </c>
      <c r="BS163" s="421">
        <v>-2689.5568037836974</v>
      </c>
      <c r="BT163" s="421">
        <v>-252744.74866968312</v>
      </c>
      <c r="BU163" s="421">
        <v>461128.2963192452</v>
      </c>
      <c r="BV163" s="421">
        <v>1697250.0701201775</v>
      </c>
      <c r="BW163" s="421">
        <v>2641548.730693181</v>
      </c>
      <c r="BX163" s="421">
        <v>760307.2997173744</v>
      </c>
      <c r="BY163" s="421">
        <v>1322288.977590187</v>
      </c>
      <c r="BZ163" s="419"/>
      <c r="CA163" s="421">
        <v>-98782.32945846539</v>
      </c>
      <c r="CB163" s="419"/>
      <c r="CC163" s="419"/>
      <c r="CD163" s="419"/>
      <c r="CE163" s="421">
        <v>1636796.1764733593</v>
      </c>
      <c r="CF163" s="421">
        <v>1178622.779299265</v>
      </c>
      <c r="CG163" s="421">
        <v>1589336.1200689229</v>
      </c>
      <c r="CH163" s="421">
        <v>-230828.9188249473</v>
      </c>
      <c r="CI163" s="419"/>
      <c r="CJ163" s="421">
        <v>-6597654.30116135</v>
      </c>
      <c r="CK163" s="421">
        <v>-6603584</v>
      </c>
      <c r="CL163" s="421">
        <v>700657.7244000001</v>
      </c>
      <c r="CM163" s="421">
        <v>973926.1604680001</v>
      </c>
      <c r="CN163" s="421">
        <v>-273268.43606800004</v>
      </c>
      <c r="CO163" s="419"/>
      <c r="CP163" s="419"/>
      <c r="CQ163" s="419"/>
      <c r="CR163" s="171">
        <v>15212</v>
      </c>
    </row>
    <row r="164" spans="1:96" ht="9.75">
      <c r="A164" s="203">
        <v>545</v>
      </c>
      <c r="B164" s="203" t="s">
        <v>220</v>
      </c>
      <c r="C164" s="421">
        <v>9558</v>
      </c>
      <c r="D164" s="419"/>
      <c r="E164" s="419"/>
      <c r="F164" s="419"/>
      <c r="G164" s="419"/>
      <c r="H164" s="500">
        <v>4291.05</v>
      </c>
      <c r="I164" s="419"/>
      <c r="J164" s="419"/>
      <c r="K164" s="419"/>
      <c r="L164" s="419"/>
      <c r="M164" s="419"/>
      <c r="N164" s="419"/>
      <c r="O164" s="419"/>
      <c r="P164" s="419"/>
      <c r="Q164" s="421">
        <v>603</v>
      </c>
      <c r="R164" s="421">
        <v>111</v>
      </c>
      <c r="S164" s="421">
        <v>597</v>
      </c>
      <c r="T164" s="421">
        <v>282</v>
      </c>
      <c r="U164" s="421">
        <v>260</v>
      </c>
      <c r="V164" s="421">
        <v>4961</v>
      </c>
      <c r="W164" s="421">
        <v>1339</v>
      </c>
      <c r="X164" s="421">
        <v>894</v>
      </c>
      <c r="Y164" s="421">
        <v>511</v>
      </c>
      <c r="Z164" s="419"/>
      <c r="AA164" s="419"/>
      <c r="AB164" s="419"/>
      <c r="AC164" s="419"/>
      <c r="AD164" s="419"/>
      <c r="AE164" s="422">
        <v>0.9530384446809191</v>
      </c>
      <c r="AF164" s="421">
        <v>12111697.081138385</v>
      </c>
      <c r="AG164" s="420">
        <v>213</v>
      </c>
      <c r="AH164" s="420">
        <v>4406</v>
      </c>
      <c r="AJ164" s="420">
        <v>1648</v>
      </c>
      <c r="AK164" s="420">
        <v>0.17242100857920067</v>
      </c>
      <c r="AM164" s="420">
        <v>3</v>
      </c>
      <c r="AN164" s="420">
        <v>7403</v>
      </c>
      <c r="AP164" s="420">
        <v>3</v>
      </c>
      <c r="AQ164" s="420">
        <v>94</v>
      </c>
      <c r="AR164" s="420">
        <v>977.74</v>
      </c>
      <c r="AU164" s="420">
        <v>640</v>
      </c>
      <c r="AV164" s="420">
        <v>2815</v>
      </c>
      <c r="AW164" s="420">
        <v>0.22735346358792186</v>
      </c>
      <c r="AY164" s="420">
        <v>0.2042</v>
      </c>
      <c r="AZ164" s="421">
        <v>4527</v>
      </c>
      <c r="BA164" s="420">
        <v>4287</v>
      </c>
      <c r="BB164" s="420">
        <v>1.0559832050384885</v>
      </c>
      <c r="BD164" s="420">
        <v>0</v>
      </c>
      <c r="BE164" s="420">
        <v>0</v>
      </c>
      <c r="BF164" s="421">
        <v>0</v>
      </c>
      <c r="BG164" s="421">
        <v>0</v>
      </c>
      <c r="BH164" s="419"/>
      <c r="BI164" s="421">
        <v>0</v>
      </c>
      <c r="BJ164" s="419"/>
      <c r="BK164" s="421">
        <v>3440.8799999999997</v>
      </c>
      <c r="BL164" s="421">
        <v>-230722</v>
      </c>
      <c r="BM164" s="421">
        <v>-86666.565</v>
      </c>
      <c r="BN164" s="419"/>
      <c r="BO164" s="421">
        <v>236161.79568575323</v>
      </c>
      <c r="BP164" s="421">
        <v>882100</v>
      </c>
      <c r="BQ164" s="421">
        <v>360351</v>
      </c>
      <c r="BR164" s="421">
        <v>862960.744308594</v>
      </c>
      <c r="BS164" s="421">
        <v>51821.1785332741</v>
      </c>
      <c r="BT164" s="421">
        <v>100620.96981149455</v>
      </c>
      <c r="BU164" s="421">
        <v>341477.81833302096</v>
      </c>
      <c r="BV164" s="421">
        <v>661809.1977842076</v>
      </c>
      <c r="BW164" s="421">
        <v>988815.4396264588</v>
      </c>
      <c r="BX164" s="421">
        <v>358380.75568269467</v>
      </c>
      <c r="BY164" s="421">
        <v>546498.5562518731</v>
      </c>
      <c r="BZ164" s="419"/>
      <c r="CA164" s="421">
        <v>-78489.99687987202</v>
      </c>
      <c r="CB164" s="419"/>
      <c r="CC164" s="419"/>
      <c r="CD164" s="419"/>
      <c r="CE164" s="421">
        <v>744996.2807283667</v>
      </c>
      <c r="CF164" s="421">
        <v>435165.1256609631</v>
      </c>
      <c r="CG164" s="421">
        <v>543416.2484497187</v>
      </c>
      <c r="CH164" s="421">
        <v>-37306.320220447284</v>
      </c>
      <c r="CI164" s="419"/>
      <c r="CJ164" s="421">
        <v>7176478.817898454</v>
      </c>
      <c r="CK164" s="421">
        <v>342164</v>
      </c>
      <c r="CL164" s="421">
        <v>235490.15200000003</v>
      </c>
      <c r="CM164" s="421">
        <v>126762.2622</v>
      </c>
      <c r="CN164" s="421">
        <v>108727.88980000003</v>
      </c>
      <c r="CO164" s="419"/>
      <c r="CP164" s="419"/>
      <c r="CQ164" s="419"/>
      <c r="CR164" s="171">
        <v>2690</v>
      </c>
    </row>
    <row r="165" spans="1:96" ht="9.75">
      <c r="A165" s="203">
        <v>560</v>
      </c>
      <c r="B165" s="203" t="s">
        <v>221</v>
      </c>
      <c r="C165" s="421">
        <v>15882</v>
      </c>
      <c r="D165" s="419"/>
      <c r="E165" s="419"/>
      <c r="F165" s="419"/>
      <c r="G165" s="419"/>
      <c r="H165" s="500">
        <v>4291.05</v>
      </c>
      <c r="I165" s="419"/>
      <c r="J165" s="419"/>
      <c r="K165" s="419"/>
      <c r="L165" s="419"/>
      <c r="M165" s="419"/>
      <c r="N165" s="419"/>
      <c r="O165" s="419"/>
      <c r="P165" s="419"/>
      <c r="Q165" s="421">
        <v>883</v>
      </c>
      <c r="R165" s="421">
        <v>174</v>
      </c>
      <c r="S165" s="421">
        <v>1168</v>
      </c>
      <c r="T165" s="421">
        <v>601</v>
      </c>
      <c r="U165" s="421">
        <v>544</v>
      </c>
      <c r="V165" s="421">
        <v>8450</v>
      </c>
      <c r="W165" s="421">
        <v>2329</v>
      </c>
      <c r="X165" s="421">
        <v>1248</v>
      </c>
      <c r="Y165" s="421">
        <v>485</v>
      </c>
      <c r="Z165" s="419"/>
      <c r="AA165" s="419"/>
      <c r="AB165" s="419"/>
      <c r="AC165" s="419"/>
      <c r="AD165" s="419"/>
      <c r="AE165" s="422">
        <v>0.9953373983432758</v>
      </c>
      <c r="AF165" s="421">
        <v>21018565.263639364</v>
      </c>
      <c r="AG165" s="420">
        <v>877</v>
      </c>
      <c r="AH165" s="420">
        <v>7343</v>
      </c>
      <c r="AJ165" s="420">
        <v>474</v>
      </c>
      <c r="AK165" s="420">
        <v>0.029845107669059314</v>
      </c>
      <c r="AM165" s="420">
        <v>0</v>
      </c>
      <c r="AN165" s="420">
        <v>98</v>
      </c>
      <c r="AP165" s="420">
        <v>0</v>
      </c>
      <c r="AQ165" s="420">
        <v>0</v>
      </c>
      <c r="AR165" s="420">
        <v>785.26</v>
      </c>
      <c r="AU165" s="420">
        <v>771</v>
      </c>
      <c r="AV165" s="420">
        <v>4810</v>
      </c>
      <c r="AW165" s="420">
        <v>0.1602910602910603</v>
      </c>
      <c r="AY165" s="420">
        <v>0</v>
      </c>
      <c r="AZ165" s="421">
        <v>4799</v>
      </c>
      <c r="BA165" s="420">
        <v>6553</v>
      </c>
      <c r="BB165" s="420">
        <v>0.732336334503281</v>
      </c>
      <c r="BD165" s="420">
        <v>0</v>
      </c>
      <c r="BE165" s="420">
        <v>3</v>
      </c>
      <c r="BF165" s="421">
        <v>0</v>
      </c>
      <c r="BG165" s="421">
        <v>0</v>
      </c>
      <c r="BH165" s="419"/>
      <c r="BI165" s="421">
        <v>0</v>
      </c>
      <c r="BJ165" s="419"/>
      <c r="BK165" s="421">
        <v>5717.5199999999995</v>
      </c>
      <c r="BL165" s="421">
        <v>-142897</v>
      </c>
      <c r="BM165" s="421">
        <v>-800495.02</v>
      </c>
      <c r="BN165" s="419"/>
      <c r="BO165" s="421">
        <v>195649.91878824774</v>
      </c>
      <c r="BP165" s="421">
        <v>1347206</v>
      </c>
      <c r="BQ165" s="421">
        <v>448989</v>
      </c>
      <c r="BR165" s="421">
        <v>1044372.1029025062</v>
      </c>
      <c r="BS165" s="421">
        <v>40840.80575134025</v>
      </c>
      <c r="BT165" s="421">
        <v>25536.415548027293</v>
      </c>
      <c r="BU165" s="421">
        <v>410477.114387732</v>
      </c>
      <c r="BV165" s="421">
        <v>841468.4395644694</v>
      </c>
      <c r="BW165" s="421">
        <v>1345148.8386893263</v>
      </c>
      <c r="BX165" s="421">
        <v>396782.1098963483</v>
      </c>
      <c r="BY165" s="421">
        <v>698393.1445233382</v>
      </c>
      <c r="BZ165" s="419"/>
      <c r="CA165" s="421">
        <v>69151.48871490645</v>
      </c>
      <c r="CB165" s="419"/>
      <c r="CC165" s="419"/>
      <c r="CD165" s="419"/>
      <c r="CE165" s="421">
        <v>922060.5013715787</v>
      </c>
      <c r="CF165" s="421">
        <v>551655.6028475639</v>
      </c>
      <c r="CG165" s="421">
        <v>691264.7286478087</v>
      </c>
      <c r="CH165" s="421">
        <v>-66948.35636428051</v>
      </c>
      <c r="CI165" s="419"/>
      <c r="CJ165" s="421">
        <v>9926006.206354301</v>
      </c>
      <c r="CK165" s="421">
        <v>-1927931</v>
      </c>
      <c r="CL165" s="421">
        <v>1220971.7248000002</v>
      </c>
      <c r="CM165" s="421">
        <v>953019.7024800001</v>
      </c>
      <c r="CN165" s="421">
        <v>267952.0223200001</v>
      </c>
      <c r="CO165" s="419"/>
      <c r="CP165" s="419"/>
      <c r="CQ165" s="419"/>
      <c r="CR165" s="171">
        <v>4553</v>
      </c>
    </row>
    <row r="166" spans="1:96" ht="9.75">
      <c r="A166" s="203">
        <v>561</v>
      </c>
      <c r="B166" s="203" t="s">
        <v>222</v>
      </c>
      <c r="C166" s="421">
        <v>1334</v>
      </c>
      <c r="D166" s="419"/>
      <c r="E166" s="419"/>
      <c r="F166" s="419"/>
      <c r="G166" s="419"/>
      <c r="H166" s="500">
        <v>4291.05</v>
      </c>
      <c r="I166" s="419"/>
      <c r="J166" s="419"/>
      <c r="K166" s="419"/>
      <c r="L166" s="419"/>
      <c r="M166" s="419"/>
      <c r="N166" s="419"/>
      <c r="O166" s="419"/>
      <c r="P166" s="419"/>
      <c r="Q166" s="421">
        <v>66</v>
      </c>
      <c r="R166" s="421">
        <v>21</v>
      </c>
      <c r="S166" s="421">
        <v>104</v>
      </c>
      <c r="T166" s="421">
        <v>45</v>
      </c>
      <c r="U166" s="421">
        <v>60</v>
      </c>
      <c r="V166" s="421">
        <v>667</v>
      </c>
      <c r="W166" s="421">
        <v>194</v>
      </c>
      <c r="X166" s="421">
        <v>106</v>
      </c>
      <c r="Y166" s="421">
        <v>71</v>
      </c>
      <c r="Z166" s="419"/>
      <c r="AA166" s="419"/>
      <c r="AB166" s="419"/>
      <c r="AC166" s="419"/>
      <c r="AD166" s="419"/>
      <c r="AE166" s="422">
        <v>0.9587159060915428</v>
      </c>
      <c r="AF166" s="421">
        <v>1700486.995461634</v>
      </c>
      <c r="AG166" s="420">
        <v>47</v>
      </c>
      <c r="AH166" s="420">
        <v>579</v>
      </c>
      <c r="AJ166" s="420">
        <v>97</v>
      </c>
      <c r="AK166" s="420">
        <v>0.0727136431784108</v>
      </c>
      <c r="AM166" s="420">
        <v>0</v>
      </c>
      <c r="AN166" s="420">
        <v>6</v>
      </c>
      <c r="AP166" s="420">
        <v>0</v>
      </c>
      <c r="AQ166" s="420">
        <v>0</v>
      </c>
      <c r="AR166" s="420">
        <v>117.64</v>
      </c>
      <c r="AU166" s="420">
        <v>78</v>
      </c>
      <c r="AV166" s="420">
        <v>377</v>
      </c>
      <c r="AW166" s="420">
        <v>0.20689655172413793</v>
      </c>
      <c r="AY166" s="420">
        <v>0</v>
      </c>
      <c r="AZ166" s="421">
        <v>430</v>
      </c>
      <c r="BA166" s="420">
        <v>535</v>
      </c>
      <c r="BB166" s="420">
        <v>0.8037383177570093</v>
      </c>
      <c r="BD166" s="420">
        <v>0</v>
      </c>
      <c r="BE166" s="420">
        <v>0</v>
      </c>
      <c r="BF166" s="421">
        <v>0</v>
      </c>
      <c r="BG166" s="421">
        <v>0</v>
      </c>
      <c r="BH166" s="419"/>
      <c r="BI166" s="421">
        <v>0</v>
      </c>
      <c r="BJ166" s="419"/>
      <c r="BK166" s="421">
        <v>480.24</v>
      </c>
      <c r="BL166" s="421">
        <v>-16189</v>
      </c>
      <c r="BM166" s="421">
        <v>-17518.77</v>
      </c>
      <c r="BN166" s="419"/>
      <c r="BO166" s="421">
        <v>69611.57795016142</v>
      </c>
      <c r="BP166" s="421">
        <v>125388</v>
      </c>
      <c r="BQ166" s="421">
        <v>47164</v>
      </c>
      <c r="BR166" s="421">
        <v>120705.51309423543</v>
      </c>
      <c r="BS166" s="421">
        <v>6912.047351031206</v>
      </c>
      <c r="BT166" s="421">
        <v>16468.420393850014</v>
      </c>
      <c r="BU166" s="421">
        <v>44923.49796783315</v>
      </c>
      <c r="BV166" s="421">
        <v>91105.93591017868</v>
      </c>
      <c r="BW166" s="421">
        <v>127322.0639238273</v>
      </c>
      <c r="BX166" s="421">
        <v>42722.48011413476</v>
      </c>
      <c r="BY166" s="421">
        <v>69442.99291967465</v>
      </c>
      <c r="BZ166" s="419"/>
      <c r="CA166" s="421">
        <v>-7089.873628083123</v>
      </c>
      <c r="CB166" s="419"/>
      <c r="CC166" s="419"/>
      <c r="CD166" s="419"/>
      <c r="CE166" s="421">
        <v>95695.84486875714</v>
      </c>
      <c r="CF166" s="421">
        <v>56285.30123926163</v>
      </c>
      <c r="CG166" s="421">
        <v>64726.81708027623</v>
      </c>
      <c r="CH166" s="421">
        <v>-5099.821738720436</v>
      </c>
      <c r="CI166" s="419"/>
      <c r="CJ166" s="421">
        <v>931707.7567661633</v>
      </c>
      <c r="CK166" s="421">
        <v>-296983</v>
      </c>
      <c r="CL166" s="421">
        <v>14904.44</v>
      </c>
      <c r="CM166" s="421">
        <v>570914.5741999999</v>
      </c>
      <c r="CN166" s="421">
        <v>-556010.1342</v>
      </c>
      <c r="CO166" s="419"/>
      <c r="CP166" s="419"/>
      <c r="CQ166" s="419"/>
      <c r="CR166" s="171">
        <v>401</v>
      </c>
    </row>
    <row r="167" spans="1:96" ht="9.75">
      <c r="A167" s="203">
        <v>562</v>
      </c>
      <c r="B167" s="203" t="s">
        <v>223</v>
      </c>
      <c r="C167" s="421">
        <v>9008</v>
      </c>
      <c r="D167" s="419"/>
      <c r="E167" s="419"/>
      <c r="F167" s="419"/>
      <c r="G167" s="419"/>
      <c r="H167" s="500">
        <v>4291.05</v>
      </c>
      <c r="I167" s="419"/>
      <c r="J167" s="419"/>
      <c r="K167" s="419"/>
      <c r="L167" s="419"/>
      <c r="M167" s="419"/>
      <c r="N167" s="419"/>
      <c r="O167" s="419"/>
      <c r="P167" s="419"/>
      <c r="Q167" s="421">
        <v>415</v>
      </c>
      <c r="R167" s="421">
        <v>93</v>
      </c>
      <c r="S167" s="421">
        <v>592</v>
      </c>
      <c r="T167" s="421">
        <v>324</v>
      </c>
      <c r="U167" s="421">
        <v>279</v>
      </c>
      <c r="V167" s="421">
        <v>4594</v>
      </c>
      <c r="W167" s="421">
        <v>1483</v>
      </c>
      <c r="X167" s="421">
        <v>841</v>
      </c>
      <c r="Y167" s="421">
        <v>387</v>
      </c>
      <c r="Z167" s="419"/>
      <c r="AA167" s="419"/>
      <c r="AB167" s="419"/>
      <c r="AC167" s="419"/>
      <c r="AD167" s="419"/>
      <c r="AE167" s="422">
        <v>1.154258768322321</v>
      </c>
      <c r="AF167" s="421">
        <v>13824808.149317151</v>
      </c>
      <c r="AG167" s="420">
        <v>447</v>
      </c>
      <c r="AH167" s="420">
        <v>3917</v>
      </c>
      <c r="AJ167" s="420">
        <v>145</v>
      </c>
      <c r="AK167" s="420">
        <v>0.016096802841918296</v>
      </c>
      <c r="AM167" s="420">
        <v>0</v>
      </c>
      <c r="AN167" s="420">
        <v>12</v>
      </c>
      <c r="AP167" s="420">
        <v>0</v>
      </c>
      <c r="AQ167" s="420">
        <v>0</v>
      </c>
      <c r="AR167" s="420">
        <v>799.65</v>
      </c>
      <c r="AU167" s="420">
        <v>276</v>
      </c>
      <c r="AV167" s="420">
        <v>2540</v>
      </c>
      <c r="AW167" s="420">
        <v>0.10866141732283464</v>
      </c>
      <c r="AY167" s="420">
        <v>0</v>
      </c>
      <c r="AZ167" s="421">
        <v>2565</v>
      </c>
      <c r="BA167" s="420">
        <v>3469</v>
      </c>
      <c r="BB167" s="420">
        <v>0.7394061689247622</v>
      </c>
      <c r="BD167" s="420">
        <v>0</v>
      </c>
      <c r="BE167" s="420">
        <v>1</v>
      </c>
      <c r="BF167" s="421">
        <v>0</v>
      </c>
      <c r="BG167" s="421">
        <v>0</v>
      </c>
      <c r="BH167" s="419"/>
      <c r="BI167" s="421">
        <v>0</v>
      </c>
      <c r="BJ167" s="419"/>
      <c r="BK167" s="421">
        <v>3242.8799999999997</v>
      </c>
      <c r="BL167" s="421">
        <v>126949</v>
      </c>
      <c r="BM167" s="421">
        <v>-334058.055</v>
      </c>
      <c r="BN167" s="419"/>
      <c r="BO167" s="421">
        <v>-13207.785282626748</v>
      </c>
      <c r="BP167" s="421">
        <v>830958</v>
      </c>
      <c r="BQ167" s="421">
        <v>272171</v>
      </c>
      <c r="BR167" s="421">
        <v>596253.0285823218</v>
      </c>
      <c r="BS167" s="421">
        <v>27439.14402939919</v>
      </c>
      <c r="BT167" s="421">
        <v>84570.05489581006</v>
      </c>
      <c r="BU167" s="421">
        <v>269120.68028650165</v>
      </c>
      <c r="BV167" s="421">
        <v>520355.84063226765</v>
      </c>
      <c r="BW167" s="421">
        <v>820429.6655784594</v>
      </c>
      <c r="BX167" s="421">
        <v>233185.05735749073</v>
      </c>
      <c r="BY167" s="421">
        <v>414341.8690886583</v>
      </c>
      <c r="BZ167" s="419"/>
      <c r="CA167" s="421">
        <v>46504.37848529253</v>
      </c>
      <c r="CB167" s="419"/>
      <c r="CC167" s="419"/>
      <c r="CD167" s="419"/>
      <c r="CE167" s="421">
        <v>553388.6692253909</v>
      </c>
      <c r="CF167" s="421">
        <v>315388.40156651445</v>
      </c>
      <c r="CG167" s="421">
        <v>398050.14337071695</v>
      </c>
      <c r="CH167" s="421">
        <v>-39799.220769906926</v>
      </c>
      <c r="CI167" s="419"/>
      <c r="CJ167" s="421">
        <v>5843696.654579526</v>
      </c>
      <c r="CK167" s="421">
        <v>-583528</v>
      </c>
      <c r="CL167" s="421">
        <v>302634.6542</v>
      </c>
      <c r="CM167" s="421">
        <v>296802.546828</v>
      </c>
      <c r="CN167" s="421">
        <v>5832.107371999999</v>
      </c>
      <c r="CO167" s="419"/>
      <c r="CP167" s="419"/>
      <c r="CQ167" s="419"/>
      <c r="CR167" s="171">
        <v>2275</v>
      </c>
    </row>
    <row r="168" spans="1:96" ht="9.75">
      <c r="A168" s="203">
        <v>563</v>
      </c>
      <c r="B168" s="203" t="s">
        <v>224</v>
      </c>
      <c r="C168" s="421">
        <v>7155</v>
      </c>
      <c r="D168" s="419"/>
      <c r="E168" s="419"/>
      <c r="F168" s="419"/>
      <c r="G168" s="419"/>
      <c r="H168" s="500">
        <v>4291.05</v>
      </c>
      <c r="I168" s="419"/>
      <c r="J168" s="419"/>
      <c r="K168" s="419"/>
      <c r="L168" s="419"/>
      <c r="M168" s="419"/>
      <c r="N168" s="419"/>
      <c r="O168" s="419"/>
      <c r="P168" s="419"/>
      <c r="Q168" s="421">
        <v>384</v>
      </c>
      <c r="R168" s="421">
        <v>90</v>
      </c>
      <c r="S168" s="421">
        <v>568</v>
      </c>
      <c r="T168" s="421">
        <v>310</v>
      </c>
      <c r="U168" s="421">
        <v>296</v>
      </c>
      <c r="V168" s="421">
        <v>3532</v>
      </c>
      <c r="W168" s="421">
        <v>1049</v>
      </c>
      <c r="X168" s="421">
        <v>600</v>
      </c>
      <c r="Y168" s="421">
        <v>326</v>
      </c>
      <c r="Z168" s="419"/>
      <c r="AA168" s="419"/>
      <c r="AB168" s="419"/>
      <c r="AC168" s="419"/>
      <c r="AD168" s="419"/>
      <c r="AE168" s="422">
        <v>1.6551480710384352</v>
      </c>
      <c r="AF168" s="421">
        <v>15746137.565416515</v>
      </c>
      <c r="AG168" s="420">
        <v>408</v>
      </c>
      <c r="AH168" s="420">
        <v>3133</v>
      </c>
      <c r="AJ168" s="420">
        <v>107</v>
      </c>
      <c r="AK168" s="420">
        <v>0.014954577218728162</v>
      </c>
      <c r="AM168" s="420">
        <v>0</v>
      </c>
      <c r="AN168" s="420">
        <v>11</v>
      </c>
      <c r="AP168" s="420">
        <v>0</v>
      </c>
      <c r="AQ168" s="420">
        <v>0</v>
      </c>
      <c r="AR168" s="420">
        <v>587.84</v>
      </c>
      <c r="AU168" s="420">
        <v>188</v>
      </c>
      <c r="AV168" s="420">
        <v>1838</v>
      </c>
      <c r="AW168" s="420">
        <v>0.10228509249183895</v>
      </c>
      <c r="AY168" s="420">
        <v>0</v>
      </c>
      <c r="AZ168" s="421">
        <v>2857</v>
      </c>
      <c r="BA168" s="420">
        <v>2660</v>
      </c>
      <c r="BB168" s="420">
        <v>1.07406015037594</v>
      </c>
      <c r="BD168" s="420">
        <v>0</v>
      </c>
      <c r="BE168" s="420">
        <v>0</v>
      </c>
      <c r="BF168" s="421">
        <v>0</v>
      </c>
      <c r="BG168" s="421">
        <v>0</v>
      </c>
      <c r="BH168" s="419"/>
      <c r="BI168" s="421">
        <v>0</v>
      </c>
      <c r="BJ168" s="419"/>
      <c r="BK168" s="421">
        <v>2575.7999999999997</v>
      </c>
      <c r="BL168" s="421">
        <v>-80932</v>
      </c>
      <c r="BM168" s="421">
        <v>-209695.65</v>
      </c>
      <c r="BN168" s="419"/>
      <c r="BO168" s="421">
        <v>-140909.5184260942</v>
      </c>
      <c r="BP168" s="421">
        <v>671353</v>
      </c>
      <c r="BQ168" s="421">
        <v>207901</v>
      </c>
      <c r="BR168" s="421">
        <v>489424.8735210157</v>
      </c>
      <c r="BS168" s="421">
        <v>20115.51790016979</v>
      </c>
      <c r="BT168" s="421">
        <v>47737.777973836666</v>
      </c>
      <c r="BU168" s="421">
        <v>243027.83338420675</v>
      </c>
      <c r="BV168" s="421">
        <v>383364.1612117319</v>
      </c>
      <c r="BW168" s="421">
        <v>631795.7651160285</v>
      </c>
      <c r="BX168" s="421">
        <v>164118.53861002752</v>
      </c>
      <c r="BY168" s="421">
        <v>320445.3298210681</v>
      </c>
      <c r="BZ168" s="419"/>
      <c r="CA168" s="421">
        <v>67556.73214079102</v>
      </c>
      <c r="CB168" s="419"/>
      <c r="CC168" s="419"/>
      <c r="CD168" s="419"/>
      <c r="CE168" s="421">
        <v>424993.62145444023</v>
      </c>
      <c r="CF168" s="421">
        <v>251655.63985256257</v>
      </c>
      <c r="CG168" s="421">
        <v>295035.7935271058</v>
      </c>
      <c r="CH168" s="421">
        <v>-30400.158540059176</v>
      </c>
      <c r="CI168" s="419"/>
      <c r="CJ168" s="421">
        <v>5639604.758904842</v>
      </c>
      <c r="CK168" s="421">
        <v>-345425</v>
      </c>
      <c r="CL168" s="421">
        <v>274241.69600000005</v>
      </c>
      <c r="CM168" s="421">
        <v>121113.47944000001</v>
      </c>
      <c r="CN168" s="421">
        <v>153128.21656000003</v>
      </c>
      <c r="CO168" s="419"/>
      <c r="CP168" s="419"/>
      <c r="CQ168" s="419"/>
      <c r="CR168" s="171">
        <v>2257</v>
      </c>
    </row>
    <row r="169" spans="1:96" ht="9.75">
      <c r="A169" s="203">
        <v>564</v>
      </c>
      <c r="B169" s="203" t="s">
        <v>225</v>
      </c>
      <c r="C169" s="421">
        <v>207327</v>
      </c>
      <c r="D169" s="419"/>
      <c r="E169" s="419"/>
      <c r="F169" s="419"/>
      <c r="G169" s="419"/>
      <c r="H169" s="500">
        <v>4291.05</v>
      </c>
      <c r="I169" s="419"/>
      <c r="J169" s="419"/>
      <c r="K169" s="419"/>
      <c r="L169" s="419"/>
      <c r="M169" s="419"/>
      <c r="N169" s="419"/>
      <c r="O169" s="419"/>
      <c r="P169" s="419"/>
      <c r="Q169" s="421">
        <v>12744</v>
      </c>
      <c r="R169" s="421">
        <v>2425</v>
      </c>
      <c r="S169" s="421">
        <v>15777</v>
      </c>
      <c r="T169" s="421">
        <v>7779</v>
      </c>
      <c r="U169" s="421">
        <v>7739</v>
      </c>
      <c r="V169" s="421">
        <v>126508</v>
      </c>
      <c r="W169" s="421">
        <v>20127</v>
      </c>
      <c r="X169" s="421">
        <v>10269</v>
      </c>
      <c r="Y169" s="421">
        <v>3959</v>
      </c>
      <c r="Z169" s="419"/>
      <c r="AA169" s="419"/>
      <c r="AB169" s="419"/>
      <c r="AC169" s="419"/>
      <c r="AD169" s="419"/>
      <c r="AE169" s="422">
        <v>0.9734685387430957</v>
      </c>
      <c r="AF169" s="421">
        <v>268352308.95481458</v>
      </c>
      <c r="AG169" s="420">
        <v>14359</v>
      </c>
      <c r="AH169" s="420">
        <v>99017</v>
      </c>
      <c r="AJ169" s="420">
        <v>9387</v>
      </c>
      <c r="AK169" s="420">
        <v>0.045276302652331825</v>
      </c>
      <c r="AM169" s="420">
        <v>0</v>
      </c>
      <c r="AN169" s="420">
        <v>485</v>
      </c>
      <c r="AP169" s="420">
        <v>0</v>
      </c>
      <c r="AQ169" s="420">
        <v>0</v>
      </c>
      <c r="AR169" s="420">
        <v>2971.14</v>
      </c>
      <c r="AU169" s="420">
        <v>5505</v>
      </c>
      <c r="AV169" s="420">
        <v>66213</v>
      </c>
      <c r="AW169" s="420">
        <v>0.08314077295999275</v>
      </c>
      <c r="AY169" s="420">
        <v>0</v>
      </c>
      <c r="AZ169" s="421">
        <v>92267</v>
      </c>
      <c r="BA169" s="420">
        <v>88250</v>
      </c>
      <c r="BB169" s="420">
        <v>1.0455184135977338</v>
      </c>
      <c r="BD169" s="420">
        <v>0</v>
      </c>
      <c r="BE169" s="420">
        <v>143</v>
      </c>
      <c r="BF169" s="421">
        <v>0</v>
      </c>
      <c r="BG169" s="421">
        <v>0</v>
      </c>
      <c r="BH169" s="419"/>
      <c r="BI169" s="421">
        <v>0</v>
      </c>
      <c r="BJ169" s="419"/>
      <c r="BK169" s="421">
        <v>74637.72</v>
      </c>
      <c r="BL169" s="421">
        <v>2164676</v>
      </c>
      <c r="BM169" s="421">
        <v>-11657567.8821</v>
      </c>
      <c r="BN169" s="419"/>
      <c r="BO169" s="421">
        <v>-1916537.577849215</v>
      </c>
      <c r="BP169" s="421">
        <v>11522544</v>
      </c>
      <c r="BQ169" s="421">
        <v>4098255</v>
      </c>
      <c r="BR169" s="421">
        <v>9979124.861138187</v>
      </c>
      <c r="BS169" s="421">
        <v>334871.9485142128</v>
      </c>
      <c r="BT169" s="421">
        <v>2477521.5332884975</v>
      </c>
      <c r="BU169" s="421">
        <v>4353592.101941553</v>
      </c>
      <c r="BV169" s="421">
        <v>9470918.065931553</v>
      </c>
      <c r="BW169" s="421">
        <v>12734337.278607612</v>
      </c>
      <c r="BX169" s="421">
        <v>4651088.988378025</v>
      </c>
      <c r="BY169" s="421">
        <v>8066328.4418830965</v>
      </c>
      <c r="BZ169" s="419"/>
      <c r="CA169" s="421">
        <v>1925239.6799779816</v>
      </c>
      <c r="CB169" s="419"/>
      <c r="CC169" s="419"/>
      <c r="CD169" s="419"/>
      <c r="CE169" s="421">
        <v>10319905.827703983</v>
      </c>
      <c r="CF169" s="421">
        <v>6604692.27849529</v>
      </c>
      <c r="CG169" s="421">
        <v>8335372.008324429</v>
      </c>
      <c r="CH169" s="421">
        <v>-949352.1524391405</v>
      </c>
      <c r="CI169" s="419"/>
      <c r="CJ169" s="421">
        <v>45109417.47541561</v>
      </c>
      <c r="CK169" s="421">
        <v>-1815503</v>
      </c>
      <c r="CL169" s="421">
        <v>1518166.2584000002</v>
      </c>
      <c r="CM169" s="421">
        <v>13964735.924215995</v>
      </c>
      <c r="CN169" s="421">
        <v>-12446569.665815994</v>
      </c>
      <c r="CO169" s="419"/>
      <c r="CP169" s="419"/>
      <c r="CQ169" s="419"/>
      <c r="CR169" s="171">
        <v>80838</v>
      </c>
    </row>
    <row r="170" spans="1:96" ht="9.75">
      <c r="A170" s="203">
        <v>309</v>
      </c>
      <c r="B170" s="203" t="s">
        <v>226</v>
      </c>
      <c r="C170" s="421">
        <v>6552</v>
      </c>
      <c r="D170" s="419"/>
      <c r="E170" s="419"/>
      <c r="F170" s="419"/>
      <c r="G170" s="419"/>
      <c r="H170" s="500">
        <v>4291.05</v>
      </c>
      <c r="I170" s="419"/>
      <c r="J170" s="419"/>
      <c r="K170" s="419"/>
      <c r="L170" s="419"/>
      <c r="M170" s="419"/>
      <c r="N170" s="419"/>
      <c r="O170" s="419"/>
      <c r="P170" s="419"/>
      <c r="Q170" s="421">
        <v>278</v>
      </c>
      <c r="R170" s="421">
        <v>59</v>
      </c>
      <c r="S170" s="421">
        <v>418</v>
      </c>
      <c r="T170" s="421">
        <v>218</v>
      </c>
      <c r="U170" s="421">
        <v>175</v>
      </c>
      <c r="V170" s="421">
        <v>3240</v>
      </c>
      <c r="W170" s="421">
        <v>1259</v>
      </c>
      <c r="X170" s="421">
        <v>654</v>
      </c>
      <c r="Y170" s="421">
        <v>251</v>
      </c>
      <c r="Z170" s="419"/>
      <c r="AA170" s="419"/>
      <c r="AB170" s="419"/>
      <c r="AC170" s="419"/>
      <c r="AD170" s="419"/>
      <c r="AE170" s="422">
        <v>1.4634920470078763</v>
      </c>
      <c r="AF170" s="421">
        <v>12749460.525993552</v>
      </c>
      <c r="AG170" s="420">
        <v>509</v>
      </c>
      <c r="AH170" s="420">
        <v>2572</v>
      </c>
      <c r="AJ170" s="420">
        <v>244</v>
      </c>
      <c r="AK170" s="420">
        <v>0.03724053724053724</v>
      </c>
      <c r="AM170" s="420">
        <v>0</v>
      </c>
      <c r="AN170" s="420">
        <v>10</v>
      </c>
      <c r="AP170" s="420">
        <v>0</v>
      </c>
      <c r="AQ170" s="420">
        <v>0</v>
      </c>
      <c r="AR170" s="420">
        <v>445.82</v>
      </c>
      <c r="AU170" s="420">
        <v>243</v>
      </c>
      <c r="AV170" s="420">
        <v>1663</v>
      </c>
      <c r="AW170" s="420">
        <v>0.14612146722790137</v>
      </c>
      <c r="AY170" s="420">
        <v>0.1387</v>
      </c>
      <c r="AZ170" s="421">
        <v>2390</v>
      </c>
      <c r="BA170" s="420">
        <v>2142</v>
      </c>
      <c r="BB170" s="420">
        <v>1.11577964519141</v>
      </c>
      <c r="BD170" s="420">
        <v>0</v>
      </c>
      <c r="BE170" s="420">
        <v>0</v>
      </c>
      <c r="BF170" s="421">
        <v>0</v>
      </c>
      <c r="BG170" s="421">
        <v>0</v>
      </c>
      <c r="BH170" s="419"/>
      <c r="BI170" s="421">
        <v>0</v>
      </c>
      <c r="BJ170" s="419"/>
      <c r="BK170" s="421">
        <v>2358.72</v>
      </c>
      <c r="BL170" s="421">
        <v>-98614</v>
      </c>
      <c r="BM170" s="421">
        <v>-470114.775</v>
      </c>
      <c r="BN170" s="419"/>
      <c r="BO170" s="421">
        <v>145432.3681433089</v>
      </c>
      <c r="BP170" s="421">
        <v>623638</v>
      </c>
      <c r="BQ170" s="421">
        <v>194928</v>
      </c>
      <c r="BR170" s="421">
        <v>495129.1066012289</v>
      </c>
      <c r="BS170" s="421">
        <v>27465.201518653055</v>
      </c>
      <c r="BT170" s="421">
        <v>76620.8839905472</v>
      </c>
      <c r="BU170" s="421">
        <v>277622.93648706295</v>
      </c>
      <c r="BV170" s="421">
        <v>355298.1467629101</v>
      </c>
      <c r="BW170" s="421">
        <v>580213.7405274005</v>
      </c>
      <c r="BX170" s="421">
        <v>153037.84529078787</v>
      </c>
      <c r="BY170" s="421">
        <v>309166.59218559414</v>
      </c>
      <c r="BZ170" s="419"/>
      <c r="CA170" s="421">
        <v>49425.28728884207</v>
      </c>
      <c r="CB170" s="419"/>
      <c r="CC170" s="419"/>
      <c r="CD170" s="419"/>
      <c r="CE170" s="421">
        <v>401612.80523659417</v>
      </c>
      <c r="CF170" s="421">
        <v>224444.27740723413</v>
      </c>
      <c r="CG170" s="421">
        <v>276313.78917214205</v>
      </c>
      <c r="CH170" s="421">
        <v>-25602.74301467156</v>
      </c>
      <c r="CI170" s="419"/>
      <c r="CJ170" s="421">
        <v>6521468.757554582</v>
      </c>
      <c r="CK170" s="421">
        <v>-657464</v>
      </c>
      <c r="CL170" s="421">
        <v>149118.92220000003</v>
      </c>
      <c r="CM170" s="421">
        <v>125137.67824</v>
      </c>
      <c r="CN170" s="421">
        <v>23981.243960000036</v>
      </c>
      <c r="CO170" s="419"/>
      <c r="CP170" s="419"/>
      <c r="CQ170" s="419"/>
      <c r="CR170" s="171">
        <v>1668</v>
      </c>
    </row>
    <row r="171" spans="1:96" ht="9.75">
      <c r="A171" s="203">
        <v>576</v>
      </c>
      <c r="B171" s="203" t="s">
        <v>227</v>
      </c>
      <c r="C171" s="421">
        <v>2861</v>
      </c>
      <c r="D171" s="419"/>
      <c r="E171" s="419"/>
      <c r="F171" s="419"/>
      <c r="G171" s="419"/>
      <c r="H171" s="500">
        <v>4291.05</v>
      </c>
      <c r="I171" s="419"/>
      <c r="J171" s="419"/>
      <c r="K171" s="419"/>
      <c r="L171" s="419"/>
      <c r="M171" s="419"/>
      <c r="N171" s="419"/>
      <c r="O171" s="419"/>
      <c r="P171" s="419"/>
      <c r="Q171" s="421">
        <v>87</v>
      </c>
      <c r="R171" s="421">
        <v>15</v>
      </c>
      <c r="S171" s="421">
        <v>128</v>
      </c>
      <c r="T171" s="421">
        <v>78</v>
      </c>
      <c r="U171" s="421">
        <v>79</v>
      </c>
      <c r="V171" s="421">
        <v>1292</v>
      </c>
      <c r="W171" s="421">
        <v>633</v>
      </c>
      <c r="X171" s="421">
        <v>391</v>
      </c>
      <c r="Y171" s="421">
        <v>158</v>
      </c>
      <c r="Z171" s="419"/>
      <c r="AA171" s="419"/>
      <c r="AB171" s="419"/>
      <c r="AC171" s="419"/>
      <c r="AD171" s="419"/>
      <c r="AE171" s="422">
        <v>1.5018911291467745</v>
      </c>
      <c r="AF171" s="421">
        <v>5713258.349176598</v>
      </c>
      <c r="AG171" s="420">
        <v>141</v>
      </c>
      <c r="AH171" s="420">
        <v>1117</v>
      </c>
      <c r="AJ171" s="420">
        <v>44</v>
      </c>
      <c r="AK171" s="420">
        <v>0.015379238028661308</v>
      </c>
      <c r="AM171" s="420">
        <v>0</v>
      </c>
      <c r="AN171" s="420">
        <v>10</v>
      </c>
      <c r="AP171" s="420">
        <v>0</v>
      </c>
      <c r="AQ171" s="420">
        <v>0</v>
      </c>
      <c r="AR171" s="420">
        <v>523.09</v>
      </c>
      <c r="AU171" s="420">
        <v>99</v>
      </c>
      <c r="AV171" s="420">
        <v>620</v>
      </c>
      <c r="AW171" s="420">
        <v>0.1596774193548387</v>
      </c>
      <c r="AY171" s="420">
        <v>0.4633</v>
      </c>
      <c r="AZ171" s="421">
        <v>726</v>
      </c>
      <c r="BA171" s="420">
        <v>968</v>
      </c>
      <c r="BB171" s="420">
        <v>0.75</v>
      </c>
      <c r="BD171" s="420">
        <v>0</v>
      </c>
      <c r="BE171" s="420">
        <v>0</v>
      </c>
      <c r="BF171" s="421">
        <v>0</v>
      </c>
      <c r="BG171" s="421">
        <v>0</v>
      </c>
      <c r="BH171" s="419"/>
      <c r="BI171" s="421">
        <v>0</v>
      </c>
      <c r="BJ171" s="419"/>
      <c r="BK171" s="421">
        <v>1029.96</v>
      </c>
      <c r="BL171" s="421">
        <v>39631</v>
      </c>
      <c r="BM171" s="421">
        <v>-70463.11</v>
      </c>
      <c r="BN171" s="419"/>
      <c r="BO171" s="421">
        <v>31367.59674635902</v>
      </c>
      <c r="BP171" s="421">
        <v>333500</v>
      </c>
      <c r="BQ171" s="421">
        <v>98579</v>
      </c>
      <c r="BR171" s="421">
        <v>244053.0007171452</v>
      </c>
      <c r="BS171" s="421">
        <v>13893.435066114844</v>
      </c>
      <c r="BT171" s="421">
        <v>51242.601931801124</v>
      </c>
      <c r="BU171" s="421">
        <v>118125.36311008477</v>
      </c>
      <c r="BV171" s="421">
        <v>174574.08487837674</v>
      </c>
      <c r="BW171" s="421">
        <v>280874.32813366747</v>
      </c>
      <c r="BX171" s="421">
        <v>88419.75061236676</v>
      </c>
      <c r="BY171" s="421">
        <v>148608.44923375346</v>
      </c>
      <c r="BZ171" s="419"/>
      <c r="CA171" s="421">
        <v>-23863.047361158522</v>
      </c>
      <c r="CB171" s="419"/>
      <c r="CC171" s="419"/>
      <c r="CD171" s="419"/>
      <c r="CE171" s="421">
        <v>203233.21949617603</v>
      </c>
      <c r="CF171" s="421">
        <v>108181.11167061342</v>
      </c>
      <c r="CG171" s="421">
        <v>132434.64382733163</v>
      </c>
      <c r="CH171" s="421">
        <v>-12178.29479250588</v>
      </c>
      <c r="CI171" s="419"/>
      <c r="CJ171" s="421">
        <v>2043454.086662213</v>
      </c>
      <c r="CK171" s="421">
        <v>-246970</v>
      </c>
      <c r="CL171" s="421">
        <v>31299.324</v>
      </c>
      <c r="CM171" s="421">
        <v>93257.08108</v>
      </c>
      <c r="CN171" s="421">
        <v>-61957.75708</v>
      </c>
      <c r="CO171" s="419"/>
      <c r="CP171" s="419"/>
      <c r="CQ171" s="419"/>
      <c r="CR171" s="171">
        <v>537</v>
      </c>
    </row>
    <row r="172" spans="1:96" ht="9.75">
      <c r="A172" s="203">
        <v>577</v>
      </c>
      <c r="B172" s="203" t="s">
        <v>228</v>
      </c>
      <c r="C172" s="421">
        <v>10922</v>
      </c>
      <c r="D172" s="419"/>
      <c r="E172" s="419"/>
      <c r="F172" s="419"/>
      <c r="G172" s="419"/>
      <c r="H172" s="500">
        <v>4291.05</v>
      </c>
      <c r="I172" s="419"/>
      <c r="J172" s="419"/>
      <c r="K172" s="419"/>
      <c r="L172" s="419"/>
      <c r="M172" s="419"/>
      <c r="N172" s="419"/>
      <c r="O172" s="419"/>
      <c r="P172" s="419"/>
      <c r="Q172" s="421">
        <v>751</v>
      </c>
      <c r="R172" s="421">
        <v>149</v>
      </c>
      <c r="S172" s="421">
        <v>919</v>
      </c>
      <c r="T172" s="421">
        <v>408</v>
      </c>
      <c r="U172" s="421">
        <v>371</v>
      </c>
      <c r="V172" s="421">
        <v>5889</v>
      </c>
      <c r="W172" s="421">
        <v>1431</v>
      </c>
      <c r="X172" s="421">
        <v>719</v>
      </c>
      <c r="Y172" s="421">
        <v>285</v>
      </c>
      <c r="Z172" s="419"/>
      <c r="AA172" s="419"/>
      <c r="AB172" s="419"/>
      <c r="AC172" s="419"/>
      <c r="AD172" s="419"/>
      <c r="AE172" s="422">
        <v>0.8428672832203122</v>
      </c>
      <c r="AF172" s="421">
        <v>12240211.516938325</v>
      </c>
      <c r="AG172" s="420">
        <v>389</v>
      </c>
      <c r="AH172" s="420">
        <v>5114</v>
      </c>
      <c r="AJ172" s="420">
        <v>324</v>
      </c>
      <c r="AK172" s="420">
        <v>0.029664896539095403</v>
      </c>
      <c r="AM172" s="420">
        <v>0</v>
      </c>
      <c r="AN172" s="420">
        <v>117</v>
      </c>
      <c r="AP172" s="420">
        <v>0</v>
      </c>
      <c r="AQ172" s="420">
        <v>0</v>
      </c>
      <c r="AR172" s="420">
        <v>238.49</v>
      </c>
      <c r="AU172" s="420">
        <v>355</v>
      </c>
      <c r="AV172" s="420">
        <v>3591</v>
      </c>
      <c r="AW172" s="420">
        <v>0.09885825675299359</v>
      </c>
      <c r="AY172" s="420">
        <v>0</v>
      </c>
      <c r="AZ172" s="421">
        <v>3120</v>
      </c>
      <c r="BA172" s="420">
        <v>4829</v>
      </c>
      <c r="BB172" s="420">
        <v>0.6460965003106233</v>
      </c>
      <c r="BD172" s="420">
        <v>0</v>
      </c>
      <c r="BE172" s="420">
        <v>1</v>
      </c>
      <c r="BF172" s="421">
        <v>0</v>
      </c>
      <c r="BG172" s="421">
        <v>0</v>
      </c>
      <c r="BH172" s="419"/>
      <c r="BI172" s="421">
        <v>0</v>
      </c>
      <c r="BJ172" s="419"/>
      <c r="BK172" s="421">
        <v>3931.92</v>
      </c>
      <c r="BL172" s="421">
        <v>-100689</v>
      </c>
      <c r="BM172" s="421">
        <v>-487865.564</v>
      </c>
      <c r="BN172" s="419"/>
      <c r="BO172" s="421">
        <v>95634.59417682327</v>
      </c>
      <c r="BP172" s="421">
        <v>715882</v>
      </c>
      <c r="BQ172" s="421">
        <v>239696</v>
      </c>
      <c r="BR172" s="421">
        <v>484639.5318536193</v>
      </c>
      <c r="BS172" s="421">
        <v>8500.406288134975</v>
      </c>
      <c r="BT172" s="421">
        <v>9666.312235117239</v>
      </c>
      <c r="BU172" s="421">
        <v>210520.21530560398</v>
      </c>
      <c r="BV172" s="421">
        <v>502854.84421210585</v>
      </c>
      <c r="BW172" s="421">
        <v>843472.5388440933</v>
      </c>
      <c r="BX172" s="421">
        <v>240276.306378402</v>
      </c>
      <c r="BY172" s="421">
        <v>418130.20248973597</v>
      </c>
      <c r="BZ172" s="419"/>
      <c r="CA172" s="421">
        <v>-4644.177059116657</v>
      </c>
      <c r="CB172" s="419"/>
      <c r="CC172" s="419"/>
      <c r="CD172" s="419"/>
      <c r="CE172" s="421">
        <v>512171.82169536507</v>
      </c>
      <c r="CF172" s="421">
        <v>342921.1975334614</v>
      </c>
      <c r="CG172" s="421">
        <v>447102.4752805616</v>
      </c>
      <c r="CH172" s="421">
        <v>-51890.83418295743</v>
      </c>
      <c r="CI172" s="419"/>
      <c r="CJ172" s="421">
        <v>2955687.3756640577</v>
      </c>
      <c r="CK172" s="421">
        <v>134603</v>
      </c>
      <c r="CL172" s="421">
        <v>504142.68300000014</v>
      </c>
      <c r="CM172" s="421">
        <v>258393.804948</v>
      </c>
      <c r="CN172" s="421">
        <v>245748.87805200013</v>
      </c>
      <c r="CO172" s="419"/>
      <c r="CP172" s="419"/>
      <c r="CQ172" s="419"/>
      <c r="CR172" s="171">
        <v>3452</v>
      </c>
    </row>
    <row r="173" spans="1:96" ht="9.75">
      <c r="A173" s="203">
        <v>578</v>
      </c>
      <c r="B173" s="203" t="s">
        <v>229</v>
      </c>
      <c r="C173" s="421">
        <v>3235</v>
      </c>
      <c r="D173" s="419"/>
      <c r="E173" s="419"/>
      <c r="F173" s="419"/>
      <c r="G173" s="419"/>
      <c r="H173" s="500">
        <v>4291.05</v>
      </c>
      <c r="I173" s="419"/>
      <c r="J173" s="419"/>
      <c r="K173" s="419"/>
      <c r="L173" s="419"/>
      <c r="M173" s="419"/>
      <c r="N173" s="419"/>
      <c r="O173" s="419"/>
      <c r="P173" s="419"/>
      <c r="Q173" s="421">
        <v>114</v>
      </c>
      <c r="R173" s="421">
        <v>38</v>
      </c>
      <c r="S173" s="421">
        <v>182</v>
      </c>
      <c r="T173" s="421">
        <v>100</v>
      </c>
      <c r="U173" s="421">
        <v>94</v>
      </c>
      <c r="V173" s="421">
        <v>1605</v>
      </c>
      <c r="W173" s="421">
        <v>624</v>
      </c>
      <c r="X173" s="421">
        <v>345</v>
      </c>
      <c r="Y173" s="421">
        <v>133</v>
      </c>
      <c r="Z173" s="419"/>
      <c r="AA173" s="419"/>
      <c r="AB173" s="419"/>
      <c r="AC173" s="419"/>
      <c r="AD173" s="419"/>
      <c r="AE173" s="422">
        <v>1.7013059049023669</v>
      </c>
      <c r="AF173" s="421">
        <v>7317862.516562642</v>
      </c>
      <c r="AG173" s="420">
        <v>186</v>
      </c>
      <c r="AH173" s="420">
        <v>1312</v>
      </c>
      <c r="AJ173" s="420">
        <v>34</v>
      </c>
      <c r="AK173" s="420">
        <v>0.010510046367851623</v>
      </c>
      <c r="AM173" s="420">
        <v>0</v>
      </c>
      <c r="AN173" s="420">
        <v>2</v>
      </c>
      <c r="AP173" s="420">
        <v>0</v>
      </c>
      <c r="AQ173" s="420">
        <v>0</v>
      </c>
      <c r="AR173" s="420">
        <v>918.76</v>
      </c>
      <c r="AU173" s="420">
        <v>86</v>
      </c>
      <c r="AV173" s="420">
        <v>761</v>
      </c>
      <c r="AW173" s="420">
        <v>0.11300919842312747</v>
      </c>
      <c r="AY173" s="420">
        <v>0.123</v>
      </c>
      <c r="AZ173" s="421">
        <v>890</v>
      </c>
      <c r="BA173" s="420">
        <v>1077</v>
      </c>
      <c r="BB173" s="420">
        <v>0.8263695450324977</v>
      </c>
      <c r="BD173" s="420">
        <v>0</v>
      </c>
      <c r="BE173" s="420">
        <v>0</v>
      </c>
      <c r="BF173" s="421">
        <v>0</v>
      </c>
      <c r="BG173" s="421">
        <v>0</v>
      </c>
      <c r="BH173" s="419"/>
      <c r="BI173" s="421">
        <v>0</v>
      </c>
      <c r="BJ173" s="419"/>
      <c r="BK173" s="421">
        <v>1164.6</v>
      </c>
      <c r="BL173" s="421">
        <v>118187</v>
      </c>
      <c r="BM173" s="421">
        <v>-137012.81</v>
      </c>
      <c r="BN173" s="419"/>
      <c r="BO173" s="421">
        <v>99190.47213805467</v>
      </c>
      <c r="BP173" s="421">
        <v>359413</v>
      </c>
      <c r="BQ173" s="421">
        <v>117091</v>
      </c>
      <c r="BR173" s="421">
        <v>292961.8091873133</v>
      </c>
      <c r="BS173" s="421">
        <v>17070.764551890865</v>
      </c>
      <c r="BT173" s="421">
        <v>64056.44933309336</v>
      </c>
      <c r="BU173" s="421">
        <v>149275.4613426207</v>
      </c>
      <c r="BV173" s="421">
        <v>171825.56490100868</v>
      </c>
      <c r="BW173" s="421">
        <v>290627.2859584415</v>
      </c>
      <c r="BX173" s="421">
        <v>81329.21402320254</v>
      </c>
      <c r="BY173" s="421">
        <v>160375.5194643866</v>
      </c>
      <c r="BZ173" s="419"/>
      <c r="CA173" s="421">
        <v>-12189.717954790236</v>
      </c>
      <c r="CB173" s="419"/>
      <c r="CC173" s="419"/>
      <c r="CD173" s="419"/>
      <c r="CE173" s="421">
        <v>208278.56732756144</v>
      </c>
      <c r="CF173" s="421">
        <v>111361.38857019745</v>
      </c>
      <c r="CG173" s="421">
        <v>144926.1297334726</v>
      </c>
      <c r="CH173" s="421">
        <v>-12850.251821047676</v>
      </c>
      <c r="CI173" s="419"/>
      <c r="CJ173" s="421">
        <v>3204635.9531786777</v>
      </c>
      <c r="CK173" s="421">
        <v>-116112</v>
      </c>
      <c r="CL173" s="421">
        <v>370449.8562</v>
      </c>
      <c r="CM173" s="421">
        <v>96878.86</v>
      </c>
      <c r="CN173" s="421">
        <v>273570.9962</v>
      </c>
      <c r="CO173" s="419"/>
      <c r="CP173" s="419"/>
      <c r="CQ173" s="419"/>
      <c r="CR173" s="171">
        <v>739</v>
      </c>
    </row>
    <row r="174" spans="1:96" ht="9.75">
      <c r="A174" s="203">
        <v>445</v>
      </c>
      <c r="B174" s="203" t="s">
        <v>392</v>
      </c>
      <c r="C174" s="421">
        <v>15105</v>
      </c>
      <c r="D174" s="419"/>
      <c r="E174" s="419"/>
      <c r="F174" s="419"/>
      <c r="G174" s="419"/>
      <c r="H174" s="500">
        <v>4291.05</v>
      </c>
      <c r="I174" s="419"/>
      <c r="J174" s="419"/>
      <c r="K174" s="419"/>
      <c r="L174" s="419"/>
      <c r="M174" s="419"/>
      <c r="N174" s="419"/>
      <c r="O174" s="419"/>
      <c r="P174" s="419"/>
      <c r="Q174" s="421">
        <v>690</v>
      </c>
      <c r="R174" s="421">
        <v>154</v>
      </c>
      <c r="S174" s="421">
        <v>1071</v>
      </c>
      <c r="T174" s="421">
        <v>559</v>
      </c>
      <c r="U174" s="421">
        <v>525</v>
      </c>
      <c r="V174" s="421">
        <v>7858</v>
      </c>
      <c r="W174" s="421">
        <v>2422</v>
      </c>
      <c r="X174" s="421">
        <v>1325</v>
      </c>
      <c r="Y174" s="421">
        <v>501</v>
      </c>
      <c r="Z174" s="419"/>
      <c r="AA174" s="419"/>
      <c r="AB174" s="419"/>
      <c r="AC174" s="419"/>
      <c r="AD174" s="419"/>
      <c r="AE174" s="422">
        <v>0.8439983909584254</v>
      </c>
      <c r="AF174" s="421">
        <v>16950788.397299886</v>
      </c>
      <c r="AG174" s="420">
        <v>545</v>
      </c>
      <c r="AH174" s="420">
        <v>6792</v>
      </c>
      <c r="AJ174" s="420">
        <v>498</v>
      </c>
      <c r="AK174" s="420">
        <v>0.03296921549155909</v>
      </c>
      <c r="AM174" s="420">
        <v>3</v>
      </c>
      <c r="AN174" s="420">
        <v>8321</v>
      </c>
      <c r="AP174" s="420">
        <v>1</v>
      </c>
      <c r="AQ174" s="420">
        <v>0</v>
      </c>
      <c r="AR174" s="420">
        <v>883.2</v>
      </c>
      <c r="AU174" s="420">
        <v>543</v>
      </c>
      <c r="AV174" s="420">
        <v>4470</v>
      </c>
      <c r="AW174" s="420">
        <v>0.12147651006711409</v>
      </c>
      <c r="AY174" s="420">
        <v>0</v>
      </c>
      <c r="AZ174" s="421">
        <v>5143</v>
      </c>
      <c r="BA174" s="420">
        <v>6406</v>
      </c>
      <c r="BB174" s="420">
        <v>0.8028410864814237</v>
      </c>
      <c r="BD174" s="420">
        <v>0</v>
      </c>
      <c r="BE174" s="420">
        <v>0</v>
      </c>
      <c r="BF174" s="421">
        <v>0</v>
      </c>
      <c r="BG174" s="421">
        <v>0</v>
      </c>
      <c r="BH174" s="419"/>
      <c r="BI174" s="421">
        <v>0</v>
      </c>
      <c r="BJ174" s="419"/>
      <c r="BK174" s="421">
        <v>5437.8</v>
      </c>
      <c r="BL174" s="421">
        <v>85094</v>
      </c>
      <c r="BM174" s="421">
        <v>-384963.285</v>
      </c>
      <c r="BN174" s="419"/>
      <c r="BO174" s="421">
        <v>391772.4688114561</v>
      </c>
      <c r="BP174" s="421">
        <v>1173170</v>
      </c>
      <c r="BQ174" s="421">
        <v>399015</v>
      </c>
      <c r="BR174" s="421">
        <v>745570.3645870736</v>
      </c>
      <c r="BS174" s="421">
        <v>19521.031900683436</v>
      </c>
      <c r="BT174" s="421">
        <v>49051.652122313404</v>
      </c>
      <c r="BU174" s="421">
        <v>382602.86645309394</v>
      </c>
      <c r="BV174" s="421">
        <v>457327.302254667</v>
      </c>
      <c r="BW174" s="421">
        <v>1129748.553591236</v>
      </c>
      <c r="BX174" s="421">
        <v>338308.8942937113</v>
      </c>
      <c r="BY174" s="421">
        <v>565510.6262282355</v>
      </c>
      <c r="BZ174" s="419"/>
      <c r="CA174" s="421">
        <v>-53524.12865177099</v>
      </c>
      <c r="CB174" s="419"/>
      <c r="CC174" s="419"/>
      <c r="CD174" s="419"/>
      <c r="CE174" s="421">
        <v>676284.2977938866</v>
      </c>
      <c r="CF174" s="421">
        <v>448520.36345674534</v>
      </c>
      <c r="CG174" s="421">
        <v>594566.3039012675</v>
      </c>
      <c r="CH174" s="421">
        <v>-81064.47636784278</v>
      </c>
      <c r="CI174" s="419"/>
      <c r="CJ174" s="421">
        <v>985427.9186657197</v>
      </c>
      <c r="CK174" s="421">
        <v>-334651</v>
      </c>
      <c r="CL174" s="421">
        <v>226622.0102</v>
      </c>
      <c r="CM174" s="421">
        <v>327197.1713200001</v>
      </c>
      <c r="CN174" s="421">
        <v>-100575.16112000009</v>
      </c>
      <c r="CO174" s="419"/>
      <c r="CP174" s="419"/>
      <c r="CQ174" s="419"/>
      <c r="CR174" s="171">
        <v>4056</v>
      </c>
    </row>
    <row r="175" spans="1:96" ht="9.75">
      <c r="A175" s="203">
        <v>580</v>
      </c>
      <c r="B175" s="203" t="s">
        <v>230</v>
      </c>
      <c r="C175" s="421">
        <v>4655</v>
      </c>
      <c r="D175" s="419"/>
      <c r="E175" s="419"/>
      <c r="F175" s="419"/>
      <c r="G175" s="419"/>
      <c r="H175" s="500">
        <v>4291.05</v>
      </c>
      <c r="I175" s="419"/>
      <c r="J175" s="419"/>
      <c r="K175" s="419"/>
      <c r="L175" s="419"/>
      <c r="M175" s="419"/>
      <c r="N175" s="419"/>
      <c r="O175" s="419"/>
      <c r="P175" s="419"/>
      <c r="Q175" s="421">
        <v>163</v>
      </c>
      <c r="R175" s="421">
        <v>33</v>
      </c>
      <c r="S175" s="421">
        <v>206</v>
      </c>
      <c r="T175" s="421">
        <v>104</v>
      </c>
      <c r="U175" s="421">
        <v>85</v>
      </c>
      <c r="V175" s="421">
        <v>2167</v>
      </c>
      <c r="W175" s="421">
        <v>1041</v>
      </c>
      <c r="X175" s="421">
        <v>623</v>
      </c>
      <c r="Y175" s="421">
        <v>233</v>
      </c>
      <c r="Z175" s="419"/>
      <c r="AA175" s="419"/>
      <c r="AB175" s="419"/>
      <c r="AC175" s="419"/>
      <c r="AD175" s="419"/>
      <c r="AE175" s="422">
        <v>1.5458496787805867</v>
      </c>
      <c r="AF175" s="421">
        <v>9567853.074515602</v>
      </c>
      <c r="AG175" s="420">
        <v>236</v>
      </c>
      <c r="AH175" s="420">
        <v>1850</v>
      </c>
      <c r="AJ175" s="420">
        <v>105</v>
      </c>
      <c r="AK175" s="420">
        <v>0.022556390977443608</v>
      </c>
      <c r="AM175" s="420">
        <v>0</v>
      </c>
      <c r="AN175" s="420">
        <v>9</v>
      </c>
      <c r="AP175" s="420">
        <v>3</v>
      </c>
      <c r="AQ175" s="420">
        <v>200</v>
      </c>
      <c r="AR175" s="420">
        <v>592.01</v>
      </c>
      <c r="AU175" s="420">
        <v>156</v>
      </c>
      <c r="AV175" s="420">
        <v>1055</v>
      </c>
      <c r="AW175" s="420">
        <v>0.14786729857819905</v>
      </c>
      <c r="AY175" s="420">
        <v>0.7415</v>
      </c>
      <c r="AZ175" s="421">
        <v>1345</v>
      </c>
      <c r="BA175" s="420">
        <v>1606</v>
      </c>
      <c r="BB175" s="420">
        <v>0.8374844333748444</v>
      </c>
      <c r="BD175" s="420">
        <v>0</v>
      </c>
      <c r="BE175" s="420">
        <v>0</v>
      </c>
      <c r="BF175" s="421">
        <v>0</v>
      </c>
      <c r="BG175" s="421">
        <v>0</v>
      </c>
      <c r="BH175" s="419"/>
      <c r="BI175" s="421">
        <v>0</v>
      </c>
      <c r="BJ175" s="419"/>
      <c r="BK175" s="421">
        <v>1675.8</v>
      </c>
      <c r="BL175" s="421">
        <v>404678</v>
      </c>
      <c r="BM175" s="421">
        <v>-119645.08</v>
      </c>
      <c r="BN175" s="419"/>
      <c r="BO175" s="421">
        <v>111271.02164894715</v>
      </c>
      <c r="BP175" s="421">
        <v>548728</v>
      </c>
      <c r="BQ175" s="421">
        <v>164426</v>
      </c>
      <c r="BR175" s="421">
        <v>449529.5316733578</v>
      </c>
      <c r="BS175" s="421">
        <v>24829.50885809744</v>
      </c>
      <c r="BT175" s="421">
        <v>64431.62000573984</v>
      </c>
      <c r="BU175" s="421">
        <v>213722.76312997163</v>
      </c>
      <c r="BV175" s="421">
        <v>280306.998898026</v>
      </c>
      <c r="BW175" s="421">
        <v>469469.18040496006</v>
      </c>
      <c r="BX175" s="421">
        <v>137511.71819732754</v>
      </c>
      <c r="BY175" s="421">
        <v>231938.45242337234</v>
      </c>
      <c r="BZ175" s="419"/>
      <c r="CA175" s="421">
        <v>23530.1719960954</v>
      </c>
      <c r="CB175" s="419"/>
      <c r="CC175" s="419"/>
      <c r="CD175" s="419"/>
      <c r="CE175" s="421">
        <v>298735.66245908255</v>
      </c>
      <c r="CF175" s="421">
        <v>167913.09082135741</v>
      </c>
      <c r="CG175" s="421">
        <v>199388.3271706488</v>
      </c>
      <c r="CH175" s="421">
        <v>-17990.650227327227</v>
      </c>
      <c r="CI175" s="419"/>
      <c r="CJ175" s="421">
        <v>3464163.109438228</v>
      </c>
      <c r="CK175" s="421">
        <v>-235989</v>
      </c>
      <c r="CL175" s="421">
        <v>62598.64800000001</v>
      </c>
      <c r="CM175" s="421">
        <v>47694.208000000006</v>
      </c>
      <c r="CN175" s="421">
        <v>14904.440000000002</v>
      </c>
      <c r="CO175" s="419"/>
      <c r="CP175" s="419"/>
      <c r="CQ175" s="419"/>
      <c r="CR175" s="171">
        <v>804</v>
      </c>
    </row>
    <row r="176" spans="1:96" ht="9.75">
      <c r="A176" s="203">
        <v>581</v>
      </c>
      <c r="B176" s="203" t="s">
        <v>231</v>
      </c>
      <c r="C176" s="421">
        <v>6352</v>
      </c>
      <c r="D176" s="419"/>
      <c r="E176" s="419"/>
      <c r="F176" s="419"/>
      <c r="G176" s="419"/>
      <c r="H176" s="500">
        <v>4291.05</v>
      </c>
      <c r="I176" s="419"/>
      <c r="J176" s="419"/>
      <c r="K176" s="419"/>
      <c r="L176" s="419"/>
      <c r="M176" s="419"/>
      <c r="N176" s="419"/>
      <c r="O176" s="419"/>
      <c r="P176" s="419"/>
      <c r="Q176" s="421">
        <v>307</v>
      </c>
      <c r="R176" s="421">
        <v>60</v>
      </c>
      <c r="S176" s="421">
        <v>369</v>
      </c>
      <c r="T176" s="421">
        <v>200</v>
      </c>
      <c r="U176" s="421">
        <v>180</v>
      </c>
      <c r="V176" s="421">
        <v>3119</v>
      </c>
      <c r="W176" s="421">
        <v>1179</v>
      </c>
      <c r="X176" s="421">
        <v>678</v>
      </c>
      <c r="Y176" s="421">
        <v>260</v>
      </c>
      <c r="Z176" s="419"/>
      <c r="AA176" s="419"/>
      <c r="AB176" s="419"/>
      <c r="AC176" s="419"/>
      <c r="AD176" s="419"/>
      <c r="AE176" s="422">
        <v>1.3886251811797294</v>
      </c>
      <c r="AF176" s="421">
        <v>11727976.269193478</v>
      </c>
      <c r="AG176" s="420">
        <v>321</v>
      </c>
      <c r="AH176" s="420">
        <v>2597</v>
      </c>
      <c r="AJ176" s="420">
        <v>130</v>
      </c>
      <c r="AK176" s="420">
        <v>0.020465994962216624</v>
      </c>
      <c r="AM176" s="420">
        <v>0</v>
      </c>
      <c r="AN176" s="420">
        <v>10</v>
      </c>
      <c r="AP176" s="420">
        <v>0</v>
      </c>
      <c r="AQ176" s="420">
        <v>0</v>
      </c>
      <c r="AR176" s="420">
        <v>852.72</v>
      </c>
      <c r="AU176" s="420">
        <v>257</v>
      </c>
      <c r="AV176" s="420">
        <v>1565</v>
      </c>
      <c r="AW176" s="420">
        <v>0.16421725239616614</v>
      </c>
      <c r="AY176" s="420">
        <v>0.4101</v>
      </c>
      <c r="AZ176" s="421">
        <v>2463</v>
      </c>
      <c r="BA176" s="420">
        <v>2305</v>
      </c>
      <c r="BB176" s="420">
        <v>1.0685466377440347</v>
      </c>
      <c r="BD176" s="420">
        <v>0</v>
      </c>
      <c r="BE176" s="420">
        <v>0</v>
      </c>
      <c r="BF176" s="421">
        <v>0</v>
      </c>
      <c r="BG176" s="421">
        <v>0</v>
      </c>
      <c r="BH176" s="419"/>
      <c r="BI176" s="421">
        <v>0</v>
      </c>
      <c r="BJ176" s="419"/>
      <c r="BK176" s="421">
        <v>2286.72</v>
      </c>
      <c r="BL176" s="421">
        <v>77466</v>
      </c>
      <c r="BM176" s="421">
        <v>-217086.335</v>
      </c>
      <c r="BN176" s="419"/>
      <c r="BO176" s="421">
        <v>-46909.599780224264</v>
      </c>
      <c r="BP176" s="421">
        <v>631294</v>
      </c>
      <c r="BQ176" s="421">
        <v>193783</v>
      </c>
      <c r="BR176" s="421">
        <v>483072.9142818386</v>
      </c>
      <c r="BS176" s="421">
        <v>24805.22083597808</v>
      </c>
      <c r="BT176" s="421">
        <v>35617.50781714254</v>
      </c>
      <c r="BU176" s="421">
        <v>244726.99378497124</v>
      </c>
      <c r="BV176" s="421">
        <v>364807.035582009</v>
      </c>
      <c r="BW176" s="421">
        <v>582032.8616976138</v>
      </c>
      <c r="BX176" s="421">
        <v>169726.33743962029</v>
      </c>
      <c r="BY176" s="421">
        <v>309542.4813555387</v>
      </c>
      <c r="BZ176" s="419"/>
      <c r="CA176" s="421">
        <v>-29802.368370231685</v>
      </c>
      <c r="CB176" s="419"/>
      <c r="CC176" s="419"/>
      <c r="CD176" s="419"/>
      <c r="CE176" s="421">
        <v>414669.19576379406</v>
      </c>
      <c r="CF176" s="421">
        <v>229030.6947369</v>
      </c>
      <c r="CG176" s="421">
        <v>274727.35990596266</v>
      </c>
      <c r="CH176" s="421">
        <v>-26604.768010849773</v>
      </c>
      <c r="CI176" s="419"/>
      <c r="CJ176" s="421">
        <v>4523787.201128455</v>
      </c>
      <c r="CK176" s="421">
        <v>-355742</v>
      </c>
      <c r="CL176" s="421">
        <v>175946.9142</v>
      </c>
      <c r="CM176" s="421">
        <v>74075.06680000002</v>
      </c>
      <c r="CN176" s="421">
        <v>101871.84739999998</v>
      </c>
      <c r="CO176" s="419"/>
      <c r="CP176" s="419"/>
      <c r="CQ176" s="419"/>
      <c r="CR176" s="171">
        <v>1633</v>
      </c>
    </row>
    <row r="177" spans="1:96" ht="9.75">
      <c r="A177" s="203">
        <v>599</v>
      </c>
      <c r="B177" s="203" t="s">
        <v>232</v>
      </c>
      <c r="C177" s="421">
        <v>11174</v>
      </c>
      <c r="D177" s="419"/>
      <c r="E177" s="419"/>
      <c r="F177" s="419"/>
      <c r="G177" s="419"/>
      <c r="H177" s="500">
        <v>4291.05</v>
      </c>
      <c r="I177" s="419"/>
      <c r="J177" s="419"/>
      <c r="K177" s="419"/>
      <c r="L177" s="419"/>
      <c r="M177" s="419"/>
      <c r="N177" s="419"/>
      <c r="O177" s="419"/>
      <c r="P177" s="419"/>
      <c r="Q177" s="421">
        <v>992</v>
      </c>
      <c r="R177" s="421">
        <v>173</v>
      </c>
      <c r="S177" s="421">
        <v>1107</v>
      </c>
      <c r="T177" s="421">
        <v>529</v>
      </c>
      <c r="U177" s="421">
        <v>505</v>
      </c>
      <c r="V177" s="421">
        <v>5813</v>
      </c>
      <c r="W177" s="421">
        <v>1156</v>
      </c>
      <c r="X177" s="421">
        <v>642</v>
      </c>
      <c r="Y177" s="421">
        <v>257</v>
      </c>
      <c r="Z177" s="419"/>
      <c r="AA177" s="419"/>
      <c r="AB177" s="419"/>
      <c r="AC177" s="419"/>
      <c r="AD177" s="419"/>
      <c r="AE177" s="422">
        <v>0.6913712540505317</v>
      </c>
      <c r="AF177" s="421">
        <v>10271823.299328253</v>
      </c>
      <c r="AG177" s="420">
        <v>282</v>
      </c>
      <c r="AH177" s="420">
        <v>5261</v>
      </c>
      <c r="AJ177" s="420">
        <v>341</v>
      </c>
      <c r="AK177" s="420">
        <v>0.030517272239126543</v>
      </c>
      <c r="AM177" s="420">
        <v>3</v>
      </c>
      <c r="AN177" s="420">
        <v>9887</v>
      </c>
      <c r="AP177" s="420">
        <v>0</v>
      </c>
      <c r="AQ177" s="420">
        <v>0</v>
      </c>
      <c r="AR177" s="420">
        <v>794.26</v>
      </c>
      <c r="AU177" s="420">
        <v>322</v>
      </c>
      <c r="AV177" s="420">
        <v>3169</v>
      </c>
      <c r="AW177" s="420">
        <v>0.10160934048595771</v>
      </c>
      <c r="AY177" s="420">
        <v>0</v>
      </c>
      <c r="AZ177" s="421">
        <v>4093</v>
      </c>
      <c r="BA177" s="420">
        <v>5146</v>
      </c>
      <c r="BB177" s="420">
        <v>0.7953750485814225</v>
      </c>
      <c r="BD177" s="420">
        <v>0</v>
      </c>
      <c r="BE177" s="420">
        <v>0</v>
      </c>
      <c r="BF177" s="421">
        <v>0</v>
      </c>
      <c r="BG177" s="421">
        <v>0</v>
      </c>
      <c r="BH177" s="419"/>
      <c r="BI177" s="421">
        <v>0</v>
      </c>
      <c r="BJ177" s="419"/>
      <c r="BK177" s="421">
        <v>4022.64</v>
      </c>
      <c r="BL177" s="421">
        <v>-119051</v>
      </c>
      <c r="BM177" s="421">
        <v>-99889.115</v>
      </c>
      <c r="BN177" s="419"/>
      <c r="BO177" s="421">
        <v>228177.65468864888</v>
      </c>
      <c r="BP177" s="421">
        <v>874829</v>
      </c>
      <c r="BQ177" s="421">
        <v>310573</v>
      </c>
      <c r="BR177" s="421">
        <v>740032.4773345407</v>
      </c>
      <c r="BS177" s="421">
        <v>30702.727293643246</v>
      </c>
      <c r="BT177" s="421">
        <v>54599.82824247546</v>
      </c>
      <c r="BU177" s="421">
        <v>334874.17945873406</v>
      </c>
      <c r="BV177" s="421">
        <v>661355.4490996372</v>
      </c>
      <c r="BW177" s="421">
        <v>938522.8049510869</v>
      </c>
      <c r="BX177" s="421">
        <v>296535.45275230636</v>
      </c>
      <c r="BY177" s="421">
        <v>510150.01185758994</v>
      </c>
      <c r="BZ177" s="419"/>
      <c r="CA177" s="421">
        <v>-122802.64804682478</v>
      </c>
      <c r="CB177" s="419"/>
      <c r="CC177" s="419"/>
      <c r="CD177" s="419"/>
      <c r="CE177" s="421">
        <v>657734.6753102834</v>
      </c>
      <c r="CF177" s="421">
        <v>418682.1705677034</v>
      </c>
      <c r="CG177" s="421">
        <v>530391.4821278837</v>
      </c>
      <c r="CH177" s="421">
        <v>-42078.133422913525</v>
      </c>
      <c r="CI177" s="419"/>
      <c r="CJ177" s="421">
        <v>8552540.403103774</v>
      </c>
      <c r="CK177" s="421">
        <v>-853420</v>
      </c>
      <c r="CL177" s="421">
        <v>253524.5244</v>
      </c>
      <c r="CM177" s="421">
        <v>547216.5146000001</v>
      </c>
      <c r="CN177" s="421">
        <v>-293691.9902000001</v>
      </c>
      <c r="CO177" s="419"/>
      <c r="CP177" s="419"/>
      <c r="CQ177" s="419"/>
      <c r="CR177" s="171" t="e">
        <v>#N/A</v>
      </c>
    </row>
    <row r="178" spans="1:96" ht="9.75">
      <c r="A178" s="203">
        <v>583</v>
      </c>
      <c r="B178" s="203" t="s">
        <v>233</v>
      </c>
      <c r="C178" s="421">
        <v>931</v>
      </c>
      <c r="D178" s="419"/>
      <c r="E178" s="419"/>
      <c r="F178" s="419"/>
      <c r="G178" s="419"/>
      <c r="H178" s="500">
        <v>4291.05</v>
      </c>
      <c r="I178" s="419"/>
      <c r="J178" s="419"/>
      <c r="K178" s="419"/>
      <c r="L178" s="419"/>
      <c r="M178" s="419"/>
      <c r="N178" s="419"/>
      <c r="O178" s="419"/>
      <c r="P178" s="419"/>
      <c r="Q178" s="421">
        <v>37</v>
      </c>
      <c r="R178" s="421">
        <v>8</v>
      </c>
      <c r="S178" s="421">
        <v>29</v>
      </c>
      <c r="T178" s="421">
        <v>20</v>
      </c>
      <c r="U178" s="421">
        <v>9</v>
      </c>
      <c r="V178" s="421">
        <v>483</v>
      </c>
      <c r="W178" s="421">
        <v>207</v>
      </c>
      <c r="X178" s="421">
        <v>94</v>
      </c>
      <c r="Y178" s="421">
        <v>44</v>
      </c>
      <c r="Z178" s="419"/>
      <c r="AA178" s="419"/>
      <c r="AB178" s="419"/>
      <c r="AC178" s="419"/>
      <c r="AD178" s="419"/>
      <c r="AE178" s="422">
        <v>1.556568254383328</v>
      </c>
      <c r="AF178" s="421">
        <v>1926838.885349104</v>
      </c>
      <c r="AG178" s="420">
        <v>80</v>
      </c>
      <c r="AH178" s="420">
        <v>404</v>
      </c>
      <c r="AJ178" s="420">
        <v>11</v>
      </c>
      <c r="AK178" s="420">
        <v>0.011815252416756176</v>
      </c>
      <c r="AM178" s="420">
        <v>0</v>
      </c>
      <c r="AN178" s="420">
        <v>3</v>
      </c>
      <c r="AP178" s="420">
        <v>0</v>
      </c>
      <c r="AQ178" s="420">
        <v>0</v>
      </c>
      <c r="AR178" s="420">
        <v>1836.42</v>
      </c>
      <c r="AU178" s="420">
        <v>34</v>
      </c>
      <c r="AV178" s="420">
        <v>246</v>
      </c>
      <c r="AW178" s="420">
        <v>0.13821138211382114</v>
      </c>
      <c r="AY178" s="420">
        <v>1.7057</v>
      </c>
      <c r="AZ178" s="421">
        <v>389</v>
      </c>
      <c r="BA178" s="420">
        <v>347</v>
      </c>
      <c r="BB178" s="420">
        <v>1.1210374639769451</v>
      </c>
      <c r="BD178" s="420">
        <v>0</v>
      </c>
      <c r="BE178" s="420">
        <v>0</v>
      </c>
      <c r="BF178" s="421">
        <v>0</v>
      </c>
      <c r="BG178" s="421">
        <v>0</v>
      </c>
      <c r="BH178" s="419"/>
      <c r="BI178" s="421">
        <v>0</v>
      </c>
      <c r="BJ178" s="419"/>
      <c r="BK178" s="421">
        <v>335.15999999999997</v>
      </c>
      <c r="BL178" s="421">
        <v>86897</v>
      </c>
      <c r="BM178" s="421">
        <v>-23593.71</v>
      </c>
      <c r="BN178" s="419"/>
      <c r="BO178" s="421">
        <v>326846.61793812085</v>
      </c>
      <c r="BP178" s="421">
        <v>98737</v>
      </c>
      <c r="BQ178" s="421">
        <v>30421</v>
      </c>
      <c r="BR178" s="421">
        <v>86707.59390611005</v>
      </c>
      <c r="BS178" s="421">
        <v>4883.322780735451</v>
      </c>
      <c r="BT178" s="421">
        <v>12434.331455737256</v>
      </c>
      <c r="BU178" s="421">
        <v>32710.82356139678</v>
      </c>
      <c r="BV178" s="421">
        <v>49945.52380611127</v>
      </c>
      <c r="BW178" s="421">
        <v>84755.74699200691</v>
      </c>
      <c r="BX178" s="421">
        <v>26259.991914495644</v>
      </c>
      <c r="BY178" s="421">
        <v>48698.913694582</v>
      </c>
      <c r="BZ178" s="419"/>
      <c r="CA178" s="421">
        <v>11358.24104721152</v>
      </c>
      <c r="CB178" s="419"/>
      <c r="CC178" s="419"/>
      <c r="CD178" s="419"/>
      <c r="CE178" s="421">
        <v>63368.43866691714</v>
      </c>
      <c r="CF178" s="421">
        <v>36270.27248856298</v>
      </c>
      <c r="CG178" s="421">
        <v>45685.30167376779</v>
      </c>
      <c r="CH178" s="421">
        <v>-6105.082584600581</v>
      </c>
      <c r="CI178" s="419"/>
      <c r="CJ178" s="421">
        <v>566730.2071829126</v>
      </c>
      <c r="CK178" s="421">
        <v>-156686</v>
      </c>
      <c r="CL178" s="421">
        <v>96953.38220000001</v>
      </c>
      <c r="CM178" s="421">
        <v>7452.22</v>
      </c>
      <c r="CN178" s="421">
        <v>89501.1622</v>
      </c>
      <c r="CO178" s="419"/>
      <c r="CP178" s="419"/>
      <c r="CQ178" s="419"/>
      <c r="CR178" s="171">
        <v>141</v>
      </c>
    </row>
    <row r="179" spans="1:96" ht="9.75">
      <c r="A179" s="203">
        <v>854</v>
      </c>
      <c r="B179" s="203" t="s">
        <v>234</v>
      </c>
      <c r="C179" s="421">
        <v>3304</v>
      </c>
      <c r="D179" s="419"/>
      <c r="E179" s="419"/>
      <c r="F179" s="419"/>
      <c r="G179" s="419"/>
      <c r="H179" s="500">
        <v>4291.05</v>
      </c>
      <c r="I179" s="419"/>
      <c r="J179" s="419"/>
      <c r="K179" s="419"/>
      <c r="L179" s="419"/>
      <c r="M179" s="419"/>
      <c r="N179" s="419"/>
      <c r="O179" s="419"/>
      <c r="P179" s="419"/>
      <c r="Q179" s="421">
        <v>115</v>
      </c>
      <c r="R179" s="421">
        <v>17</v>
      </c>
      <c r="S179" s="421">
        <v>135</v>
      </c>
      <c r="T179" s="421">
        <v>72</v>
      </c>
      <c r="U179" s="421">
        <v>76</v>
      </c>
      <c r="V179" s="421">
        <v>1536</v>
      </c>
      <c r="W179" s="421">
        <v>757</v>
      </c>
      <c r="X179" s="421">
        <v>393</v>
      </c>
      <c r="Y179" s="421">
        <v>203</v>
      </c>
      <c r="Z179" s="419"/>
      <c r="AA179" s="419"/>
      <c r="AB179" s="419"/>
      <c r="AC179" s="419"/>
      <c r="AD179" s="419"/>
      <c r="AE179" s="422">
        <v>1.49083376815562</v>
      </c>
      <c r="AF179" s="421">
        <v>6549329.08590015</v>
      </c>
      <c r="AG179" s="420">
        <v>173</v>
      </c>
      <c r="AH179" s="420">
        <v>1313</v>
      </c>
      <c r="AJ179" s="420">
        <v>34</v>
      </c>
      <c r="AK179" s="420">
        <v>0.010290556900726392</v>
      </c>
      <c r="AM179" s="420">
        <v>0</v>
      </c>
      <c r="AN179" s="420">
        <v>20</v>
      </c>
      <c r="AP179" s="420">
        <v>0</v>
      </c>
      <c r="AQ179" s="420">
        <v>0</v>
      </c>
      <c r="AR179" s="420">
        <v>1737.71</v>
      </c>
      <c r="AU179" s="420">
        <v>117</v>
      </c>
      <c r="AV179" s="420">
        <v>657</v>
      </c>
      <c r="AW179" s="420">
        <v>0.1780821917808219</v>
      </c>
      <c r="AY179" s="420">
        <v>1.6961</v>
      </c>
      <c r="AZ179" s="421">
        <v>1100</v>
      </c>
      <c r="BA179" s="420">
        <v>1102</v>
      </c>
      <c r="BB179" s="420">
        <v>0.9981851179673321</v>
      </c>
      <c r="BD179" s="420">
        <v>0</v>
      </c>
      <c r="BE179" s="420">
        <v>1</v>
      </c>
      <c r="BF179" s="421">
        <v>0</v>
      </c>
      <c r="BG179" s="421">
        <v>0</v>
      </c>
      <c r="BH179" s="419"/>
      <c r="BI179" s="421">
        <v>0</v>
      </c>
      <c r="BJ179" s="419"/>
      <c r="BK179" s="421">
        <v>1189.44</v>
      </c>
      <c r="BL179" s="421">
        <v>-10827</v>
      </c>
      <c r="BM179" s="421">
        <v>-59208.285</v>
      </c>
      <c r="BN179" s="419"/>
      <c r="BO179" s="421">
        <v>-196013.11219165102</v>
      </c>
      <c r="BP179" s="421">
        <v>360045</v>
      </c>
      <c r="BQ179" s="421">
        <v>112878</v>
      </c>
      <c r="BR179" s="421">
        <v>279775.4705817744</v>
      </c>
      <c r="BS179" s="421">
        <v>17209.577726508884</v>
      </c>
      <c r="BT179" s="421">
        <v>62791.6321954701</v>
      </c>
      <c r="BU179" s="421">
        <v>135895.88612350414</v>
      </c>
      <c r="BV179" s="421">
        <v>186088.03826940406</v>
      </c>
      <c r="BW179" s="421">
        <v>316311.9860555602</v>
      </c>
      <c r="BX179" s="421">
        <v>91667.29733957456</v>
      </c>
      <c r="BY179" s="421">
        <v>167685.64765483327</v>
      </c>
      <c r="BZ179" s="419"/>
      <c r="CA179" s="421">
        <v>-19932.58734913855</v>
      </c>
      <c r="CB179" s="419"/>
      <c r="CC179" s="419"/>
      <c r="CD179" s="419"/>
      <c r="CE179" s="421">
        <v>201193.82557863445</v>
      </c>
      <c r="CF179" s="421">
        <v>112477.46299856293</v>
      </c>
      <c r="CG179" s="421">
        <v>141009.50928336525</v>
      </c>
      <c r="CH179" s="421">
        <v>-13926.22522272718</v>
      </c>
      <c r="CI179" s="419"/>
      <c r="CJ179" s="421">
        <v>2636490.141657895</v>
      </c>
      <c r="CK179" s="421">
        <v>-318879</v>
      </c>
      <c r="CL179" s="421">
        <v>11923.552000000001</v>
      </c>
      <c r="CM179" s="421">
        <v>85029.8302</v>
      </c>
      <c r="CN179" s="421">
        <v>-73106.2782</v>
      </c>
      <c r="CO179" s="419"/>
      <c r="CP179" s="419"/>
      <c r="CQ179" s="419"/>
      <c r="CR179" s="171">
        <v>588</v>
      </c>
    </row>
    <row r="180" spans="1:96" ht="9.75">
      <c r="A180" s="203">
        <v>584</v>
      </c>
      <c r="B180" s="203" t="s">
        <v>235</v>
      </c>
      <c r="C180" s="421">
        <v>2706</v>
      </c>
      <c r="D180" s="419"/>
      <c r="E180" s="419"/>
      <c r="F180" s="419"/>
      <c r="G180" s="419"/>
      <c r="H180" s="500">
        <v>4291.05</v>
      </c>
      <c r="I180" s="419"/>
      <c r="J180" s="419"/>
      <c r="K180" s="419"/>
      <c r="L180" s="419"/>
      <c r="M180" s="419"/>
      <c r="N180" s="419"/>
      <c r="O180" s="419"/>
      <c r="P180" s="419"/>
      <c r="Q180" s="421">
        <v>235</v>
      </c>
      <c r="R180" s="421">
        <v>50</v>
      </c>
      <c r="S180" s="421">
        <v>295</v>
      </c>
      <c r="T180" s="421">
        <v>161</v>
      </c>
      <c r="U180" s="421">
        <v>118</v>
      </c>
      <c r="V180" s="421">
        <v>1182</v>
      </c>
      <c r="W180" s="421">
        <v>390</v>
      </c>
      <c r="X180" s="421">
        <v>187</v>
      </c>
      <c r="Y180" s="421">
        <v>88</v>
      </c>
      <c r="Z180" s="419"/>
      <c r="AA180" s="419"/>
      <c r="AB180" s="419"/>
      <c r="AC180" s="419"/>
      <c r="AD180" s="419"/>
      <c r="AE180" s="422">
        <v>1.1220391020804263</v>
      </c>
      <c r="AF180" s="421">
        <v>4037042.650971596</v>
      </c>
      <c r="AG180" s="420">
        <v>101</v>
      </c>
      <c r="AH180" s="420">
        <v>1057</v>
      </c>
      <c r="AJ180" s="420">
        <v>22</v>
      </c>
      <c r="AK180" s="420">
        <v>0.008130081300813009</v>
      </c>
      <c r="AM180" s="420">
        <v>0</v>
      </c>
      <c r="AN180" s="420">
        <v>12</v>
      </c>
      <c r="AP180" s="420">
        <v>0</v>
      </c>
      <c r="AQ180" s="420">
        <v>0</v>
      </c>
      <c r="AR180" s="420">
        <v>747.87</v>
      </c>
      <c r="AU180" s="420">
        <v>107</v>
      </c>
      <c r="AV180" s="420">
        <v>615</v>
      </c>
      <c r="AW180" s="420">
        <v>0.17398373983739837</v>
      </c>
      <c r="AY180" s="420">
        <v>1.0825</v>
      </c>
      <c r="AZ180" s="421">
        <v>884</v>
      </c>
      <c r="BA180" s="420">
        <v>910</v>
      </c>
      <c r="BB180" s="420">
        <v>0.9714285714285714</v>
      </c>
      <c r="BD180" s="420">
        <v>0</v>
      </c>
      <c r="BE180" s="420">
        <v>0</v>
      </c>
      <c r="BF180" s="421">
        <v>0</v>
      </c>
      <c r="BG180" s="421">
        <v>0</v>
      </c>
      <c r="BH180" s="419"/>
      <c r="BI180" s="421">
        <v>0</v>
      </c>
      <c r="BJ180" s="419"/>
      <c r="BK180" s="421">
        <v>974.16</v>
      </c>
      <c r="BL180" s="421">
        <v>25831</v>
      </c>
      <c r="BM180" s="421">
        <v>-27380.19</v>
      </c>
      <c r="BN180" s="419"/>
      <c r="BO180" s="421">
        <v>40403.31963919662</v>
      </c>
      <c r="BP180" s="421">
        <v>248802</v>
      </c>
      <c r="BQ180" s="421">
        <v>81810</v>
      </c>
      <c r="BR180" s="421">
        <v>237809.04534196263</v>
      </c>
      <c r="BS180" s="421">
        <v>12373.570511656304</v>
      </c>
      <c r="BT180" s="421">
        <v>37925.0929076098</v>
      </c>
      <c r="BU180" s="421">
        <v>123013.57808496512</v>
      </c>
      <c r="BV180" s="421">
        <v>153607.53770423934</v>
      </c>
      <c r="BW180" s="421">
        <v>243407.94374177346</v>
      </c>
      <c r="BX180" s="421">
        <v>65115.4129479533</v>
      </c>
      <c r="BY180" s="421">
        <v>128168.1286582417</v>
      </c>
      <c r="BZ180" s="419"/>
      <c r="CA180" s="421">
        <v>201.8346436877764</v>
      </c>
      <c r="CB180" s="419"/>
      <c r="CC180" s="419"/>
      <c r="CD180" s="419"/>
      <c r="CE180" s="421">
        <v>178388.33705722212</v>
      </c>
      <c r="CF180" s="421">
        <v>95273.13064846891</v>
      </c>
      <c r="CG180" s="421">
        <v>112058.1262539518</v>
      </c>
      <c r="CH180" s="421">
        <v>-9204.417494278332</v>
      </c>
      <c r="CI180" s="419"/>
      <c r="CJ180" s="421">
        <v>3476968.9133169637</v>
      </c>
      <c r="CK180" s="421">
        <v>300087</v>
      </c>
      <c r="CL180" s="421">
        <v>50675.096000000005</v>
      </c>
      <c r="CM180" s="421">
        <v>0</v>
      </c>
      <c r="CN180" s="421">
        <v>50675.096000000005</v>
      </c>
      <c r="CO180" s="419"/>
      <c r="CP180" s="419"/>
      <c r="CQ180" s="419"/>
      <c r="CR180" s="171">
        <v>1084</v>
      </c>
    </row>
    <row r="181" spans="1:96" ht="9.75">
      <c r="A181" s="203">
        <v>588</v>
      </c>
      <c r="B181" s="203" t="s">
        <v>236</v>
      </c>
      <c r="C181" s="421">
        <v>1654</v>
      </c>
      <c r="D181" s="419"/>
      <c r="E181" s="419"/>
      <c r="F181" s="419"/>
      <c r="G181" s="419"/>
      <c r="H181" s="500">
        <v>4291.05</v>
      </c>
      <c r="I181" s="419"/>
      <c r="J181" s="419"/>
      <c r="K181" s="419"/>
      <c r="L181" s="419"/>
      <c r="M181" s="419"/>
      <c r="N181" s="419"/>
      <c r="O181" s="419"/>
      <c r="P181" s="419"/>
      <c r="Q181" s="421">
        <v>52</v>
      </c>
      <c r="R181" s="421">
        <v>8</v>
      </c>
      <c r="S181" s="421">
        <v>73</v>
      </c>
      <c r="T181" s="421">
        <v>54</v>
      </c>
      <c r="U181" s="421">
        <v>41</v>
      </c>
      <c r="V181" s="421">
        <v>786</v>
      </c>
      <c r="W181" s="421">
        <v>340</v>
      </c>
      <c r="X181" s="421">
        <v>207</v>
      </c>
      <c r="Y181" s="421">
        <v>93</v>
      </c>
      <c r="Z181" s="419"/>
      <c r="AA181" s="419"/>
      <c r="AB181" s="419"/>
      <c r="AC181" s="419"/>
      <c r="AD181" s="419"/>
      <c r="AE181" s="422">
        <v>1.4306745571138202</v>
      </c>
      <c r="AF181" s="421">
        <v>3146327.399282036</v>
      </c>
      <c r="AG181" s="420">
        <v>74</v>
      </c>
      <c r="AH181" s="420">
        <v>698</v>
      </c>
      <c r="AJ181" s="420">
        <v>34</v>
      </c>
      <c r="AK181" s="420">
        <v>0.020556227327690448</v>
      </c>
      <c r="AM181" s="420">
        <v>0</v>
      </c>
      <c r="AN181" s="420">
        <v>2</v>
      </c>
      <c r="AP181" s="420">
        <v>0</v>
      </c>
      <c r="AQ181" s="420">
        <v>0</v>
      </c>
      <c r="AR181" s="420">
        <v>374.43</v>
      </c>
      <c r="AU181" s="420">
        <v>71</v>
      </c>
      <c r="AV181" s="420">
        <v>384</v>
      </c>
      <c r="AW181" s="420">
        <v>0.18489583333333334</v>
      </c>
      <c r="AY181" s="420">
        <v>0.3361</v>
      </c>
      <c r="AZ181" s="421">
        <v>604</v>
      </c>
      <c r="BA181" s="420">
        <v>603</v>
      </c>
      <c r="BB181" s="420">
        <v>1.0016583747927033</v>
      </c>
      <c r="BD181" s="420">
        <v>0</v>
      </c>
      <c r="BE181" s="420">
        <v>0</v>
      </c>
      <c r="BF181" s="421">
        <v>0</v>
      </c>
      <c r="BG181" s="421">
        <v>0</v>
      </c>
      <c r="BH181" s="419"/>
      <c r="BI181" s="421">
        <v>0</v>
      </c>
      <c r="BJ181" s="419"/>
      <c r="BK181" s="421">
        <v>595.4399999999999</v>
      </c>
      <c r="BL181" s="421">
        <v>-43711</v>
      </c>
      <c r="BM181" s="421">
        <v>-49139.455</v>
      </c>
      <c r="BN181" s="419"/>
      <c r="BO181" s="421">
        <v>63048.20871804934</v>
      </c>
      <c r="BP181" s="421">
        <v>234115</v>
      </c>
      <c r="BQ181" s="421">
        <v>67290</v>
      </c>
      <c r="BR181" s="421">
        <v>168977.94436263852</v>
      </c>
      <c r="BS181" s="421">
        <v>9010.292511181933</v>
      </c>
      <c r="BT181" s="421">
        <v>8334.40104357321</v>
      </c>
      <c r="BU181" s="421">
        <v>76406.0058587274</v>
      </c>
      <c r="BV181" s="421">
        <v>102718.41957583952</v>
      </c>
      <c r="BW181" s="421">
        <v>162135.96327907612</v>
      </c>
      <c r="BX181" s="421">
        <v>50497.781897483066</v>
      </c>
      <c r="BY181" s="421">
        <v>91577.20905734859</v>
      </c>
      <c r="BZ181" s="419"/>
      <c r="CA181" s="421">
        <v>-3862.5930684434243</v>
      </c>
      <c r="CB181" s="419"/>
      <c r="CC181" s="419"/>
      <c r="CD181" s="419"/>
      <c r="CE181" s="421">
        <v>130688.93375588853</v>
      </c>
      <c r="CF181" s="421">
        <v>64143.87512720403</v>
      </c>
      <c r="CG181" s="421">
        <v>73528.91224698606</v>
      </c>
      <c r="CH181" s="421">
        <v>-6438.001707686904</v>
      </c>
      <c r="CI181" s="419"/>
      <c r="CJ181" s="421">
        <v>1275464.6973754852</v>
      </c>
      <c r="CK181" s="421">
        <v>-353048</v>
      </c>
      <c r="CL181" s="421">
        <v>41732.432</v>
      </c>
      <c r="CM181" s="421">
        <v>90857.46624</v>
      </c>
      <c r="CN181" s="421">
        <v>-49125.03423999999</v>
      </c>
      <c r="CO181" s="419"/>
      <c r="CP181" s="419"/>
      <c r="CQ181" s="419"/>
      <c r="CR181" s="171">
        <v>306</v>
      </c>
    </row>
    <row r="182" spans="1:96" ht="9.75">
      <c r="A182" s="203">
        <v>592</v>
      </c>
      <c r="B182" s="203" t="s">
        <v>237</v>
      </c>
      <c r="C182" s="421">
        <v>3772</v>
      </c>
      <c r="D182" s="419"/>
      <c r="E182" s="419"/>
      <c r="F182" s="419"/>
      <c r="G182" s="419"/>
      <c r="H182" s="500">
        <v>4291.05</v>
      </c>
      <c r="I182" s="419"/>
      <c r="J182" s="419"/>
      <c r="K182" s="419"/>
      <c r="L182" s="419"/>
      <c r="M182" s="419"/>
      <c r="N182" s="419"/>
      <c r="O182" s="419"/>
      <c r="P182" s="419"/>
      <c r="Q182" s="421">
        <v>207</v>
      </c>
      <c r="R182" s="421">
        <v>56</v>
      </c>
      <c r="S182" s="421">
        <v>339</v>
      </c>
      <c r="T182" s="421">
        <v>164</v>
      </c>
      <c r="U182" s="421">
        <v>129</v>
      </c>
      <c r="V182" s="421">
        <v>1941</v>
      </c>
      <c r="W182" s="421">
        <v>539</v>
      </c>
      <c r="X182" s="421">
        <v>293</v>
      </c>
      <c r="Y182" s="421">
        <v>104</v>
      </c>
      <c r="Z182" s="419"/>
      <c r="AA182" s="419"/>
      <c r="AB182" s="419"/>
      <c r="AC182" s="419"/>
      <c r="AD182" s="419"/>
      <c r="AE182" s="422">
        <v>1.0363620031879919</v>
      </c>
      <c r="AF182" s="421">
        <v>5197694.134823364</v>
      </c>
      <c r="AG182" s="420">
        <v>213</v>
      </c>
      <c r="AH182" s="420">
        <v>1702</v>
      </c>
      <c r="AJ182" s="420">
        <v>59</v>
      </c>
      <c r="AK182" s="420">
        <v>0.015641569459172854</v>
      </c>
      <c r="AM182" s="420">
        <v>0</v>
      </c>
      <c r="AN182" s="420">
        <v>6</v>
      </c>
      <c r="AP182" s="420">
        <v>0</v>
      </c>
      <c r="AQ182" s="420">
        <v>0</v>
      </c>
      <c r="AR182" s="420">
        <v>456.42</v>
      </c>
      <c r="AU182" s="420">
        <v>114</v>
      </c>
      <c r="AV182" s="420">
        <v>1137</v>
      </c>
      <c r="AW182" s="420">
        <v>0.10026385224274406</v>
      </c>
      <c r="AY182" s="420">
        <v>0</v>
      </c>
      <c r="AZ182" s="421">
        <v>891</v>
      </c>
      <c r="BA182" s="420">
        <v>1513</v>
      </c>
      <c r="BB182" s="420">
        <v>0.5888962326503635</v>
      </c>
      <c r="BD182" s="420">
        <v>0</v>
      </c>
      <c r="BE182" s="420">
        <v>1</v>
      </c>
      <c r="BF182" s="421">
        <v>0</v>
      </c>
      <c r="BG182" s="421">
        <v>0</v>
      </c>
      <c r="BH182" s="419"/>
      <c r="BI182" s="421">
        <v>0</v>
      </c>
      <c r="BJ182" s="419"/>
      <c r="BK182" s="421">
        <v>1357.9199999999998</v>
      </c>
      <c r="BL182" s="421">
        <v>123623</v>
      </c>
      <c r="BM182" s="421">
        <v>-121539.845</v>
      </c>
      <c r="BN182" s="419"/>
      <c r="BO182" s="421">
        <v>36948.840584326535</v>
      </c>
      <c r="BP182" s="421">
        <v>354457</v>
      </c>
      <c r="BQ182" s="421">
        <v>106582</v>
      </c>
      <c r="BR182" s="421">
        <v>254905.20955377643</v>
      </c>
      <c r="BS182" s="421">
        <v>8332.65349028518</v>
      </c>
      <c r="BT182" s="421">
        <v>26530.701781500757</v>
      </c>
      <c r="BU182" s="421">
        <v>123476.20413054695</v>
      </c>
      <c r="BV182" s="421">
        <v>207997.30219506685</v>
      </c>
      <c r="BW182" s="421">
        <v>310773.8657329674</v>
      </c>
      <c r="BX182" s="421">
        <v>88610.83356448845</v>
      </c>
      <c r="BY182" s="421">
        <v>171137.42344327332</v>
      </c>
      <c r="BZ182" s="419"/>
      <c r="CA182" s="421">
        <v>10784.547024344334</v>
      </c>
      <c r="CB182" s="419"/>
      <c r="CC182" s="419"/>
      <c r="CD182" s="419"/>
      <c r="CE182" s="421">
        <v>227720.8051145193</v>
      </c>
      <c r="CF182" s="421">
        <v>136697.07753943527</v>
      </c>
      <c r="CG182" s="421">
        <v>161805.12721058176</v>
      </c>
      <c r="CH182" s="421">
        <v>-15545.776871638</v>
      </c>
      <c r="CI182" s="419"/>
      <c r="CJ182" s="421">
        <v>2693844.113922044</v>
      </c>
      <c r="CK182" s="421">
        <v>-80318</v>
      </c>
      <c r="CL182" s="421">
        <v>177586.40260000003</v>
      </c>
      <c r="CM182" s="421">
        <v>68044.730376</v>
      </c>
      <c r="CN182" s="421">
        <v>109541.67222400002</v>
      </c>
      <c r="CO182" s="419"/>
      <c r="CP182" s="419"/>
      <c r="CQ182" s="419"/>
      <c r="CR182" s="171">
        <v>1138</v>
      </c>
    </row>
    <row r="183" spans="1:96" ht="9.75">
      <c r="A183" s="203">
        <v>593</v>
      </c>
      <c r="B183" s="203" t="s">
        <v>238</v>
      </c>
      <c r="C183" s="421">
        <v>17375</v>
      </c>
      <c r="D183" s="419"/>
      <c r="E183" s="419"/>
      <c r="F183" s="419"/>
      <c r="G183" s="419"/>
      <c r="H183" s="500">
        <v>4291.05</v>
      </c>
      <c r="I183" s="419"/>
      <c r="J183" s="419"/>
      <c r="K183" s="419"/>
      <c r="L183" s="419"/>
      <c r="M183" s="419"/>
      <c r="N183" s="419"/>
      <c r="O183" s="419"/>
      <c r="P183" s="419"/>
      <c r="Q183" s="421">
        <v>682</v>
      </c>
      <c r="R183" s="421">
        <v>134</v>
      </c>
      <c r="S183" s="421">
        <v>896</v>
      </c>
      <c r="T183" s="421">
        <v>481</v>
      </c>
      <c r="U183" s="421">
        <v>487</v>
      </c>
      <c r="V183" s="421">
        <v>8932</v>
      </c>
      <c r="W183" s="421">
        <v>3206</v>
      </c>
      <c r="X183" s="421">
        <v>1784</v>
      </c>
      <c r="Y183" s="421">
        <v>773</v>
      </c>
      <c r="Z183" s="419"/>
      <c r="AA183" s="419"/>
      <c r="AB183" s="419"/>
      <c r="AC183" s="419"/>
      <c r="AD183" s="419"/>
      <c r="AE183" s="422">
        <v>1.5382100036364756</v>
      </c>
      <c r="AF183" s="421">
        <v>35535955.49427446</v>
      </c>
      <c r="AG183" s="420">
        <v>773</v>
      </c>
      <c r="AH183" s="420">
        <v>7371</v>
      </c>
      <c r="AJ183" s="420">
        <v>490</v>
      </c>
      <c r="AK183" s="420">
        <v>0.028201438848920863</v>
      </c>
      <c r="AM183" s="420">
        <v>0</v>
      </c>
      <c r="AN183" s="420">
        <v>21</v>
      </c>
      <c r="AP183" s="420">
        <v>0</v>
      </c>
      <c r="AQ183" s="420">
        <v>0</v>
      </c>
      <c r="AR183" s="420">
        <v>1569.01</v>
      </c>
      <c r="AU183" s="420">
        <v>593</v>
      </c>
      <c r="AV183" s="420">
        <v>4390</v>
      </c>
      <c r="AW183" s="420">
        <v>0.13507972665148063</v>
      </c>
      <c r="AY183" s="420">
        <v>0</v>
      </c>
      <c r="AZ183" s="421">
        <v>6642</v>
      </c>
      <c r="BA183" s="420">
        <v>6582</v>
      </c>
      <c r="BB183" s="420">
        <v>1.0091157702825888</v>
      </c>
      <c r="BD183" s="420">
        <v>0</v>
      </c>
      <c r="BE183" s="420">
        <v>0</v>
      </c>
      <c r="BF183" s="421">
        <v>0</v>
      </c>
      <c r="BG183" s="421">
        <v>0</v>
      </c>
      <c r="BH183" s="419"/>
      <c r="BI183" s="421">
        <v>0</v>
      </c>
      <c r="BJ183" s="419"/>
      <c r="BK183" s="421">
        <v>6255</v>
      </c>
      <c r="BL183" s="421">
        <v>-13406</v>
      </c>
      <c r="BM183" s="421">
        <v>-949519.35805</v>
      </c>
      <c r="BN183" s="419"/>
      <c r="BO183" s="421">
        <v>-146001.90130151063</v>
      </c>
      <c r="BP183" s="421">
        <v>1560090</v>
      </c>
      <c r="BQ183" s="421">
        <v>513971</v>
      </c>
      <c r="BR183" s="421">
        <v>1260126.626801296</v>
      </c>
      <c r="BS183" s="421">
        <v>63467.03263140767</v>
      </c>
      <c r="BT183" s="421">
        <v>157346.3627602417</v>
      </c>
      <c r="BU183" s="421">
        <v>647965.8766096516</v>
      </c>
      <c r="BV183" s="421">
        <v>974534.7401775933</v>
      </c>
      <c r="BW183" s="421">
        <v>1699306.929225473</v>
      </c>
      <c r="BX183" s="421">
        <v>475978.1111922534</v>
      </c>
      <c r="BY183" s="421">
        <v>854011.9896444147</v>
      </c>
      <c r="BZ183" s="419"/>
      <c r="CA183" s="421">
        <v>-47434.341976993484</v>
      </c>
      <c r="CB183" s="419"/>
      <c r="CC183" s="419"/>
      <c r="CD183" s="419"/>
      <c r="CE183" s="421">
        <v>1100093.2699461284</v>
      </c>
      <c r="CF183" s="421">
        <v>630805.1122596494</v>
      </c>
      <c r="CG183" s="421">
        <v>792860.4792348185</v>
      </c>
      <c r="CH183" s="421">
        <v>-78484.15838242648</v>
      </c>
      <c r="CI183" s="419"/>
      <c r="CJ183" s="421">
        <v>10251570.19196218</v>
      </c>
      <c r="CK183" s="421">
        <v>-1972004</v>
      </c>
      <c r="CL183" s="421">
        <v>255014.96839999995</v>
      </c>
      <c r="CM183" s="421">
        <v>405564.71684</v>
      </c>
      <c r="CN183" s="421">
        <v>-150549.74844000005</v>
      </c>
      <c r="CO183" s="419"/>
      <c r="CP183" s="419"/>
      <c r="CQ183" s="419"/>
      <c r="CR183" s="171">
        <v>3959</v>
      </c>
    </row>
    <row r="184" spans="1:96" ht="9.75">
      <c r="A184" s="203">
        <v>595</v>
      </c>
      <c r="B184" s="203" t="s">
        <v>239</v>
      </c>
      <c r="C184" s="421">
        <v>4321</v>
      </c>
      <c r="D184" s="419"/>
      <c r="E184" s="419"/>
      <c r="F184" s="419"/>
      <c r="G184" s="419"/>
      <c r="H184" s="500">
        <v>4291.05</v>
      </c>
      <c r="I184" s="419"/>
      <c r="J184" s="419"/>
      <c r="K184" s="419"/>
      <c r="L184" s="419"/>
      <c r="M184" s="419"/>
      <c r="N184" s="419"/>
      <c r="O184" s="419"/>
      <c r="P184" s="419"/>
      <c r="Q184" s="421">
        <v>183</v>
      </c>
      <c r="R184" s="421">
        <v>35</v>
      </c>
      <c r="S184" s="421">
        <v>252</v>
      </c>
      <c r="T184" s="421">
        <v>166</v>
      </c>
      <c r="U184" s="421">
        <v>125</v>
      </c>
      <c r="V184" s="421">
        <v>1936</v>
      </c>
      <c r="W184" s="421">
        <v>885</v>
      </c>
      <c r="X184" s="421">
        <v>499</v>
      </c>
      <c r="Y184" s="421">
        <v>240</v>
      </c>
      <c r="Z184" s="419"/>
      <c r="AA184" s="419"/>
      <c r="AB184" s="419"/>
      <c r="AC184" s="419"/>
      <c r="AD184" s="419"/>
      <c r="AE184" s="422">
        <v>1.957549420102523</v>
      </c>
      <c r="AF184" s="421">
        <v>11246685.536082176</v>
      </c>
      <c r="AG184" s="420">
        <v>182</v>
      </c>
      <c r="AH184" s="420">
        <v>1590</v>
      </c>
      <c r="AJ184" s="420">
        <v>76</v>
      </c>
      <c r="AK184" s="420">
        <v>0.017588521175653783</v>
      </c>
      <c r="AM184" s="420">
        <v>0</v>
      </c>
      <c r="AN184" s="420">
        <v>8</v>
      </c>
      <c r="AP184" s="420">
        <v>0</v>
      </c>
      <c r="AQ184" s="420">
        <v>0</v>
      </c>
      <c r="AR184" s="420">
        <v>1153.23</v>
      </c>
      <c r="AU184" s="420">
        <v>132</v>
      </c>
      <c r="AV184" s="420">
        <v>940</v>
      </c>
      <c r="AW184" s="420">
        <v>0.14042553191489363</v>
      </c>
      <c r="AY184" s="420">
        <v>0.5368</v>
      </c>
      <c r="AZ184" s="421">
        <v>1267</v>
      </c>
      <c r="BA184" s="420">
        <v>1398</v>
      </c>
      <c r="BB184" s="420">
        <v>0.9062947067238912</v>
      </c>
      <c r="BD184" s="420">
        <v>0</v>
      </c>
      <c r="BE184" s="420">
        <v>0</v>
      </c>
      <c r="BF184" s="421">
        <v>0</v>
      </c>
      <c r="BG184" s="421">
        <v>0</v>
      </c>
      <c r="BH184" s="419"/>
      <c r="BI184" s="421">
        <v>0</v>
      </c>
      <c r="BJ184" s="419"/>
      <c r="BK184" s="421">
        <v>1555.56</v>
      </c>
      <c r="BL184" s="421">
        <v>17169</v>
      </c>
      <c r="BM184" s="421">
        <v>-160066.965</v>
      </c>
      <c r="BN184" s="419"/>
      <c r="BO184" s="421">
        <v>172400.20626162738</v>
      </c>
      <c r="BP184" s="421">
        <v>533260</v>
      </c>
      <c r="BQ184" s="421">
        <v>148458</v>
      </c>
      <c r="BR184" s="421">
        <v>383608.90878330654</v>
      </c>
      <c r="BS184" s="421">
        <v>21691.08045287163</v>
      </c>
      <c r="BT184" s="421">
        <v>60410.255073567154</v>
      </c>
      <c r="BU184" s="421">
        <v>212891.88876775064</v>
      </c>
      <c r="BV184" s="421">
        <v>253801.99598146603</v>
      </c>
      <c r="BW184" s="421">
        <v>410291.2388869653</v>
      </c>
      <c r="BX184" s="421">
        <v>117412.21913634996</v>
      </c>
      <c r="BY184" s="421">
        <v>229967.5813498246</v>
      </c>
      <c r="BZ184" s="419"/>
      <c r="CA184" s="421">
        <v>-6665.789129536213</v>
      </c>
      <c r="CB184" s="419"/>
      <c r="CC184" s="419"/>
      <c r="CD184" s="419"/>
      <c r="CE184" s="421">
        <v>322245.5000220209</v>
      </c>
      <c r="CF184" s="421">
        <v>160579.02552630514</v>
      </c>
      <c r="CG184" s="421">
        <v>188373.1649877951</v>
      </c>
      <c r="CH184" s="421">
        <v>-15465.039615872498</v>
      </c>
      <c r="CI184" s="419"/>
      <c r="CJ184" s="421">
        <v>4626143.47006863</v>
      </c>
      <c r="CK184" s="421">
        <v>-6024</v>
      </c>
      <c r="CL184" s="421">
        <v>272825.77420000004</v>
      </c>
      <c r="CM184" s="421">
        <v>73881.30908</v>
      </c>
      <c r="CN184" s="421">
        <v>198944.46512000004</v>
      </c>
      <c r="CO184" s="419"/>
      <c r="CP184" s="419"/>
      <c r="CQ184" s="419"/>
      <c r="CR184" s="171">
        <v>1003</v>
      </c>
    </row>
    <row r="185" spans="1:96" ht="9.75">
      <c r="A185" s="203">
        <v>598</v>
      </c>
      <c r="B185" s="203" t="s">
        <v>240</v>
      </c>
      <c r="C185" s="421">
        <v>19066</v>
      </c>
      <c r="D185" s="419"/>
      <c r="E185" s="419"/>
      <c r="F185" s="419"/>
      <c r="G185" s="419"/>
      <c r="H185" s="500">
        <v>4291.05</v>
      </c>
      <c r="I185" s="419"/>
      <c r="J185" s="419"/>
      <c r="K185" s="419"/>
      <c r="L185" s="419"/>
      <c r="M185" s="419"/>
      <c r="N185" s="419"/>
      <c r="O185" s="419"/>
      <c r="P185" s="419"/>
      <c r="Q185" s="421">
        <v>1054</v>
      </c>
      <c r="R185" s="421">
        <v>182</v>
      </c>
      <c r="S185" s="421">
        <v>1245</v>
      </c>
      <c r="T185" s="421">
        <v>675</v>
      </c>
      <c r="U185" s="421">
        <v>699</v>
      </c>
      <c r="V185" s="421">
        <v>10194</v>
      </c>
      <c r="W185" s="421">
        <v>2551</v>
      </c>
      <c r="X185" s="421">
        <v>1764</v>
      </c>
      <c r="Y185" s="421">
        <v>702</v>
      </c>
      <c r="Z185" s="419"/>
      <c r="AA185" s="419"/>
      <c r="AB185" s="419"/>
      <c r="AC185" s="419"/>
      <c r="AD185" s="419"/>
      <c r="AE185" s="422">
        <v>1.0220667586731027</v>
      </c>
      <c r="AF185" s="421">
        <v>25909939.897240836</v>
      </c>
      <c r="AG185" s="420">
        <v>927</v>
      </c>
      <c r="AH185" s="420">
        <v>8666</v>
      </c>
      <c r="AJ185" s="420">
        <v>1907</v>
      </c>
      <c r="AK185" s="420">
        <v>0.10002097975453687</v>
      </c>
      <c r="AM185" s="420">
        <v>3</v>
      </c>
      <c r="AN185" s="420">
        <v>10683</v>
      </c>
      <c r="AP185" s="420">
        <v>0</v>
      </c>
      <c r="AQ185" s="420">
        <v>0</v>
      </c>
      <c r="AR185" s="420">
        <v>88.45</v>
      </c>
      <c r="AU185" s="420">
        <v>881</v>
      </c>
      <c r="AV185" s="420">
        <v>5605</v>
      </c>
      <c r="AW185" s="420">
        <v>0.15718108831400535</v>
      </c>
      <c r="AY185" s="420">
        <v>0</v>
      </c>
      <c r="AZ185" s="421">
        <v>11186</v>
      </c>
      <c r="BA185" s="420">
        <v>8027</v>
      </c>
      <c r="BB185" s="420">
        <v>1.3935467796187866</v>
      </c>
      <c r="BD185" s="420">
        <v>0</v>
      </c>
      <c r="BE185" s="420">
        <v>2</v>
      </c>
      <c r="BF185" s="421">
        <v>0</v>
      </c>
      <c r="BG185" s="421">
        <v>0</v>
      </c>
      <c r="BH185" s="419"/>
      <c r="BI185" s="421">
        <v>0</v>
      </c>
      <c r="BJ185" s="419"/>
      <c r="BK185" s="421">
        <v>6863.759999999999</v>
      </c>
      <c r="BL185" s="421">
        <v>55415</v>
      </c>
      <c r="BM185" s="421">
        <v>-941990.3165</v>
      </c>
      <c r="BN185" s="419"/>
      <c r="BO185" s="421">
        <v>-237921.06673301756</v>
      </c>
      <c r="BP185" s="421">
        <v>1399413</v>
      </c>
      <c r="BQ185" s="421">
        <v>472806</v>
      </c>
      <c r="BR185" s="421">
        <v>1012050.8967615775</v>
      </c>
      <c r="BS185" s="421">
        <v>35295.871407672465</v>
      </c>
      <c r="BT185" s="421">
        <v>186705.40611594936</v>
      </c>
      <c r="BU185" s="421">
        <v>590374.8610830926</v>
      </c>
      <c r="BV185" s="421">
        <v>933102.3237829336</v>
      </c>
      <c r="BW185" s="421">
        <v>1480886.5428554113</v>
      </c>
      <c r="BX185" s="421">
        <v>440089.8823201661</v>
      </c>
      <c r="BY185" s="421">
        <v>804269.1346674932</v>
      </c>
      <c r="BZ185" s="419"/>
      <c r="CA185" s="421">
        <v>-72742.85898174977</v>
      </c>
      <c r="CB185" s="419"/>
      <c r="CC185" s="419"/>
      <c r="CD185" s="419"/>
      <c r="CE185" s="421">
        <v>1004830.116367092</v>
      </c>
      <c r="CF185" s="421">
        <v>628956.7832199384</v>
      </c>
      <c r="CG185" s="421">
        <v>817022.3069374798</v>
      </c>
      <c r="CH185" s="421">
        <v>-94108.56493704717</v>
      </c>
      <c r="CI185" s="419"/>
      <c r="CJ185" s="421">
        <v>3368328.842680202</v>
      </c>
      <c r="CK185" s="421">
        <v>2237859</v>
      </c>
      <c r="CL185" s="421">
        <v>1152336.7786000003</v>
      </c>
      <c r="CM185" s="421">
        <v>341460.7204</v>
      </c>
      <c r="CN185" s="421">
        <v>810876.0582000003</v>
      </c>
      <c r="CO185" s="419"/>
      <c r="CP185" s="419"/>
      <c r="CQ185" s="419"/>
      <c r="CR185" s="171">
        <v>5830</v>
      </c>
    </row>
    <row r="186" spans="1:96" ht="9.75">
      <c r="A186" s="203">
        <v>601</v>
      </c>
      <c r="B186" s="203" t="s">
        <v>241</v>
      </c>
      <c r="C186" s="421">
        <v>3931</v>
      </c>
      <c r="D186" s="419"/>
      <c r="E186" s="419"/>
      <c r="F186" s="419"/>
      <c r="G186" s="419"/>
      <c r="H186" s="500">
        <v>4291.05</v>
      </c>
      <c r="I186" s="419"/>
      <c r="J186" s="419"/>
      <c r="K186" s="419"/>
      <c r="L186" s="419"/>
      <c r="M186" s="419"/>
      <c r="N186" s="419"/>
      <c r="O186" s="419"/>
      <c r="P186" s="419"/>
      <c r="Q186" s="421">
        <v>156</v>
      </c>
      <c r="R186" s="421">
        <v>45</v>
      </c>
      <c r="S186" s="421">
        <v>255</v>
      </c>
      <c r="T186" s="421">
        <v>149</v>
      </c>
      <c r="U186" s="421">
        <v>145</v>
      </c>
      <c r="V186" s="421">
        <v>1899</v>
      </c>
      <c r="W186" s="421">
        <v>659</v>
      </c>
      <c r="X186" s="421">
        <v>432</v>
      </c>
      <c r="Y186" s="421">
        <v>191</v>
      </c>
      <c r="Z186" s="419"/>
      <c r="AA186" s="419"/>
      <c r="AB186" s="419"/>
      <c r="AC186" s="419"/>
      <c r="AD186" s="419"/>
      <c r="AE186" s="422">
        <v>1.5646682282240951</v>
      </c>
      <c r="AF186" s="421">
        <v>8178108.3487808425</v>
      </c>
      <c r="AG186" s="420">
        <v>211</v>
      </c>
      <c r="AH186" s="420">
        <v>1641</v>
      </c>
      <c r="AJ186" s="420">
        <v>36</v>
      </c>
      <c r="AK186" s="420">
        <v>0.009157975069956754</v>
      </c>
      <c r="AM186" s="420">
        <v>0</v>
      </c>
      <c r="AN186" s="420">
        <v>0</v>
      </c>
      <c r="AP186" s="420">
        <v>0</v>
      </c>
      <c r="AQ186" s="420">
        <v>0</v>
      </c>
      <c r="AR186" s="420">
        <v>1074.92</v>
      </c>
      <c r="AU186" s="420">
        <v>139</v>
      </c>
      <c r="AV186" s="420">
        <v>983</v>
      </c>
      <c r="AW186" s="420">
        <v>0.14140386571719227</v>
      </c>
      <c r="AY186" s="420">
        <v>1.1799</v>
      </c>
      <c r="AZ186" s="421">
        <v>1327</v>
      </c>
      <c r="BA186" s="420">
        <v>1431</v>
      </c>
      <c r="BB186" s="420">
        <v>0.9273235499650594</v>
      </c>
      <c r="BD186" s="420">
        <v>0</v>
      </c>
      <c r="BE186" s="420">
        <v>0</v>
      </c>
      <c r="BF186" s="421">
        <v>0</v>
      </c>
      <c r="BG186" s="421">
        <v>0</v>
      </c>
      <c r="BH186" s="419"/>
      <c r="BI186" s="421">
        <v>0</v>
      </c>
      <c r="BJ186" s="419"/>
      <c r="BK186" s="421">
        <v>1415.1599999999999</v>
      </c>
      <c r="BL186" s="421">
        <v>151779</v>
      </c>
      <c r="BM186" s="421">
        <v>-119936.465</v>
      </c>
      <c r="BN186" s="419"/>
      <c r="BO186" s="421">
        <v>-25694.288820859045</v>
      </c>
      <c r="BP186" s="421">
        <v>435454</v>
      </c>
      <c r="BQ186" s="421">
        <v>135058</v>
      </c>
      <c r="BR186" s="421">
        <v>346967.2032462885</v>
      </c>
      <c r="BS186" s="421">
        <v>19218.919902524325</v>
      </c>
      <c r="BT186" s="421">
        <v>38454.63865206143</v>
      </c>
      <c r="BU186" s="421">
        <v>181707.73576224397</v>
      </c>
      <c r="BV186" s="421">
        <v>245469.4342888694</v>
      </c>
      <c r="BW186" s="421">
        <v>397891.3351114895</v>
      </c>
      <c r="BX186" s="421">
        <v>111904.98708906565</v>
      </c>
      <c r="BY186" s="421">
        <v>209324.67411016495</v>
      </c>
      <c r="BZ186" s="419"/>
      <c r="CA186" s="421">
        <v>-12280.19243447551</v>
      </c>
      <c r="CB186" s="419"/>
      <c r="CC186" s="419"/>
      <c r="CD186" s="419"/>
      <c r="CE186" s="421">
        <v>289345.97868636297</v>
      </c>
      <c r="CF186" s="421">
        <v>156993.39808922878</v>
      </c>
      <c r="CG186" s="421">
        <v>187787.75004090078</v>
      </c>
      <c r="CH186" s="421">
        <v>-13646.675635565367</v>
      </c>
      <c r="CI186" s="419"/>
      <c r="CJ186" s="421">
        <v>3790362.1475994163</v>
      </c>
      <c r="CK186" s="421">
        <v>419846</v>
      </c>
      <c r="CL186" s="421">
        <v>47917.774600000004</v>
      </c>
      <c r="CM186" s="421">
        <v>76787.67488</v>
      </c>
      <c r="CN186" s="421">
        <v>-28869.90028</v>
      </c>
      <c r="CO186" s="419"/>
      <c r="CP186" s="419"/>
      <c r="CQ186" s="419"/>
      <c r="CR186" s="171">
        <v>997</v>
      </c>
    </row>
    <row r="187" spans="1:96" ht="9.75">
      <c r="A187" s="203">
        <v>604</v>
      </c>
      <c r="B187" s="203" t="s">
        <v>242</v>
      </c>
      <c r="C187" s="421">
        <v>19803</v>
      </c>
      <c r="D187" s="419"/>
      <c r="E187" s="419"/>
      <c r="F187" s="419"/>
      <c r="G187" s="419"/>
      <c r="H187" s="500">
        <v>4291.05</v>
      </c>
      <c r="I187" s="419"/>
      <c r="J187" s="419"/>
      <c r="K187" s="419"/>
      <c r="L187" s="419"/>
      <c r="M187" s="419"/>
      <c r="N187" s="419"/>
      <c r="O187" s="419"/>
      <c r="P187" s="419"/>
      <c r="Q187" s="421">
        <v>1338</v>
      </c>
      <c r="R187" s="421">
        <v>296</v>
      </c>
      <c r="S187" s="421">
        <v>1764</v>
      </c>
      <c r="T187" s="421">
        <v>829</v>
      </c>
      <c r="U187" s="421">
        <v>773</v>
      </c>
      <c r="V187" s="421">
        <v>11184</v>
      </c>
      <c r="W187" s="421">
        <v>2044</v>
      </c>
      <c r="X187" s="421">
        <v>1223</v>
      </c>
      <c r="Y187" s="421">
        <v>352</v>
      </c>
      <c r="Z187" s="419"/>
      <c r="AA187" s="419"/>
      <c r="AB187" s="419"/>
      <c r="AC187" s="419"/>
      <c r="AD187" s="419"/>
      <c r="AE187" s="422">
        <v>0.7748819563341246</v>
      </c>
      <c r="AF187" s="421">
        <v>20403002.79215787</v>
      </c>
      <c r="AG187" s="420">
        <v>970</v>
      </c>
      <c r="AH187" s="420">
        <v>9588</v>
      </c>
      <c r="AJ187" s="420">
        <v>753</v>
      </c>
      <c r="AK187" s="420">
        <v>0.03802454173610059</v>
      </c>
      <c r="AM187" s="420">
        <v>0</v>
      </c>
      <c r="AN187" s="420">
        <v>72</v>
      </c>
      <c r="AP187" s="420">
        <v>0</v>
      </c>
      <c r="AQ187" s="420">
        <v>0</v>
      </c>
      <c r="AR187" s="420">
        <v>81.42</v>
      </c>
      <c r="AU187" s="420">
        <v>453</v>
      </c>
      <c r="AV187" s="420">
        <v>6949</v>
      </c>
      <c r="AW187" s="420">
        <v>0.06518923586127501</v>
      </c>
      <c r="AY187" s="420">
        <v>0</v>
      </c>
      <c r="AZ187" s="421">
        <v>8496</v>
      </c>
      <c r="BA187" s="420">
        <v>9189</v>
      </c>
      <c r="BB187" s="420">
        <v>0.9245837414299706</v>
      </c>
      <c r="BD187" s="420">
        <v>0</v>
      </c>
      <c r="BE187" s="420">
        <v>1</v>
      </c>
      <c r="BF187" s="421">
        <v>0</v>
      </c>
      <c r="BG187" s="421">
        <v>0</v>
      </c>
      <c r="BH187" s="419"/>
      <c r="BI187" s="421">
        <v>0</v>
      </c>
      <c r="BJ187" s="419"/>
      <c r="BK187" s="421">
        <v>7129.08</v>
      </c>
      <c r="BL187" s="421">
        <v>147112</v>
      </c>
      <c r="BM187" s="421">
        <v>-744479.825</v>
      </c>
      <c r="BN187" s="419"/>
      <c r="BO187" s="421">
        <v>-475239.0150869675</v>
      </c>
      <c r="BP187" s="421">
        <v>962488</v>
      </c>
      <c r="BQ187" s="421">
        <v>315242</v>
      </c>
      <c r="BR187" s="421">
        <v>572600.7651110376</v>
      </c>
      <c r="BS187" s="421">
        <v>-261.91042154564855</v>
      </c>
      <c r="BT187" s="421">
        <v>-137431.19608466787</v>
      </c>
      <c r="BU187" s="421">
        <v>318185.54417433374</v>
      </c>
      <c r="BV187" s="421">
        <v>684278.3250537483</v>
      </c>
      <c r="BW187" s="421">
        <v>1214601.6352733036</v>
      </c>
      <c r="BX187" s="421">
        <v>334343.7114681549</v>
      </c>
      <c r="BY187" s="421">
        <v>593427.0950155176</v>
      </c>
      <c r="BZ187" s="419"/>
      <c r="CA187" s="421">
        <v>26555.90911133503</v>
      </c>
      <c r="CB187" s="419"/>
      <c r="CC187" s="419"/>
      <c r="CD187" s="419"/>
      <c r="CE187" s="421">
        <v>705974.5016590387</v>
      </c>
      <c r="CF187" s="421">
        <v>505123.56517847604</v>
      </c>
      <c r="CG187" s="421">
        <v>698852.9843873793</v>
      </c>
      <c r="CH187" s="421">
        <v>-109474.41957323898</v>
      </c>
      <c r="CI187" s="419"/>
      <c r="CJ187" s="421">
        <v>-3247292.3127857465</v>
      </c>
      <c r="CK187" s="421">
        <v>-2325320</v>
      </c>
      <c r="CL187" s="421">
        <v>302709.1764</v>
      </c>
      <c r="CM187" s="421">
        <v>1225423.681028</v>
      </c>
      <c r="CN187" s="421">
        <v>-922714.5046280001</v>
      </c>
      <c r="CO187" s="419"/>
      <c r="CP187" s="419"/>
      <c r="CQ187" s="419"/>
      <c r="CR187" s="171">
        <v>6694</v>
      </c>
    </row>
    <row r="188" spans="1:96" ht="9.75">
      <c r="A188" s="203">
        <v>607</v>
      </c>
      <c r="B188" s="203" t="s">
        <v>243</v>
      </c>
      <c r="C188" s="421">
        <v>4201</v>
      </c>
      <c r="D188" s="419"/>
      <c r="E188" s="419"/>
      <c r="F188" s="419"/>
      <c r="G188" s="419"/>
      <c r="H188" s="500">
        <v>4291.05</v>
      </c>
      <c r="I188" s="419"/>
      <c r="J188" s="419"/>
      <c r="K188" s="419"/>
      <c r="L188" s="419"/>
      <c r="M188" s="419"/>
      <c r="N188" s="419"/>
      <c r="O188" s="419"/>
      <c r="P188" s="419"/>
      <c r="Q188" s="421">
        <v>210</v>
      </c>
      <c r="R188" s="421">
        <v>37</v>
      </c>
      <c r="S188" s="421">
        <v>233</v>
      </c>
      <c r="T188" s="421">
        <v>115</v>
      </c>
      <c r="U188" s="421">
        <v>94</v>
      </c>
      <c r="V188" s="421">
        <v>2088</v>
      </c>
      <c r="W188" s="421">
        <v>844</v>
      </c>
      <c r="X188" s="421">
        <v>414</v>
      </c>
      <c r="Y188" s="421">
        <v>166</v>
      </c>
      <c r="Z188" s="419"/>
      <c r="AA188" s="419"/>
      <c r="AB188" s="419"/>
      <c r="AC188" s="419"/>
      <c r="AD188" s="419"/>
      <c r="AE188" s="422">
        <v>1.5072969598653603</v>
      </c>
      <c r="AF188" s="421">
        <v>8419359.579080177</v>
      </c>
      <c r="AG188" s="420">
        <v>284</v>
      </c>
      <c r="AH188" s="420">
        <v>1740</v>
      </c>
      <c r="AJ188" s="420">
        <v>40</v>
      </c>
      <c r="AK188" s="420">
        <v>0.00952154248988336</v>
      </c>
      <c r="AM188" s="420">
        <v>0</v>
      </c>
      <c r="AN188" s="420">
        <v>4</v>
      </c>
      <c r="AP188" s="420">
        <v>0</v>
      </c>
      <c r="AQ188" s="420">
        <v>0</v>
      </c>
      <c r="AR188" s="420">
        <v>804.16</v>
      </c>
      <c r="AU188" s="420">
        <v>133</v>
      </c>
      <c r="AV188" s="420">
        <v>1068</v>
      </c>
      <c r="AW188" s="420">
        <v>0.12453183520599251</v>
      </c>
      <c r="AY188" s="420">
        <v>0</v>
      </c>
      <c r="AZ188" s="421">
        <v>1180</v>
      </c>
      <c r="BA188" s="420">
        <v>1445</v>
      </c>
      <c r="BB188" s="420">
        <v>0.8166089965397924</v>
      </c>
      <c r="BD188" s="420">
        <v>0</v>
      </c>
      <c r="BE188" s="420">
        <v>0</v>
      </c>
      <c r="BF188" s="421">
        <v>0</v>
      </c>
      <c r="BG188" s="421">
        <v>0</v>
      </c>
      <c r="BH188" s="419"/>
      <c r="BI188" s="421">
        <v>0</v>
      </c>
      <c r="BJ188" s="419"/>
      <c r="BK188" s="421">
        <v>1512.36</v>
      </c>
      <c r="BL188" s="421">
        <v>420601</v>
      </c>
      <c r="BM188" s="421">
        <v>-149610.0525</v>
      </c>
      <c r="BN188" s="419"/>
      <c r="BO188" s="421">
        <v>80441.11767227948</v>
      </c>
      <c r="BP188" s="421">
        <v>474631</v>
      </c>
      <c r="BQ188" s="421">
        <v>148166</v>
      </c>
      <c r="BR188" s="421">
        <v>409995.1621572207</v>
      </c>
      <c r="BS188" s="421">
        <v>23164.831209844506</v>
      </c>
      <c r="BT188" s="421">
        <v>70872.7202046957</v>
      </c>
      <c r="BU188" s="421">
        <v>175906.08465712712</v>
      </c>
      <c r="BV188" s="421">
        <v>265433.29563446343</v>
      </c>
      <c r="BW188" s="421">
        <v>408578.5953259517</v>
      </c>
      <c r="BX188" s="421">
        <v>117579.48942582084</v>
      </c>
      <c r="BY188" s="421">
        <v>217648.2905222606</v>
      </c>
      <c r="BZ188" s="419"/>
      <c r="CA188" s="421">
        <v>49282.06594615624</v>
      </c>
      <c r="CB188" s="419"/>
      <c r="CC188" s="419"/>
      <c r="CD188" s="419"/>
      <c r="CE188" s="421">
        <v>306857.3092131987</v>
      </c>
      <c r="CF188" s="421">
        <v>160815.64675469534</v>
      </c>
      <c r="CG188" s="421">
        <v>188958.79308668108</v>
      </c>
      <c r="CH188" s="421">
        <v>-13359.045139679518</v>
      </c>
      <c r="CI188" s="419"/>
      <c r="CJ188" s="421">
        <v>4826357.547751224</v>
      </c>
      <c r="CK188" s="421">
        <v>-585937</v>
      </c>
      <c r="CL188" s="421">
        <v>26827.992000000002</v>
      </c>
      <c r="CM188" s="421">
        <v>70885.51664</v>
      </c>
      <c r="CN188" s="421">
        <v>-44057.52464</v>
      </c>
      <c r="CO188" s="419"/>
      <c r="CP188" s="419"/>
      <c r="CQ188" s="419"/>
      <c r="CR188" s="171">
        <v>917</v>
      </c>
    </row>
    <row r="189" spans="1:96" ht="9.75">
      <c r="A189" s="203">
        <v>608</v>
      </c>
      <c r="B189" s="203" t="s">
        <v>244</v>
      </c>
      <c r="C189" s="421">
        <v>2063</v>
      </c>
      <c r="D189" s="419"/>
      <c r="E189" s="419"/>
      <c r="F189" s="419"/>
      <c r="G189" s="419"/>
      <c r="H189" s="500">
        <v>4291.05</v>
      </c>
      <c r="I189" s="419"/>
      <c r="J189" s="419"/>
      <c r="K189" s="419"/>
      <c r="L189" s="419"/>
      <c r="M189" s="419"/>
      <c r="N189" s="419"/>
      <c r="O189" s="419"/>
      <c r="P189" s="419"/>
      <c r="Q189" s="421">
        <v>93</v>
      </c>
      <c r="R189" s="421">
        <v>23</v>
      </c>
      <c r="S189" s="421">
        <v>133</v>
      </c>
      <c r="T189" s="421">
        <v>81</v>
      </c>
      <c r="U189" s="421">
        <v>62</v>
      </c>
      <c r="V189" s="421">
        <v>1014</v>
      </c>
      <c r="W189" s="421">
        <v>340</v>
      </c>
      <c r="X189" s="421">
        <v>221</v>
      </c>
      <c r="Y189" s="421">
        <v>96</v>
      </c>
      <c r="Z189" s="419"/>
      <c r="AA189" s="419"/>
      <c r="AB189" s="419"/>
      <c r="AC189" s="419"/>
      <c r="AD189" s="419"/>
      <c r="AE189" s="422">
        <v>1.230372615545635</v>
      </c>
      <c r="AF189" s="421">
        <v>3374919.6541659296</v>
      </c>
      <c r="AG189" s="420">
        <v>98</v>
      </c>
      <c r="AH189" s="420">
        <v>855</v>
      </c>
      <c r="AJ189" s="420">
        <v>21</v>
      </c>
      <c r="AK189" s="420">
        <v>0.010179350460494426</v>
      </c>
      <c r="AM189" s="420">
        <v>0</v>
      </c>
      <c r="AN189" s="420">
        <v>2</v>
      </c>
      <c r="AP189" s="420">
        <v>0</v>
      </c>
      <c r="AQ189" s="420">
        <v>0</v>
      </c>
      <c r="AR189" s="420">
        <v>301.18</v>
      </c>
      <c r="AU189" s="420">
        <v>84</v>
      </c>
      <c r="AV189" s="420">
        <v>559</v>
      </c>
      <c r="AW189" s="420">
        <v>0.15026833631484796</v>
      </c>
      <c r="AY189" s="420">
        <v>0</v>
      </c>
      <c r="AZ189" s="421">
        <v>532</v>
      </c>
      <c r="BA189" s="420">
        <v>739</v>
      </c>
      <c r="BB189" s="420">
        <v>0.7198917456021651</v>
      </c>
      <c r="BD189" s="420">
        <v>0</v>
      </c>
      <c r="BE189" s="420">
        <v>0</v>
      </c>
      <c r="BF189" s="421">
        <v>0</v>
      </c>
      <c r="BG189" s="421">
        <v>0</v>
      </c>
      <c r="BH189" s="419"/>
      <c r="BI189" s="421">
        <v>0</v>
      </c>
      <c r="BJ189" s="419"/>
      <c r="BK189" s="421">
        <v>742.68</v>
      </c>
      <c r="BL189" s="421">
        <v>69250</v>
      </c>
      <c r="BM189" s="421">
        <v>-47627.405</v>
      </c>
      <c r="BN189" s="419"/>
      <c r="BO189" s="421">
        <v>-60503.46341793239</v>
      </c>
      <c r="BP189" s="421">
        <v>227685</v>
      </c>
      <c r="BQ189" s="421">
        <v>68669</v>
      </c>
      <c r="BR189" s="421">
        <v>174137.51447144392</v>
      </c>
      <c r="BS189" s="421">
        <v>9685.854308653408</v>
      </c>
      <c r="BT189" s="421">
        <v>19472.155895094435</v>
      </c>
      <c r="BU189" s="421">
        <v>85293.42274896333</v>
      </c>
      <c r="BV189" s="421">
        <v>118840.12738225592</v>
      </c>
      <c r="BW189" s="421">
        <v>187810.57467574356</v>
      </c>
      <c r="BX189" s="421">
        <v>47927.0629042701</v>
      </c>
      <c r="BY189" s="421">
        <v>97253.69510786733</v>
      </c>
      <c r="BZ189" s="419"/>
      <c r="CA189" s="421">
        <v>9417.305731571021</v>
      </c>
      <c r="CB189" s="419"/>
      <c r="CC189" s="419"/>
      <c r="CD189" s="419"/>
      <c r="CE189" s="421">
        <v>136571.18834184707</v>
      </c>
      <c r="CF189" s="421">
        <v>75138.55030960144</v>
      </c>
      <c r="CG189" s="421">
        <v>89448.55169304609</v>
      </c>
      <c r="CH189" s="421">
        <v>-7943.40850204833</v>
      </c>
      <c r="CI189" s="419"/>
      <c r="CJ189" s="421">
        <v>1832455.4543511728</v>
      </c>
      <c r="CK189" s="421">
        <v>378114</v>
      </c>
      <c r="CL189" s="421">
        <v>62598.64800000001</v>
      </c>
      <c r="CM189" s="421">
        <v>98369.304</v>
      </c>
      <c r="CN189" s="421">
        <v>-35770.655999999995</v>
      </c>
      <c r="CO189" s="419"/>
      <c r="CP189" s="419"/>
      <c r="CQ189" s="419"/>
      <c r="CR189" s="171">
        <v>517</v>
      </c>
    </row>
    <row r="190" spans="1:96" ht="9.75">
      <c r="A190" s="203">
        <v>609</v>
      </c>
      <c r="B190" s="203" t="s">
        <v>245</v>
      </c>
      <c r="C190" s="421">
        <v>83684</v>
      </c>
      <c r="D190" s="419"/>
      <c r="E190" s="419"/>
      <c r="F190" s="419"/>
      <c r="G190" s="419"/>
      <c r="H190" s="500">
        <v>4291.05</v>
      </c>
      <c r="I190" s="419"/>
      <c r="J190" s="419"/>
      <c r="K190" s="419"/>
      <c r="L190" s="419"/>
      <c r="M190" s="419"/>
      <c r="N190" s="419"/>
      <c r="O190" s="419"/>
      <c r="P190" s="419"/>
      <c r="Q190" s="421">
        <v>4071</v>
      </c>
      <c r="R190" s="421">
        <v>779</v>
      </c>
      <c r="S190" s="421">
        <v>5074</v>
      </c>
      <c r="T190" s="421">
        <v>2631</v>
      </c>
      <c r="U190" s="421">
        <v>2656</v>
      </c>
      <c r="V190" s="421">
        <v>46448</v>
      </c>
      <c r="W190" s="421">
        <v>11982</v>
      </c>
      <c r="X190" s="421">
        <v>7157</v>
      </c>
      <c r="Y190" s="421">
        <v>2886</v>
      </c>
      <c r="Z190" s="419"/>
      <c r="AA190" s="419"/>
      <c r="AB190" s="419"/>
      <c r="AC190" s="419"/>
      <c r="AD190" s="419"/>
      <c r="AE190" s="422">
        <v>1.0263569868060989</v>
      </c>
      <c r="AF190" s="421">
        <v>114200610.99444708</v>
      </c>
      <c r="AG190" s="420">
        <v>5827</v>
      </c>
      <c r="AH190" s="420">
        <v>38496</v>
      </c>
      <c r="AJ190" s="420">
        <v>3090</v>
      </c>
      <c r="AK190" s="420">
        <v>0.03692462119401558</v>
      </c>
      <c r="AM190" s="420">
        <v>0</v>
      </c>
      <c r="AN190" s="420">
        <v>466</v>
      </c>
      <c r="AP190" s="420">
        <v>3</v>
      </c>
      <c r="AQ190" s="420">
        <v>916</v>
      </c>
      <c r="AR190" s="420">
        <v>1156.1</v>
      </c>
      <c r="AU190" s="420">
        <v>3002</v>
      </c>
      <c r="AV190" s="420">
        <v>24503</v>
      </c>
      <c r="AW190" s="420">
        <v>0.12251561033342856</v>
      </c>
      <c r="AY190" s="420">
        <v>0</v>
      </c>
      <c r="AZ190" s="421">
        <v>34375</v>
      </c>
      <c r="BA190" s="420">
        <v>33207</v>
      </c>
      <c r="BB190" s="420">
        <v>1.0351733068328968</v>
      </c>
      <c r="BD190" s="420">
        <v>0</v>
      </c>
      <c r="BE190" s="420">
        <v>1</v>
      </c>
      <c r="BF190" s="421">
        <v>0</v>
      </c>
      <c r="BG190" s="421">
        <v>0</v>
      </c>
      <c r="BH190" s="419"/>
      <c r="BI190" s="421">
        <v>0</v>
      </c>
      <c r="BJ190" s="419"/>
      <c r="BK190" s="421">
        <v>30126.239999999998</v>
      </c>
      <c r="BL190" s="421">
        <v>2961916</v>
      </c>
      <c r="BM190" s="421">
        <v>-4785083.2549</v>
      </c>
      <c r="BN190" s="419"/>
      <c r="BO190" s="421">
        <v>391170.84370395355</v>
      </c>
      <c r="BP190" s="421">
        <v>5977751</v>
      </c>
      <c r="BQ190" s="421">
        <v>2064395</v>
      </c>
      <c r="BR190" s="421">
        <v>4911326.570886874</v>
      </c>
      <c r="BS190" s="421">
        <v>211502.83104590638</v>
      </c>
      <c r="BT190" s="421">
        <v>284484.42643885675</v>
      </c>
      <c r="BU190" s="421">
        <v>2351587.2856159857</v>
      </c>
      <c r="BV190" s="421">
        <v>4132607.308693329</v>
      </c>
      <c r="BW190" s="421">
        <v>6287328.97257184</v>
      </c>
      <c r="BX190" s="421">
        <v>2094464.6514643608</v>
      </c>
      <c r="BY190" s="421">
        <v>3575023.8903953033</v>
      </c>
      <c r="BZ190" s="419"/>
      <c r="CA190" s="421">
        <v>297061.489536478</v>
      </c>
      <c r="CB190" s="419"/>
      <c r="CC190" s="419"/>
      <c r="CD190" s="419"/>
      <c r="CE190" s="421">
        <v>4862199.847401472</v>
      </c>
      <c r="CF190" s="421">
        <v>2815404.6290616356</v>
      </c>
      <c r="CG190" s="421">
        <v>3548868.0881050876</v>
      </c>
      <c r="CH190" s="421">
        <v>-382308.2304852138</v>
      </c>
      <c r="CI190" s="419"/>
      <c r="CJ190" s="421">
        <v>35779601.80141846</v>
      </c>
      <c r="CK190" s="421">
        <v>-5604125</v>
      </c>
      <c r="CL190" s="421">
        <v>1362712.9491999988</v>
      </c>
      <c r="CM190" s="421">
        <v>4315930.856340003</v>
      </c>
      <c r="CN190" s="421">
        <v>-2953217.9071400044</v>
      </c>
      <c r="CO190" s="419"/>
      <c r="CP190" s="419"/>
      <c r="CQ190" s="419"/>
      <c r="CR190" s="171">
        <v>24985</v>
      </c>
    </row>
    <row r="191" spans="1:96" ht="9.75">
      <c r="A191" s="203">
        <v>611</v>
      </c>
      <c r="B191" s="203" t="s">
        <v>246</v>
      </c>
      <c r="C191" s="421">
        <v>5070</v>
      </c>
      <c r="D191" s="419"/>
      <c r="E191" s="419"/>
      <c r="F191" s="419"/>
      <c r="G191" s="419"/>
      <c r="H191" s="500">
        <v>4291.05</v>
      </c>
      <c r="I191" s="419"/>
      <c r="J191" s="419"/>
      <c r="K191" s="419"/>
      <c r="L191" s="419"/>
      <c r="M191" s="419"/>
      <c r="N191" s="419"/>
      <c r="O191" s="419"/>
      <c r="P191" s="419"/>
      <c r="Q191" s="421">
        <v>302</v>
      </c>
      <c r="R191" s="421">
        <v>65</v>
      </c>
      <c r="S191" s="421">
        <v>452</v>
      </c>
      <c r="T191" s="421">
        <v>251</v>
      </c>
      <c r="U191" s="421">
        <v>276</v>
      </c>
      <c r="V191" s="421">
        <v>2879</v>
      </c>
      <c r="W191" s="421">
        <v>528</v>
      </c>
      <c r="X191" s="421">
        <v>226</v>
      </c>
      <c r="Y191" s="421">
        <v>91</v>
      </c>
      <c r="Z191" s="419"/>
      <c r="AA191" s="419"/>
      <c r="AB191" s="419"/>
      <c r="AC191" s="419"/>
      <c r="AD191" s="419"/>
      <c r="AE191" s="422">
        <v>0.7260423589536245</v>
      </c>
      <c r="AF191" s="421">
        <v>4894377.593399192</v>
      </c>
      <c r="AG191" s="420">
        <v>227</v>
      </c>
      <c r="AH191" s="420">
        <v>2538</v>
      </c>
      <c r="AJ191" s="420">
        <v>170</v>
      </c>
      <c r="AK191" s="420">
        <v>0.03353057199211045</v>
      </c>
      <c r="AM191" s="420">
        <v>0</v>
      </c>
      <c r="AN191" s="420">
        <v>115</v>
      </c>
      <c r="AP191" s="420">
        <v>0</v>
      </c>
      <c r="AQ191" s="420">
        <v>0</v>
      </c>
      <c r="AR191" s="420">
        <v>146.52</v>
      </c>
      <c r="AU191" s="420">
        <v>225</v>
      </c>
      <c r="AV191" s="420">
        <v>1715</v>
      </c>
      <c r="AW191" s="420">
        <v>0.13119533527696792</v>
      </c>
      <c r="AY191" s="420">
        <v>0</v>
      </c>
      <c r="AZ191" s="421">
        <v>1115</v>
      </c>
      <c r="BA191" s="420">
        <v>2435</v>
      </c>
      <c r="BB191" s="420">
        <v>0.45790554414784396</v>
      </c>
      <c r="BD191" s="420">
        <v>0</v>
      </c>
      <c r="BE191" s="420">
        <v>0</v>
      </c>
      <c r="BF191" s="421">
        <v>0</v>
      </c>
      <c r="BG191" s="421">
        <v>0</v>
      </c>
      <c r="BH191" s="419"/>
      <c r="BI191" s="421">
        <v>0</v>
      </c>
      <c r="BJ191" s="419"/>
      <c r="BK191" s="421">
        <v>1825.2</v>
      </c>
      <c r="BL191" s="421">
        <v>-12387</v>
      </c>
      <c r="BM191" s="421">
        <v>-107528.055</v>
      </c>
      <c r="BN191" s="419"/>
      <c r="BO191" s="421">
        <v>-66364.87476905528</v>
      </c>
      <c r="BP191" s="421">
        <v>383656</v>
      </c>
      <c r="BQ191" s="421">
        <v>117909</v>
      </c>
      <c r="BR191" s="421">
        <v>224768.97935533107</v>
      </c>
      <c r="BS191" s="421">
        <v>-45.47227589964298</v>
      </c>
      <c r="BT191" s="421">
        <v>9676.06178048576</v>
      </c>
      <c r="BU191" s="421">
        <v>53223.876379360496</v>
      </c>
      <c r="BV191" s="421">
        <v>245023.06201938295</v>
      </c>
      <c r="BW191" s="421">
        <v>374090.33204037865</v>
      </c>
      <c r="BX191" s="421">
        <v>101058.82328673525</v>
      </c>
      <c r="BY191" s="421">
        <v>182531.78083425</v>
      </c>
      <c r="BZ191" s="419"/>
      <c r="CA191" s="421">
        <v>18322.164472681998</v>
      </c>
      <c r="CB191" s="419"/>
      <c r="CC191" s="419"/>
      <c r="CD191" s="419"/>
      <c r="CE191" s="421">
        <v>234653.47370810778</v>
      </c>
      <c r="CF191" s="421">
        <v>155606.96812922566</v>
      </c>
      <c r="CG191" s="421">
        <v>193999.67945316955</v>
      </c>
      <c r="CH191" s="421">
        <v>-23337.780098771287</v>
      </c>
      <c r="CI191" s="419"/>
      <c r="CJ191" s="421">
        <v>905396.1370039172</v>
      </c>
      <c r="CK191" s="421">
        <v>-1287903</v>
      </c>
      <c r="CL191" s="421">
        <v>213282.5364</v>
      </c>
      <c r="CM191" s="421">
        <v>262392.6662</v>
      </c>
      <c r="CN191" s="421">
        <v>-49110.129799999966</v>
      </c>
      <c r="CO191" s="419"/>
      <c r="CP191" s="419"/>
      <c r="CQ191" s="419"/>
      <c r="CR191" s="171">
        <v>1743</v>
      </c>
    </row>
    <row r="192" spans="1:96" ht="9.75">
      <c r="A192" s="203">
        <v>638</v>
      </c>
      <c r="B192" s="203" t="s">
        <v>247</v>
      </c>
      <c r="C192" s="421">
        <v>50619</v>
      </c>
      <c r="D192" s="419"/>
      <c r="E192" s="419"/>
      <c r="F192" s="419"/>
      <c r="G192" s="419"/>
      <c r="H192" s="500">
        <v>4291.05</v>
      </c>
      <c r="I192" s="419"/>
      <c r="J192" s="419"/>
      <c r="K192" s="419"/>
      <c r="L192" s="419"/>
      <c r="M192" s="419"/>
      <c r="N192" s="419"/>
      <c r="O192" s="419"/>
      <c r="P192" s="419"/>
      <c r="Q192" s="421">
        <v>2847</v>
      </c>
      <c r="R192" s="421">
        <v>573</v>
      </c>
      <c r="S192" s="421">
        <v>3745</v>
      </c>
      <c r="T192" s="421">
        <v>1924</v>
      </c>
      <c r="U192" s="421">
        <v>1882</v>
      </c>
      <c r="V192" s="421">
        <v>28602</v>
      </c>
      <c r="W192" s="421">
        <v>6380</v>
      </c>
      <c r="X192" s="421">
        <v>3444</v>
      </c>
      <c r="Y192" s="421">
        <v>1222</v>
      </c>
      <c r="Z192" s="419"/>
      <c r="AA192" s="419"/>
      <c r="AB192" s="419"/>
      <c r="AC192" s="419"/>
      <c r="AD192" s="419"/>
      <c r="AE192" s="422">
        <v>0.8814279070378432</v>
      </c>
      <c r="AF192" s="421">
        <v>59323656.398210526</v>
      </c>
      <c r="AG192" s="420">
        <v>2940</v>
      </c>
      <c r="AH192" s="420">
        <v>24789</v>
      </c>
      <c r="AJ192" s="420">
        <v>3677</v>
      </c>
      <c r="AK192" s="420">
        <v>0.07264070803453249</v>
      </c>
      <c r="AM192" s="420">
        <v>1</v>
      </c>
      <c r="AN192" s="420">
        <v>14554</v>
      </c>
      <c r="AP192" s="420">
        <v>3</v>
      </c>
      <c r="AQ192" s="420">
        <v>1723</v>
      </c>
      <c r="AR192" s="420">
        <v>654.55</v>
      </c>
      <c r="AU192" s="420">
        <v>2224</v>
      </c>
      <c r="AV192" s="420">
        <v>16385</v>
      </c>
      <c r="AW192" s="420">
        <v>0.1357339029600244</v>
      </c>
      <c r="AY192" s="420">
        <v>0</v>
      </c>
      <c r="AZ192" s="421">
        <v>21483</v>
      </c>
      <c r="BA192" s="420">
        <v>22695</v>
      </c>
      <c r="BB192" s="420">
        <v>0.9465961665565102</v>
      </c>
      <c r="BD192" s="420">
        <v>0</v>
      </c>
      <c r="BE192" s="420">
        <v>0</v>
      </c>
      <c r="BF192" s="421">
        <v>0</v>
      </c>
      <c r="BG192" s="421">
        <v>0</v>
      </c>
      <c r="BH192" s="419"/>
      <c r="BI192" s="421">
        <v>0</v>
      </c>
      <c r="BJ192" s="419"/>
      <c r="BK192" s="421">
        <v>18222.84</v>
      </c>
      <c r="BL192" s="421">
        <v>340227</v>
      </c>
      <c r="BM192" s="421">
        <v>-2626030.20125</v>
      </c>
      <c r="BN192" s="419"/>
      <c r="BO192" s="421">
        <v>-441406.7972930819</v>
      </c>
      <c r="BP192" s="421">
        <v>3312713</v>
      </c>
      <c r="BQ192" s="421">
        <v>1135672</v>
      </c>
      <c r="BR192" s="421">
        <v>2360718.5689561497</v>
      </c>
      <c r="BS192" s="421">
        <v>50410.92073674268</v>
      </c>
      <c r="BT192" s="421">
        <v>227364.6802771861</v>
      </c>
      <c r="BU192" s="421">
        <v>805241.288831554</v>
      </c>
      <c r="BV192" s="421">
        <v>2210620.0389932</v>
      </c>
      <c r="BW192" s="421">
        <v>3474053.090596174</v>
      </c>
      <c r="BX192" s="421">
        <v>1103991.4519041427</v>
      </c>
      <c r="BY192" s="421">
        <v>1855402.0311445042</v>
      </c>
      <c r="BZ192" s="419"/>
      <c r="CA192" s="421">
        <v>-144867.640737931</v>
      </c>
      <c r="CB192" s="419"/>
      <c r="CC192" s="419"/>
      <c r="CD192" s="419"/>
      <c r="CE192" s="421">
        <v>2362034.720120069</v>
      </c>
      <c r="CF192" s="421">
        <v>1514885.2425711711</v>
      </c>
      <c r="CG192" s="421">
        <v>1953298.4942977151</v>
      </c>
      <c r="CH192" s="421">
        <v>-282402.1770665677</v>
      </c>
      <c r="CI192" s="419"/>
      <c r="CJ192" s="421">
        <v>-16677608.734777719</v>
      </c>
      <c r="CK192" s="421">
        <v>-691202</v>
      </c>
      <c r="CL192" s="421">
        <v>1057022.8848</v>
      </c>
      <c r="CM192" s="421">
        <v>1242538.4494799997</v>
      </c>
      <c r="CN192" s="421">
        <v>-185515.5646799996</v>
      </c>
      <c r="CO192" s="419"/>
      <c r="CP192" s="419"/>
      <c r="CQ192" s="419"/>
      <c r="CR192" s="171">
        <v>15785</v>
      </c>
    </row>
    <row r="193" spans="1:96" ht="9.75">
      <c r="A193" s="203">
        <v>614</v>
      </c>
      <c r="B193" s="203" t="s">
        <v>248</v>
      </c>
      <c r="C193" s="421">
        <v>3117</v>
      </c>
      <c r="D193" s="419"/>
      <c r="E193" s="419"/>
      <c r="F193" s="419"/>
      <c r="G193" s="419"/>
      <c r="H193" s="500">
        <v>4291.05</v>
      </c>
      <c r="I193" s="419"/>
      <c r="J193" s="419"/>
      <c r="K193" s="419"/>
      <c r="L193" s="419"/>
      <c r="M193" s="419"/>
      <c r="N193" s="419"/>
      <c r="O193" s="419"/>
      <c r="P193" s="419"/>
      <c r="Q193" s="421">
        <v>72</v>
      </c>
      <c r="R193" s="421">
        <v>25</v>
      </c>
      <c r="S193" s="421">
        <v>118</v>
      </c>
      <c r="T193" s="421">
        <v>68</v>
      </c>
      <c r="U193" s="421">
        <v>82</v>
      </c>
      <c r="V193" s="421">
        <v>1469</v>
      </c>
      <c r="W193" s="421">
        <v>752</v>
      </c>
      <c r="X193" s="421">
        <v>396</v>
      </c>
      <c r="Y193" s="421">
        <v>135</v>
      </c>
      <c r="Z193" s="419"/>
      <c r="AA193" s="419"/>
      <c r="AB193" s="419"/>
      <c r="AC193" s="419"/>
      <c r="AD193" s="419"/>
      <c r="AE193" s="422">
        <v>1.7267430375572206</v>
      </c>
      <c r="AF193" s="421">
        <v>7156358.163348209</v>
      </c>
      <c r="AG193" s="420">
        <v>214</v>
      </c>
      <c r="AH193" s="420">
        <v>1219</v>
      </c>
      <c r="AJ193" s="420">
        <v>41</v>
      </c>
      <c r="AK193" s="420">
        <v>0.01315367340391402</v>
      </c>
      <c r="AM193" s="420">
        <v>0</v>
      </c>
      <c r="AN193" s="420">
        <v>6</v>
      </c>
      <c r="AP193" s="420">
        <v>0</v>
      </c>
      <c r="AQ193" s="420">
        <v>0</v>
      </c>
      <c r="AR193" s="420">
        <v>3039.56</v>
      </c>
      <c r="AU193" s="420">
        <v>99</v>
      </c>
      <c r="AV193" s="420">
        <v>669</v>
      </c>
      <c r="AW193" s="420">
        <v>0.14798206278026907</v>
      </c>
      <c r="AY193" s="420">
        <v>1.5721</v>
      </c>
      <c r="AZ193" s="421">
        <v>860</v>
      </c>
      <c r="BA193" s="420">
        <v>986</v>
      </c>
      <c r="BB193" s="420">
        <v>0.8722109533468559</v>
      </c>
      <c r="BD193" s="420">
        <v>0</v>
      </c>
      <c r="BE193" s="420">
        <v>1</v>
      </c>
      <c r="BF193" s="421">
        <v>0</v>
      </c>
      <c r="BG193" s="421">
        <v>0</v>
      </c>
      <c r="BH193" s="419"/>
      <c r="BI193" s="421">
        <v>0</v>
      </c>
      <c r="BJ193" s="419"/>
      <c r="BK193" s="421">
        <v>1122.12</v>
      </c>
      <c r="BL193" s="421">
        <v>73754</v>
      </c>
      <c r="BM193" s="421">
        <v>-42045.06</v>
      </c>
      <c r="BN193" s="419"/>
      <c r="BO193" s="421">
        <v>-161676.7909724284</v>
      </c>
      <c r="BP193" s="421">
        <v>388225</v>
      </c>
      <c r="BQ193" s="421">
        <v>132356</v>
      </c>
      <c r="BR193" s="421">
        <v>346191.88857336773</v>
      </c>
      <c r="BS193" s="421">
        <v>20772.919122280637</v>
      </c>
      <c r="BT193" s="421">
        <v>57066.91880422467</v>
      </c>
      <c r="BU193" s="421">
        <v>160530.7477414575</v>
      </c>
      <c r="BV193" s="421">
        <v>211708.16998792533</v>
      </c>
      <c r="BW193" s="421">
        <v>327515.5728103581</v>
      </c>
      <c r="BX193" s="421">
        <v>96131.70210940945</v>
      </c>
      <c r="BY193" s="421">
        <v>174842.47341730597</v>
      </c>
      <c r="BZ193" s="419"/>
      <c r="CA193" s="421">
        <v>148.1429349255268</v>
      </c>
      <c r="CB193" s="419"/>
      <c r="CC193" s="419"/>
      <c r="CD193" s="419"/>
      <c r="CE193" s="421">
        <v>246134.0406231344</v>
      </c>
      <c r="CF193" s="421">
        <v>119479.12906191329</v>
      </c>
      <c r="CG193" s="421">
        <v>141933.1579139296</v>
      </c>
      <c r="CH193" s="421">
        <v>-11616.588690744495</v>
      </c>
      <c r="CI193" s="419"/>
      <c r="CJ193" s="421">
        <v>3399481.9663741174</v>
      </c>
      <c r="CK193" s="421">
        <v>276859</v>
      </c>
      <c r="CL193" s="421">
        <v>7452.22</v>
      </c>
      <c r="CM193" s="421">
        <v>54431.01488000001</v>
      </c>
      <c r="CN193" s="421">
        <v>-46978.79488000001</v>
      </c>
      <c r="CO193" s="419"/>
      <c r="CP193" s="419"/>
      <c r="CQ193" s="419"/>
      <c r="CR193" s="171">
        <v>501</v>
      </c>
    </row>
    <row r="194" spans="1:96" ht="9.75">
      <c r="A194" s="203">
        <v>615</v>
      </c>
      <c r="B194" s="203" t="s">
        <v>249</v>
      </c>
      <c r="C194" s="421">
        <v>7779</v>
      </c>
      <c r="D194" s="419"/>
      <c r="E194" s="419"/>
      <c r="F194" s="419"/>
      <c r="G194" s="419"/>
      <c r="H194" s="500">
        <v>4291.05</v>
      </c>
      <c r="I194" s="419"/>
      <c r="J194" s="419"/>
      <c r="K194" s="419"/>
      <c r="L194" s="419"/>
      <c r="M194" s="419"/>
      <c r="N194" s="419"/>
      <c r="O194" s="419"/>
      <c r="P194" s="419"/>
      <c r="Q194" s="421">
        <v>376</v>
      </c>
      <c r="R194" s="421">
        <v>103</v>
      </c>
      <c r="S194" s="421">
        <v>547</v>
      </c>
      <c r="T194" s="421">
        <v>273</v>
      </c>
      <c r="U194" s="421">
        <v>260</v>
      </c>
      <c r="V194" s="421">
        <v>3696</v>
      </c>
      <c r="W194" s="421">
        <v>1377</v>
      </c>
      <c r="X194" s="421">
        <v>807</v>
      </c>
      <c r="Y194" s="421">
        <v>340</v>
      </c>
      <c r="Z194" s="419"/>
      <c r="AA194" s="419"/>
      <c r="AB194" s="419"/>
      <c r="AC194" s="419"/>
      <c r="AD194" s="419"/>
      <c r="AE194" s="422">
        <v>1.4880549655987267</v>
      </c>
      <c r="AF194" s="421">
        <v>15391122.599292176</v>
      </c>
      <c r="AG194" s="420">
        <v>426</v>
      </c>
      <c r="AH194" s="420">
        <v>2964</v>
      </c>
      <c r="AJ194" s="420">
        <v>188</v>
      </c>
      <c r="AK194" s="420">
        <v>0.024167630800874147</v>
      </c>
      <c r="AM194" s="420">
        <v>0</v>
      </c>
      <c r="AN194" s="420">
        <v>8</v>
      </c>
      <c r="AP194" s="420">
        <v>0</v>
      </c>
      <c r="AQ194" s="420">
        <v>0</v>
      </c>
      <c r="AR194" s="420">
        <v>5638.35</v>
      </c>
      <c r="AU194" s="420">
        <v>278</v>
      </c>
      <c r="AV194" s="420">
        <v>1813</v>
      </c>
      <c r="AW194" s="420">
        <v>0.1533370104798676</v>
      </c>
      <c r="AY194" s="420">
        <v>1.4615</v>
      </c>
      <c r="AZ194" s="421">
        <v>2552</v>
      </c>
      <c r="BA194" s="420">
        <v>2517</v>
      </c>
      <c r="BB194" s="420">
        <v>1.0139054429876837</v>
      </c>
      <c r="BD194" s="420">
        <v>0</v>
      </c>
      <c r="BE194" s="420">
        <v>1</v>
      </c>
      <c r="BF194" s="421">
        <v>0</v>
      </c>
      <c r="BG194" s="421">
        <v>0</v>
      </c>
      <c r="BH194" s="419"/>
      <c r="BI194" s="421">
        <v>0</v>
      </c>
      <c r="BJ194" s="419"/>
      <c r="BK194" s="421">
        <v>2800.44</v>
      </c>
      <c r="BL194" s="421">
        <v>420717</v>
      </c>
      <c r="BM194" s="421">
        <v>-275967.8342</v>
      </c>
      <c r="BN194" s="419"/>
      <c r="BO194" s="421">
        <v>-466887.4905638397</v>
      </c>
      <c r="BP194" s="421">
        <v>805732</v>
      </c>
      <c r="BQ194" s="421">
        <v>241095</v>
      </c>
      <c r="BR194" s="421">
        <v>688020.9831289338</v>
      </c>
      <c r="BS194" s="421">
        <v>36509.242249512936</v>
      </c>
      <c r="BT194" s="421">
        <v>95626.54889223831</v>
      </c>
      <c r="BU194" s="421">
        <v>348466.6260850866</v>
      </c>
      <c r="BV194" s="421">
        <v>455622.06844321423</v>
      </c>
      <c r="BW194" s="421">
        <v>656757.2029113228</v>
      </c>
      <c r="BX194" s="421">
        <v>192948.82523202122</v>
      </c>
      <c r="BY194" s="421">
        <v>373608.3753078873</v>
      </c>
      <c r="BZ194" s="419"/>
      <c r="CA194" s="421">
        <v>-12101.911986603023</v>
      </c>
      <c r="CB194" s="419"/>
      <c r="CC194" s="419"/>
      <c r="CD194" s="419"/>
      <c r="CE194" s="421">
        <v>508458.22630120337</v>
      </c>
      <c r="CF194" s="421">
        <v>277970.89200871246</v>
      </c>
      <c r="CG194" s="421">
        <v>336570.11174255307</v>
      </c>
      <c r="CH194" s="421">
        <v>-26110.15398478252</v>
      </c>
      <c r="CI194" s="419"/>
      <c r="CJ194" s="421">
        <v>8213334.118083554</v>
      </c>
      <c r="CK194" s="421">
        <v>-170506</v>
      </c>
      <c r="CL194" s="421">
        <v>125420.8626</v>
      </c>
      <c r="CM194" s="421">
        <v>61957.757079999996</v>
      </c>
      <c r="CN194" s="421">
        <v>63463.10552</v>
      </c>
      <c r="CO194" s="419"/>
      <c r="CP194" s="419"/>
      <c r="CQ194" s="419"/>
      <c r="CR194" s="171">
        <v>2029</v>
      </c>
    </row>
    <row r="195" spans="1:96" ht="9.75">
      <c r="A195" s="203">
        <v>616</v>
      </c>
      <c r="B195" s="203" t="s">
        <v>250</v>
      </c>
      <c r="C195" s="421">
        <v>1833</v>
      </c>
      <c r="D195" s="419"/>
      <c r="E195" s="419"/>
      <c r="F195" s="419"/>
      <c r="G195" s="419"/>
      <c r="H195" s="500">
        <v>4291.05</v>
      </c>
      <c r="I195" s="419"/>
      <c r="J195" s="419"/>
      <c r="K195" s="419"/>
      <c r="L195" s="419"/>
      <c r="M195" s="419"/>
      <c r="N195" s="419"/>
      <c r="O195" s="419"/>
      <c r="P195" s="419"/>
      <c r="Q195" s="421">
        <v>85</v>
      </c>
      <c r="R195" s="421">
        <v>26</v>
      </c>
      <c r="S195" s="421">
        <v>129</v>
      </c>
      <c r="T195" s="421">
        <v>72</v>
      </c>
      <c r="U195" s="421">
        <v>59</v>
      </c>
      <c r="V195" s="421">
        <v>1027</v>
      </c>
      <c r="W195" s="421">
        <v>233</v>
      </c>
      <c r="X195" s="421">
        <v>149</v>
      </c>
      <c r="Y195" s="421">
        <v>53</v>
      </c>
      <c r="Z195" s="419"/>
      <c r="AA195" s="419"/>
      <c r="AB195" s="419"/>
      <c r="AC195" s="419"/>
      <c r="AD195" s="419"/>
      <c r="AE195" s="422">
        <v>0.9402470402951707</v>
      </c>
      <c r="AF195" s="421">
        <v>2291564.0104006524</v>
      </c>
      <c r="AG195" s="420">
        <v>98</v>
      </c>
      <c r="AH195" s="420">
        <v>911</v>
      </c>
      <c r="AJ195" s="420">
        <v>56</v>
      </c>
      <c r="AK195" s="420">
        <v>0.03055100927441353</v>
      </c>
      <c r="AM195" s="420">
        <v>0</v>
      </c>
      <c r="AN195" s="420">
        <v>12</v>
      </c>
      <c r="AP195" s="420">
        <v>0</v>
      </c>
      <c r="AQ195" s="420">
        <v>0</v>
      </c>
      <c r="AR195" s="420">
        <v>145.09</v>
      </c>
      <c r="AU195" s="420">
        <v>83</v>
      </c>
      <c r="AV195" s="420">
        <v>572</v>
      </c>
      <c r="AW195" s="420">
        <v>0.1451048951048951</v>
      </c>
      <c r="AY195" s="420">
        <v>0</v>
      </c>
      <c r="AZ195" s="421">
        <v>520</v>
      </c>
      <c r="BA195" s="420">
        <v>815</v>
      </c>
      <c r="BB195" s="420">
        <v>0.6380368098159509</v>
      </c>
      <c r="BD195" s="420">
        <v>0</v>
      </c>
      <c r="BE195" s="420">
        <v>0</v>
      </c>
      <c r="BF195" s="421">
        <v>0</v>
      </c>
      <c r="BG195" s="421">
        <v>0</v>
      </c>
      <c r="BH195" s="419"/>
      <c r="BI195" s="421">
        <v>0</v>
      </c>
      <c r="BJ195" s="419"/>
      <c r="BK195" s="421">
        <v>659.88</v>
      </c>
      <c r="BL195" s="421">
        <v>3269</v>
      </c>
      <c r="BM195" s="421">
        <v>-55573.14</v>
      </c>
      <c r="BN195" s="419"/>
      <c r="BO195" s="421">
        <v>50486.45994817</v>
      </c>
      <c r="BP195" s="421">
        <v>169950</v>
      </c>
      <c r="BQ195" s="421">
        <v>60269</v>
      </c>
      <c r="BR195" s="421">
        <v>134916.29841328936</v>
      </c>
      <c r="BS195" s="421">
        <v>5613.310900917095</v>
      </c>
      <c r="BT195" s="421">
        <v>26742.79937552646</v>
      </c>
      <c r="BU195" s="421">
        <v>40079.038482578464</v>
      </c>
      <c r="BV195" s="421">
        <v>126662.72441790301</v>
      </c>
      <c r="BW195" s="421">
        <v>192233.72481729407</v>
      </c>
      <c r="BX195" s="421">
        <v>54526.841074924756</v>
      </c>
      <c r="BY195" s="421">
        <v>91988.06653750643</v>
      </c>
      <c r="BZ195" s="419"/>
      <c r="CA195" s="421">
        <v>-5408.938842098967</v>
      </c>
      <c r="CB195" s="419"/>
      <c r="CC195" s="419"/>
      <c r="CD195" s="419"/>
      <c r="CE195" s="421">
        <v>123308.51827207985</v>
      </c>
      <c r="CF195" s="421">
        <v>73576.47338591907</v>
      </c>
      <c r="CG195" s="421">
        <v>84263.13100597687</v>
      </c>
      <c r="CH195" s="421">
        <v>-8030.355769462675</v>
      </c>
      <c r="CI195" s="419"/>
      <c r="CJ195" s="421">
        <v>1071302.439993081</v>
      </c>
      <c r="CK195" s="421">
        <v>-488692</v>
      </c>
      <c r="CL195" s="421">
        <v>52165.54</v>
      </c>
      <c r="CM195" s="421">
        <v>884608.3228800002</v>
      </c>
      <c r="CN195" s="421">
        <v>-832442.7828800002</v>
      </c>
      <c r="CO195" s="419"/>
      <c r="CP195" s="419"/>
      <c r="CQ195" s="419"/>
      <c r="CR195" s="171">
        <v>513</v>
      </c>
    </row>
    <row r="196" spans="1:96" ht="9.75">
      <c r="A196" s="203">
        <v>619</v>
      </c>
      <c r="B196" s="203" t="s">
        <v>251</v>
      </c>
      <c r="C196" s="421">
        <v>2785</v>
      </c>
      <c r="D196" s="419"/>
      <c r="E196" s="419"/>
      <c r="F196" s="419"/>
      <c r="G196" s="419"/>
      <c r="H196" s="500">
        <v>4291.05</v>
      </c>
      <c r="I196" s="419"/>
      <c r="J196" s="419"/>
      <c r="K196" s="419"/>
      <c r="L196" s="419"/>
      <c r="M196" s="419"/>
      <c r="N196" s="419"/>
      <c r="O196" s="419"/>
      <c r="P196" s="419"/>
      <c r="Q196" s="421">
        <v>116</v>
      </c>
      <c r="R196" s="421">
        <v>17</v>
      </c>
      <c r="S196" s="421">
        <v>154</v>
      </c>
      <c r="T196" s="421">
        <v>94</v>
      </c>
      <c r="U196" s="421">
        <v>70</v>
      </c>
      <c r="V196" s="421">
        <v>1326</v>
      </c>
      <c r="W196" s="421">
        <v>500</v>
      </c>
      <c r="X196" s="421">
        <v>323</v>
      </c>
      <c r="Y196" s="421">
        <v>185</v>
      </c>
      <c r="Z196" s="419"/>
      <c r="AA196" s="419"/>
      <c r="AB196" s="419"/>
      <c r="AC196" s="419"/>
      <c r="AD196" s="419"/>
      <c r="AE196" s="422">
        <v>1.2833820647422676</v>
      </c>
      <c r="AF196" s="421">
        <v>4752353.296948376</v>
      </c>
      <c r="AG196" s="420">
        <v>105</v>
      </c>
      <c r="AH196" s="420">
        <v>1120</v>
      </c>
      <c r="AJ196" s="420">
        <v>64</v>
      </c>
      <c r="AK196" s="420">
        <v>0.022980251346499104</v>
      </c>
      <c r="AM196" s="420">
        <v>0</v>
      </c>
      <c r="AN196" s="420">
        <v>2</v>
      </c>
      <c r="AP196" s="420">
        <v>0</v>
      </c>
      <c r="AQ196" s="420">
        <v>0</v>
      </c>
      <c r="AR196" s="420">
        <v>361.1</v>
      </c>
      <c r="AU196" s="420">
        <v>108</v>
      </c>
      <c r="AV196" s="420">
        <v>676</v>
      </c>
      <c r="AW196" s="420">
        <v>0.15976331360946747</v>
      </c>
      <c r="AY196" s="420">
        <v>0</v>
      </c>
      <c r="AZ196" s="421">
        <v>876</v>
      </c>
      <c r="BA196" s="420">
        <v>1036</v>
      </c>
      <c r="BB196" s="420">
        <v>0.8455598455598455</v>
      </c>
      <c r="BD196" s="420">
        <v>0</v>
      </c>
      <c r="BE196" s="420">
        <v>0</v>
      </c>
      <c r="BF196" s="421">
        <v>0</v>
      </c>
      <c r="BG196" s="421">
        <v>0</v>
      </c>
      <c r="BH196" s="419"/>
      <c r="BI196" s="421">
        <v>0</v>
      </c>
      <c r="BJ196" s="419"/>
      <c r="BK196" s="421">
        <v>1002.5999999999999</v>
      </c>
      <c r="BL196" s="421">
        <v>-2031</v>
      </c>
      <c r="BM196" s="421">
        <v>-109283.22</v>
      </c>
      <c r="BN196" s="419"/>
      <c r="BO196" s="421">
        <v>164582.84655112214</v>
      </c>
      <c r="BP196" s="421">
        <v>336617</v>
      </c>
      <c r="BQ196" s="421">
        <v>105974</v>
      </c>
      <c r="BR196" s="421">
        <v>275176.4261463324</v>
      </c>
      <c r="BS196" s="421">
        <v>17270.633688822705</v>
      </c>
      <c r="BT196" s="421">
        <v>36750.65009825855</v>
      </c>
      <c r="BU196" s="421">
        <v>126163.3288833969</v>
      </c>
      <c r="BV196" s="421">
        <v>187520.19939022846</v>
      </c>
      <c r="BW196" s="421">
        <v>296557.1127692157</v>
      </c>
      <c r="BX196" s="421">
        <v>89942.95135549175</v>
      </c>
      <c r="BY196" s="421">
        <v>155477.05861407673</v>
      </c>
      <c r="BZ196" s="419"/>
      <c r="CA196" s="421">
        <v>-1975.3570111791305</v>
      </c>
      <c r="CB196" s="419"/>
      <c r="CC196" s="419"/>
      <c r="CD196" s="419"/>
      <c r="CE196" s="421">
        <v>222713.9343300869</v>
      </c>
      <c r="CF196" s="421">
        <v>118045.23278182595</v>
      </c>
      <c r="CG196" s="421">
        <v>137401.21502617653</v>
      </c>
      <c r="CH196" s="421">
        <v>-10415.038248346083</v>
      </c>
      <c r="CI196" s="419"/>
      <c r="CJ196" s="421">
        <v>2956928.2077522264</v>
      </c>
      <c r="CK196" s="421">
        <v>-195770</v>
      </c>
      <c r="CL196" s="421">
        <v>284972.89280000003</v>
      </c>
      <c r="CM196" s="421">
        <v>94673.00288</v>
      </c>
      <c r="CN196" s="421">
        <v>190299.88992000005</v>
      </c>
      <c r="CO196" s="419"/>
      <c r="CP196" s="419"/>
      <c r="CQ196" s="419"/>
      <c r="CR196" s="171">
        <v>635</v>
      </c>
    </row>
    <row r="197" spans="1:96" ht="9.75">
      <c r="A197" s="203">
        <v>620</v>
      </c>
      <c r="B197" s="203" t="s">
        <v>252</v>
      </c>
      <c r="C197" s="421">
        <v>2491</v>
      </c>
      <c r="D197" s="419"/>
      <c r="E197" s="419"/>
      <c r="F197" s="419"/>
      <c r="G197" s="419"/>
      <c r="H197" s="500">
        <v>4291.05</v>
      </c>
      <c r="I197" s="419"/>
      <c r="J197" s="419"/>
      <c r="K197" s="419"/>
      <c r="L197" s="419"/>
      <c r="M197" s="419"/>
      <c r="N197" s="419"/>
      <c r="O197" s="419"/>
      <c r="P197" s="419"/>
      <c r="Q197" s="421">
        <v>65</v>
      </c>
      <c r="R197" s="421">
        <v>11</v>
      </c>
      <c r="S197" s="421">
        <v>112</v>
      </c>
      <c r="T197" s="421">
        <v>60</v>
      </c>
      <c r="U197" s="421">
        <v>51</v>
      </c>
      <c r="V197" s="421">
        <v>1209</v>
      </c>
      <c r="W197" s="421">
        <v>542</v>
      </c>
      <c r="X197" s="421">
        <v>321</v>
      </c>
      <c r="Y197" s="421">
        <v>120</v>
      </c>
      <c r="Z197" s="419"/>
      <c r="AA197" s="419"/>
      <c r="AB197" s="419"/>
      <c r="AC197" s="419"/>
      <c r="AD197" s="419"/>
      <c r="AE197" s="422">
        <v>1.959817339841944</v>
      </c>
      <c r="AF197" s="421">
        <v>6491078.705449692</v>
      </c>
      <c r="AG197" s="420">
        <v>161</v>
      </c>
      <c r="AH197" s="420">
        <v>954</v>
      </c>
      <c r="AJ197" s="420">
        <v>42</v>
      </c>
      <c r="AK197" s="420">
        <v>0.01686069851465275</v>
      </c>
      <c r="AM197" s="420">
        <v>0</v>
      </c>
      <c r="AN197" s="420">
        <v>4</v>
      </c>
      <c r="AP197" s="420">
        <v>0</v>
      </c>
      <c r="AQ197" s="420">
        <v>0</v>
      </c>
      <c r="AR197" s="420">
        <v>2461.2</v>
      </c>
      <c r="AU197" s="420">
        <v>95</v>
      </c>
      <c r="AV197" s="420">
        <v>540</v>
      </c>
      <c r="AW197" s="420">
        <v>0.17592592592592593</v>
      </c>
      <c r="AY197" s="420">
        <v>1.7195</v>
      </c>
      <c r="AZ197" s="421">
        <v>706</v>
      </c>
      <c r="BA197" s="420">
        <v>760</v>
      </c>
      <c r="BB197" s="420">
        <v>0.9289473684210526</v>
      </c>
      <c r="BD197" s="420">
        <v>0</v>
      </c>
      <c r="BE197" s="420">
        <v>0</v>
      </c>
      <c r="BF197" s="421">
        <v>0</v>
      </c>
      <c r="BG197" s="421">
        <v>0</v>
      </c>
      <c r="BH197" s="419"/>
      <c r="BI197" s="421">
        <v>0</v>
      </c>
      <c r="BJ197" s="419"/>
      <c r="BK197" s="421">
        <v>896.76</v>
      </c>
      <c r="BL197" s="421">
        <v>133095</v>
      </c>
      <c r="BM197" s="421">
        <v>-65104.18</v>
      </c>
      <c r="BN197" s="419"/>
      <c r="BO197" s="421">
        <v>-69019.54834536463</v>
      </c>
      <c r="BP197" s="421">
        <v>322815</v>
      </c>
      <c r="BQ197" s="421">
        <v>97700</v>
      </c>
      <c r="BR197" s="421">
        <v>244790.15556027857</v>
      </c>
      <c r="BS197" s="421">
        <v>14632.251434991533</v>
      </c>
      <c r="BT197" s="421">
        <v>24727.2558363038</v>
      </c>
      <c r="BU197" s="421">
        <v>130873.78517567727</v>
      </c>
      <c r="BV197" s="421">
        <v>148340.0917950246</v>
      </c>
      <c r="BW197" s="421">
        <v>236625.1477244411</v>
      </c>
      <c r="BX197" s="421">
        <v>72430.37775755036</v>
      </c>
      <c r="BY197" s="421">
        <v>137823.4190385528</v>
      </c>
      <c r="BZ197" s="419"/>
      <c r="CA197" s="421">
        <v>-38300.04218500018</v>
      </c>
      <c r="CB197" s="419"/>
      <c r="CC197" s="419"/>
      <c r="CD197" s="419"/>
      <c r="CE197" s="421">
        <v>182730.18673995262</v>
      </c>
      <c r="CF197" s="421">
        <v>94781.97207903174</v>
      </c>
      <c r="CG197" s="421">
        <v>109342.64201893617</v>
      </c>
      <c r="CH197" s="421">
        <v>-9368.448725247481</v>
      </c>
      <c r="CI197" s="419"/>
      <c r="CJ197" s="421">
        <v>2109587.470128843</v>
      </c>
      <c r="CK197" s="421">
        <v>-116298</v>
      </c>
      <c r="CL197" s="421">
        <v>26827.992000000002</v>
      </c>
      <c r="CM197" s="421">
        <v>65579.53600000001</v>
      </c>
      <c r="CN197" s="421">
        <v>-38751.54400000001</v>
      </c>
      <c r="CO197" s="419"/>
      <c r="CP197" s="419"/>
      <c r="CQ197" s="419"/>
      <c r="CR197" s="171">
        <v>430</v>
      </c>
    </row>
    <row r="198" spans="1:96" ht="9.75">
      <c r="A198" s="203">
        <v>623</v>
      </c>
      <c r="B198" s="203" t="s">
        <v>253</v>
      </c>
      <c r="C198" s="421">
        <v>2137</v>
      </c>
      <c r="D198" s="419"/>
      <c r="E198" s="419"/>
      <c r="F198" s="419"/>
      <c r="G198" s="419"/>
      <c r="H198" s="500">
        <v>4291.05</v>
      </c>
      <c r="I198" s="419"/>
      <c r="J198" s="419"/>
      <c r="K198" s="419"/>
      <c r="L198" s="419"/>
      <c r="M198" s="419"/>
      <c r="N198" s="419"/>
      <c r="O198" s="419"/>
      <c r="P198" s="419"/>
      <c r="Q198" s="421">
        <v>38</v>
      </c>
      <c r="R198" s="421">
        <v>9</v>
      </c>
      <c r="S198" s="421">
        <v>74</v>
      </c>
      <c r="T198" s="421">
        <v>45</v>
      </c>
      <c r="U198" s="421">
        <v>47</v>
      </c>
      <c r="V198" s="421">
        <v>984</v>
      </c>
      <c r="W198" s="421">
        <v>553</v>
      </c>
      <c r="X198" s="421">
        <v>261</v>
      </c>
      <c r="Y198" s="421">
        <v>126</v>
      </c>
      <c r="Z198" s="419"/>
      <c r="AA198" s="419"/>
      <c r="AB198" s="419"/>
      <c r="AC198" s="419"/>
      <c r="AD198" s="419"/>
      <c r="AE198" s="422">
        <v>1.639243645127489</v>
      </c>
      <c r="AF198" s="421">
        <v>4657743.659680456</v>
      </c>
      <c r="AG198" s="420">
        <v>73</v>
      </c>
      <c r="AH198" s="420">
        <v>849</v>
      </c>
      <c r="AJ198" s="420">
        <v>43</v>
      </c>
      <c r="AK198" s="420">
        <v>0.020121665886757137</v>
      </c>
      <c r="AM198" s="420">
        <v>0</v>
      </c>
      <c r="AN198" s="420">
        <v>3</v>
      </c>
      <c r="AP198" s="420">
        <v>1</v>
      </c>
      <c r="AQ198" s="420">
        <v>0</v>
      </c>
      <c r="AR198" s="420">
        <v>794.18</v>
      </c>
      <c r="AU198" s="420">
        <v>69</v>
      </c>
      <c r="AV198" s="420">
        <v>450</v>
      </c>
      <c r="AW198" s="420">
        <v>0.15333333333333332</v>
      </c>
      <c r="AY198" s="420">
        <v>0.8071</v>
      </c>
      <c r="AZ198" s="421">
        <v>584</v>
      </c>
      <c r="BA198" s="420">
        <v>737</v>
      </c>
      <c r="BB198" s="420">
        <v>0.7924016282225237</v>
      </c>
      <c r="BD198" s="420">
        <v>0</v>
      </c>
      <c r="BE198" s="420">
        <v>0</v>
      </c>
      <c r="BF198" s="421">
        <v>0</v>
      </c>
      <c r="BG198" s="421">
        <v>0</v>
      </c>
      <c r="BH198" s="419"/>
      <c r="BI198" s="421">
        <v>0</v>
      </c>
      <c r="BJ198" s="419"/>
      <c r="BK198" s="421">
        <v>769.3199999999999</v>
      </c>
      <c r="BL198" s="421">
        <v>2864</v>
      </c>
      <c r="BM198" s="421">
        <v>-37221.125</v>
      </c>
      <c r="BN198" s="419"/>
      <c r="BO198" s="421">
        <v>270448.9247596208</v>
      </c>
      <c r="BP198" s="421">
        <v>306712</v>
      </c>
      <c r="BQ198" s="421">
        <v>80932</v>
      </c>
      <c r="BR198" s="421">
        <v>212840.17227451561</v>
      </c>
      <c r="BS198" s="421">
        <v>11757.206041825455</v>
      </c>
      <c r="BT198" s="421">
        <v>28178.923088862364</v>
      </c>
      <c r="BU198" s="421">
        <v>96841.9166642587</v>
      </c>
      <c r="BV198" s="421">
        <v>115917.57965680344</v>
      </c>
      <c r="BW198" s="421">
        <v>195401.13376254923</v>
      </c>
      <c r="BX198" s="421">
        <v>64132.152054768645</v>
      </c>
      <c r="BY198" s="421">
        <v>103884.00046307367</v>
      </c>
      <c r="BZ198" s="419"/>
      <c r="CA198" s="421">
        <v>-34376.4472404994</v>
      </c>
      <c r="CB198" s="419"/>
      <c r="CC198" s="419"/>
      <c r="CD198" s="419"/>
      <c r="CE198" s="421">
        <v>147871.35475768524</v>
      </c>
      <c r="CF198" s="421">
        <v>77000.09078040569</v>
      </c>
      <c r="CG198" s="421">
        <v>86724.31379250422</v>
      </c>
      <c r="CH198" s="421">
        <v>-9897.18202959391</v>
      </c>
      <c r="CI198" s="419"/>
      <c r="CJ198" s="421">
        <v>392611.30117074284</v>
      </c>
      <c r="CK198" s="421">
        <v>-468164</v>
      </c>
      <c r="CL198" s="421">
        <v>0</v>
      </c>
      <c r="CM198" s="421">
        <v>127880.09520000001</v>
      </c>
      <c r="CN198" s="421">
        <v>-127880.09520000001</v>
      </c>
      <c r="CO198" s="419"/>
      <c r="CP198" s="419"/>
      <c r="CQ198" s="419"/>
      <c r="CR198" s="171">
        <v>326</v>
      </c>
    </row>
    <row r="199" spans="1:96" ht="9.75">
      <c r="A199" s="203">
        <v>624</v>
      </c>
      <c r="B199" s="203" t="s">
        <v>254</v>
      </c>
      <c r="C199" s="421">
        <v>5125</v>
      </c>
      <c r="D199" s="419"/>
      <c r="E199" s="419"/>
      <c r="F199" s="419"/>
      <c r="G199" s="419"/>
      <c r="H199" s="500">
        <v>4291.05</v>
      </c>
      <c r="I199" s="419"/>
      <c r="J199" s="419"/>
      <c r="K199" s="419"/>
      <c r="L199" s="419"/>
      <c r="M199" s="419"/>
      <c r="N199" s="419"/>
      <c r="O199" s="419"/>
      <c r="P199" s="419"/>
      <c r="Q199" s="421">
        <v>251</v>
      </c>
      <c r="R199" s="421">
        <v>48</v>
      </c>
      <c r="S199" s="421">
        <v>412</v>
      </c>
      <c r="T199" s="421">
        <v>189</v>
      </c>
      <c r="U199" s="421">
        <v>141</v>
      </c>
      <c r="V199" s="421">
        <v>2704</v>
      </c>
      <c r="W199" s="421">
        <v>791</v>
      </c>
      <c r="X199" s="421">
        <v>425</v>
      </c>
      <c r="Y199" s="421">
        <v>164</v>
      </c>
      <c r="Z199" s="419"/>
      <c r="AA199" s="419"/>
      <c r="AB199" s="419"/>
      <c r="AC199" s="419"/>
      <c r="AD199" s="419"/>
      <c r="AE199" s="422">
        <v>1.0152444716756663</v>
      </c>
      <c r="AF199" s="421">
        <v>6918183.17946953</v>
      </c>
      <c r="AG199" s="420">
        <v>255</v>
      </c>
      <c r="AH199" s="420">
        <v>2355</v>
      </c>
      <c r="AJ199" s="420">
        <v>192</v>
      </c>
      <c r="AK199" s="420">
        <v>0.03746341463414634</v>
      </c>
      <c r="AM199" s="420">
        <v>1</v>
      </c>
      <c r="AN199" s="420">
        <v>365</v>
      </c>
      <c r="AP199" s="420">
        <v>3</v>
      </c>
      <c r="AQ199" s="420">
        <v>188</v>
      </c>
      <c r="AR199" s="420">
        <v>324.63</v>
      </c>
      <c r="AU199" s="420">
        <v>214</v>
      </c>
      <c r="AV199" s="420">
        <v>1610</v>
      </c>
      <c r="AW199" s="420">
        <v>0.13291925465838508</v>
      </c>
      <c r="AY199" s="420">
        <v>0</v>
      </c>
      <c r="AZ199" s="421">
        <v>1074</v>
      </c>
      <c r="BA199" s="420">
        <v>2118</v>
      </c>
      <c r="BB199" s="420">
        <v>0.5070821529745042</v>
      </c>
      <c r="BD199" s="420">
        <v>0</v>
      </c>
      <c r="BE199" s="420">
        <v>0</v>
      </c>
      <c r="BF199" s="421">
        <v>0</v>
      </c>
      <c r="BG199" s="421">
        <v>0</v>
      </c>
      <c r="BH199" s="419"/>
      <c r="BI199" s="421">
        <v>0</v>
      </c>
      <c r="BJ199" s="419"/>
      <c r="BK199" s="421">
        <v>1845</v>
      </c>
      <c r="BL199" s="421">
        <v>97136</v>
      </c>
      <c r="BM199" s="421">
        <v>-163752.525</v>
      </c>
      <c r="BN199" s="419"/>
      <c r="BO199" s="421">
        <v>190396.44915563427</v>
      </c>
      <c r="BP199" s="421">
        <v>373776</v>
      </c>
      <c r="BQ199" s="421">
        <v>115577</v>
      </c>
      <c r="BR199" s="421">
        <v>235069.5784648998</v>
      </c>
      <c r="BS199" s="421">
        <v>9112.403436958746</v>
      </c>
      <c r="BT199" s="421">
        <v>-127110.83688082914</v>
      </c>
      <c r="BU199" s="421">
        <v>99430.33695296093</v>
      </c>
      <c r="BV199" s="421">
        <v>228962.00169117263</v>
      </c>
      <c r="BW199" s="421">
        <v>403407.92759863316</v>
      </c>
      <c r="BX199" s="421">
        <v>117512.97516334013</v>
      </c>
      <c r="BY199" s="421">
        <v>200386.0547264546</v>
      </c>
      <c r="BZ199" s="419"/>
      <c r="CA199" s="421">
        <v>32363.60261600413</v>
      </c>
      <c r="CB199" s="419"/>
      <c r="CC199" s="419"/>
      <c r="CD199" s="419"/>
      <c r="CE199" s="421">
        <v>250593.10278812898</v>
      </c>
      <c r="CF199" s="421">
        <v>148940.87429900857</v>
      </c>
      <c r="CG199" s="421">
        <v>199544.46405739567</v>
      </c>
      <c r="CH199" s="421">
        <v>-25631.25569027142</v>
      </c>
      <c r="CI199" s="419"/>
      <c r="CJ199" s="421">
        <v>1125725.7534036338</v>
      </c>
      <c r="CK199" s="421">
        <v>-842338</v>
      </c>
      <c r="CL199" s="421">
        <v>153515.73200000002</v>
      </c>
      <c r="CM199" s="421">
        <v>341073.20496000006</v>
      </c>
      <c r="CN199" s="421">
        <v>-187557.47296000004</v>
      </c>
      <c r="CO199" s="419"/>
      <c r="CP199" s="419"/>
      <c r="CQ199" s="419"/>
      <c r="CR199" s="171">
        <v>1322</v>
      </c>
    </row>
    <row r="200" spans="1:96" ht="9.75">
      <c r="A200" s="203">
        <v>625</v>
      </c>
      <c r="B200" s="203" t="s">
        <v>255</v>
      </c>
      <c r="C200" s="421">
        <v>3051</v>
      </c>
      <c r="D200" s="419"/>
      <c r="E200" s="419"/>
      <c r="F200" s="419"/>
      <c r="G200" s="419"/>
      <c r="H200" s="500">
        <v>4291.05</v>
      </c>
      <c r="I200" s="419"/>
      <c r="J200" s="419"/>
      <c r="K200" s="419"/>
      <c r="L200" s="419"/>
      <c r="M200" s="419"/>
      <c r="N200" s="419"/>
      <c r="O200" s="419"/>
      <c r="P200" s="419"/>
      <c r="Q200" s="421">
        <v>168</v>
      </c>
      <c r="R200" s="421">
        <v>36</v>
      </c>
      <c r="S200" s="421">
        <v>252</v>
      </c>
      <c r="T200" s="421">
        <v>118</v>
      </c>
      <c r="U200" s="421">
        <v>111</v>
      </c>
      <c r="V200" s="421">
        <v>1473</v>
      </c>
      <c r="W200" s="421">
        <v>509</v>
      </c>
      <c r="X200" s="421">
        <v>255</v>
      </c>
      <c r="Y200" s="421">
        <v>129</v>
      </c>
      <c r="Z200" s="419"/>
      <c r="AA200" s="419"/>
      <c r="AB200" s="419"/>
      <c r="AC200" s="419"/>
      <c r="AD200" s="419"/>
      <c r="AE200" s="422">
        <v>1.3746076368337068</v>
      </c>
      <c r="AF200" s="421">
        <v>5576330.586582741</v>
      </c>
      <c r="AG200" s="420">
        <v>148</v>
      </c>
      <c r="AH200" s="420">
        <v>1264</v>
      </c>
      <c r="AJ200" s="420">
        <v>92</v>
      </c>
      <c r="AK200" s="420">
        <v>0.030154047853162898</v>
      </c>
      <c r="AM200" s="420">
        <v>0</v>
      </c>
      <c r="AN200" s="420">
        <v>8</v>
      </c>
      <c r="AP200" s="420">
        <v>0</v>
      </c>
      <c r="AQ200" s="420">
        <v>0</v>
      </c>
      <c r="AR200" s="420">
        <v>543.11</v>
      </c>
      <c r="AU200" s="420">
        <v>103</v>
      </c>
      <c r="AV200" s="420">
        <v>854</v>
      </c>
      <c r="AW200" s="420">
        <v>0.12060889929742388</v>
      </c>
      <c r="AY200" s="420">
        <v>0.2381</v>
      </c>
      <c r="AZ200" s="421">
        <v>900</v>
      </c>
      <c r="BA200" s="420">
        <v>1137</v>
      </c>
      <c r="BB200" s="420">
        <v>0.7915567282321899</v>
      </c>
      <c r="BD200" s="420">
        <v>0</v>
      </c>
      <c r="BE200" s="420">
        <v>0</v>
      </c>
      <c r="BF200" s="421">
        <v>0</v>
      </c>
      <c r="BG200" s="421">
        <v>0</v>
      </c>
      <c r="BH200" s="419"/>
      <c r="BI200" s="421">
        <v>0</v>
      </c>
      <c r="BJ200" s="419"/>
      <c r="BK200" s="421">
        <v>1098.36</v>
      </c>
      <c r="BL200" s="421">
        <v>22461</v>
      </c>
      <c r="BM200" s="421">
        <v>-56566.82</v>
      </c>
      <c r="BN200" s="419"/>
      <c r="BO200" s="421">
        <v>-15316.170387493446</v>
      </c>
      <c r="BP200" s="421">
        <v>278360</v>
      </c>
      <c r="BQ200" s="421">
        <v>90828</v>
      </c>
      <c r="BR200" s="421">
        <v>209003.70193620183</v>
      </c>
      <c r="BS200" s="421">
        <v>9695.638026579994</v>
      </c>
      <c r="BT200" s="421">
        <v>35066.45150657508</v>
      </c>
      <c r="BU200" s="421">
        <v>103455.7139788927</v>
      </c>
      <c r="BV200" s="421">
        <v>169578.02322362876</v>
      </c>
      <c r="BW200" s="421">
        <v>253663.12014994805</v>
      </c>
      <c r="BX200" s="421">
        <v>67489.5917378455</v>
      </c>
      <c r="BY200" s="421">
        <v>122279.33884860553</v>
      </c>
      <c r="BZ200" s="419"/>
      <c r="CA200" s="421">
        <v>13041.601410651849</v>
      </c>
      <c r="CB200" s="419"/>
      <c r="CC200" s="419"/>
      <c r="CD200" s="419"/>
      <c r="CE200" s="421">
        <v>168297.5711680441</v>
      </c>
      <c r="CF200" s="421">
        <v>100966.63864636546</v>
      </c>
      <c r="CG200" s="421">
        <v>119569.22131533525</v>
      </c>
      <c r="CH200" s="421">
        <v>-13392.98747484427</v>
      </c>
      <c r="CI200" s="419"/>
      <c r="CJ200" s="421">
        <v>1813127.4673720256</v>
      </c>
      <c r="CK200" s="421">
        <v>590379</v>
      </c>
      <c r="CL200" s="421">
        <v>271260.808</v>
      </c>
      <c r="CM200" s="421">
        <v>104480.1244</v>
      </c>
      <c r="CN200" s="421">
        <v>166780.68360000002</v>
      </c>
      <c r="CO200" s="419"/>
      <c r="CP200" s="419"/>
      <c r="CQ200" s="419"/>
      <c r="CR200" s="171">
        <v>877</v>
      </c>
    </row>
    <row r="201" spans="1:96" ht="9.75">
      <c r="A201" s="203">
        <v>626</v>
      </c>
      <c r="B201" s="203" t="s">
        <v>256</v>
      </c>
      <c r="C201" s="421">
        <v>5033</v>
      </c>
      <c r="D201" s="419"/>
      <c r="E201" s="419"/>
      <c r="F201" s="419"/>
      <c r="G201" s="419"/>
      <c r="H201" s="500">
        <v>4291.05</v>
      </c>
      <c r="I201" s="419"/>
      <c r="J201" s="419"/>
      <c r="K201" s="419"/>
      <c r="L201" s="419"/>
      <c r="M201" s="419"/>
      <c r="N201" s="419"/>
      <c r="O201" s="419"/>
      <c r="P201" s="419"/>
      <c r="Q201" s="421">
        <v>243</v>
      </c>
      <c r="R201" s="421">
        <v>44</v>
      </c>
      <c r="S201" s="421">
        <v>331</v>
      </c>
      <c r="T201" s="421">
        <v>164</v>
      </c>
      <c r="U201" s="421">
        <v>124</v>
      </c>
      <c r="V201" s="421">
        <v>2339</v>
      </c>
      <c r="W201" s="421">
        <v>963</v>
      </c>
      <c r="X201" s="421">
        <v>565</v>
      </c>
      <c r="Y201" s="421">
        <v>260</v>
      </c>
      <c r="Z201" s="419"/>
      <c r="AA201" s="419"/>
      <c r="AB201" s="419"/>
      <c r="AC201" s="419"/>
      <c r="AD201" s="419"/>
      <c r="AE201" s="422">
        <v>1.7688526929741277</v>
      </c>
      <c r="AF201" s="421">
        <v>11837122.712860346</v>
      </c>
      <c r="AG201" s="420">
        <v>273</v>
      </c>
      <c r="AH201" s="420">
        <v>1949</v>
      </c>
      <c r="AJ201" s="420">
        <v>55</v>
      </c>
      <c r="AK201" s="420">
        <v>0.010927876018279357</v>
      </c>
      <c r="AM201" s="420">
        <v>0</v>
      </c>
      <c r="AN201" s="420">
        <v>12</v>
      </c>
      <c r="AP201" s="420">
        <v>0</v>
      </c>
      <c r="AQ201" s="420">
        <v>0</v>
      </c>
      <c r="AR201" s="420">
        <v>1310.33</v>
      </c>
      <c r="AU201" s="420">
        <v>160</v>
      </c>
      <c r="AV201" s="420">
        <v>1158</v>
      </c>
      <c r="AW201" s="420">
        <v>0.1381692573402418</v>
      </c>
      <c r="AY201" s="420">
        <v>1.0645</v>
      </c>
      <c r="AZ201" s="421">
        <v>1521</v>
      </c>
      <c r="BA201" s="420">
        <v>1673</v>
      </c>
      <c r="BB201" s="420">
        <v>0.909145248057382</v>
      </c>
      <c r="BD201" s="420">
        <v>0</v>
      </c>
      <c r="BE201" s="420">
        <v>0</v>
      </c>
      <c r="BF201" s="421">
        <v>0</v>
      </c>
      <c r="BG201" s="421">
        <v>0</v>
      </c>
      <c r="BH201" s="419"/>
      <c r="BI201" s="421">
        <v>0</v>
      </c>
      <c r="BJ201" s="419"/>
      <c r="BK201" s="421">
        <v>1811.8799999999999</v>
      </c>
      <c r="BL201" s="421">
        <v>115437</v>
      </c>
      <c r="BM201" s="421">
        <v>-193073.23</v>
      </c>
      <c r="BN201" s="419"/>
      <c r="BO201" s="421">
        <v>-60032.6572009027</v>
      </c>
      <c r="BP201" s="421">
        <v>568854</v>
      </c>
      <c r="BQ201" s="421">
        <v>160404</v>
      </c>
      <c r="BR201" s="421">
        <v>347711.14435782126</v>
      </c>
      <c r="BS201" s="421">
        <v>18609.89689071376</v>
      </c>
      <c r="BT201" s="421">
        <v>54407.33896008739</v>
      </c>
      <c r="BU201" s="421">
        <v>220486.06081992874</v>
      </c>
      <c r="BV201" s="421">
        <v>276663.9387210996</v>
      </c>
      <c r="BW201" s="421">
        <v>449731.40092725924</v>
      </c>
      <c r="BX201" s="421">
        <v>115058.54717717654</v>
      </c>
      <c r="BY201" s="421">
        <v>223906.49939928832</v>
      </c>
      <c r="BZ201" s="419"/>
      <c r="CA201" s="421">
        <v>-271249.98354241444</v>
      </c>
      <c r="CB201" s="419"/>
      <c r="CC201" s="419"/>
      <c r="CD201" s="419"/>
      <c r="CE201" s="421">
        <v>306356.2436480395</v>
      </c>
      <c r="CF201" s="421">
        <v>164017.38871118447</v>
      </c>
      <c r="CG201" s="421">
        <v>200008.2237631229</v>
      </c>
      <c r="CH201" s="421">
        <v>-22489.951537447778</v>
      </c>
      <c r="CI201" s="419"/>
      <c r="CJ201" s="421">
        <v>988365.8504542012</v>
      </c>
      <c r="CK201" s="421">
        <v>-294930</v>
      </c>
      <c r="CL201" s="421">
        <v>53730.5062</v>
      </c>
      <c r="CM201" s="421">
        <v>47694.208000000006</v>
      </c>
      <c r="CN201" s="421">
        <v>6036.298199999997</v>
      </c>
      <c r="CO201" s="419"/>
      <c r="CP201" s="419"/>
      <c r="CQ201" s="419"/>
      <c r="CR201" s="171">
        <v>1216</v>
      </c>
    </row>
    <row r="202" spans="1:96" ht="9.75">
      <c r="A202" s="203">
        <v>630</v>
      </c>
      <c r="B202" s="203" t="s">
        <v>257</v>
      </c>
      <c r="C202" s="421">
        <v>1593</v>
      </c>
      <c r="D202" s="419"/>
      <c r="E202" s="419"/>
      <c r="F202" s="419"/>
      <c r="G202" s="419"/>
      <c r="H202" s="500">
        <v>4291.05</v>
      </c>
      <c r="I202" s="419"/>
      <c r="J202" s="419"/>
      <c r="K202" s="419"/>
      <c r="L202" s="419"/>
      <c r="M202" s="419"/>
      <c r="N202" s="419"/>
      <c r="O202" s="419"/>
      <c r="P202" s="419"/>
      <c r="Q202" s="421">
        <v>133</v>
      </c>
      <c r="R202" s="421">
        <v>17</v>
      </c>
      <c r="S202" s="421">
        <v>147</v>
      </c>
      <c r="T202" s="421">
        <v>80</v>
      </c>
      <c r="U202" s="421">
        <v>62</v>
      </c>
      <c r="V202" s="421">
        <v>781</v>
      </c>
      <c r="W202" s="421">
        <v>222</v>
      </c>
      <c r="X202" s="421">
        <v>114</v>
      </c>
      <c r="Y202" s="421">
        <v>37</v>
      </c>
      <c r="Z202" s="419"/>
      <c r="AA202" s="419"/>
      <c r="AB202" s="419"/>
      <c r="AC202" s="419"/>
      <c r="AD202" s="419"/>
      <c r="AE202" s="422">
        <v>1.1985597341567433</v>
      </c>
      <c r="AF202" s="421">
        <v>2538651.067317388</v>
      </c>
      <c r="AG202" s="420">
        <v>59</v>
      </c>
      <c r="AH202" s="420">
        <v>641</v>
      </c>
      <c r="AJ202" s="420">
        <v>40</v>
      </c>
      <c r="AK202" s="420">
        <v>0.025109855618330193</v>
      </c>
      <c r="AM202" s="420">
        <v>0</v>
      </c>
      <c r="AN202" s="420">
        <v>1</v>
      </c>
      <c r="AP202" s="420">
        <v>0</v>
      </c>
      <c r="AQ202" s="420">
        <v>0</v>
      </c>
      <c r="AR202" s="420">
        <v>810.21</v>
      </c>
      <c r="AU202" s="420">
        <v>42</v>
      </c>
      <c r="AV202" s="420">
        <v>373</v>
      </c>
      <c r="AW202" s="420">
        <v>0.1126005361930295</v>
      </c>
      <c r="AY202" s="420">
        <v>1.4501</v>
      </c>
      <c r="AZ202" s="421">
        <v>699</v>
      </c>
      <c r="BA202" s="420">
        <v>572</v>
      </c>
      <c r="BB202" s="420">
        <v>1.222027972027972</v>
      </c>
      <c r="BD202" s="420">
        <v>0</v>
      </c>
      <c r="BE202" s="420">
        <v>0</v>
      </c>
      <c r="BF202" s="421">
        <v>0</v>
      </c>
      <c r="BG202" s="421">
        <v>0</v>
      </c>
      <c r="BH202" s="419"/>
      <c r="BI202" s="421">
        <v>0</v>
      </c>
      <c r="BJ202" s="419"/>
      <c r="BK202" s="421">
        <v>573.48</v>
      </c>
      <c r="BL202" s="421">
        <v>27930</v>
      </c>
      <c r="BM202" s="421">
        <v>-15691.73</v>
      </c>
      <c r="BN202" s="419"/>
      <c r="BO202" s="421">
        <v>-38762.769205734134</v>
      </c>
      <c r="BP202" s="421">
        <v>142597</v>
      </c>
      <c r="BQ202" s="421">
        <v>43369</v>
      </c>
      <c r="BR202" s="421">
        <v>115066.9355321736</v>
      </c>
      <c r="BS202" s="421">
        <v>6926.724569399294</v>
      </c>
      <c r="BT202" s="421">
        <v>14447.999352274763</v>
      </c>
      <c r="BU202" s="421">
        <v>58673.82537882386</v>
      </c>
      <c r="BV202" s="421">
        <v>84154.45967872407</v>
      </c>
      <c r="BW202" s="421">
        <v>133597.43870718923</v>
      </c>
      <c r="BX202" s="421">
        <v>38246.73357772989</v>
      </c>
      <c r="BY202" s="421">
        <v>71275.45868150082</v>
      </c>
      <c r="BZ202" s="419"/>
      <c r="CA202" s="421">
        <v>-14805.284160239758</v>
      </c>
      <c r="CB202" s="419"/>
      <c r="CC202" s="419"/>
      <c r="CD202" s="419"/>
      <c r="CE202" s="421">
        <v>97779.00073956708</v>
      </c>
      <c r="CF202" s="421">
        <v>56073.09259650231</v>
      </c>
      <c r="CG202" s="421">
        <v>69956.23899285945</v>
      </c>
      <c r="CH202" s="421">
        <v>-5416.645434569906</v>
      </c>
      <c r="CI202" s="419"/>
      <c r="CJ202" s="421">
        <v>1410558.6631872328</v>
      </c>
      <c r="CK202" s="421">
        <v>-86061</v>
      </c>
      <c r="CL202" s="421">
        <v>208811.20440000002</v>
      </c>
      <c r="CM202" s="421">
        <v>11923.552000000001</v>
      </c>
      <c r="CN202" s="421">
        <v>196887.65240000002</v>
      </c>
      <c r="CO202" s="419"/>
      <c r="CP202" s="419"/>
      <c r="CQ202" s="419"/>
      <c r="CR202" s="171">
        <v>584</v>
      </c>
    </row>
    <row r="203" spans="1:96" ht="9.75">
      <c r="A203" s="203">
        <v>631</v>
      </c>
      <c r="B203" s="203" t="s">
        <v>258</v>
      </c>
      <c r="C203" s="421">
        <v>1994</v>
      </c>
      <c r="D203" s="419"/>
      <c r="E203" s="419"/>
      <c r="F203" s="419"/>
      <c r="G203" s="419"/>
      <c r="H203" s="500">
        <v>4291.05</v>
      </c>
      <c r="I203" s="419"/>
      <c r="J203" s="419"/>
      <c r="K203" s="419"/>
      <c r="L203" s="419"/>
      <c r="M203" s="419"/>
      <c r="N203" s="419"/>
      <c r="O203" s="419"/>
      <c r="P203" s="419"/>
      <c r="Q203" s="421">
        <v>108</v>
      </c>
      <c r="R203" s="421">
        <v>16</v>
      </c>
      <c r="S203" s="421">
        <v>142</v>
      </c>
      <c r="T203" s="421">
        <v>55</v>
      </c>
      <c r="U203" s="421">
        <v>63</v>
      </c>
      <c r="V203" s="421">
        <v>1028</v>
      </c>
      <c r="W203" s="421">
        <v>338</v>
      </c>
      <c r="X203" s="421">
        <v>170</v>
      </c>
      <c r="Y203" s="421">
        <v>74</v>
      </c>
      <c r="Z203" s="419"/>
      <c r="AA203" s="419"/>
      <c r="AB203" s="419"/>
      <c r="AC203" s="419"/>
      <c r="AD203" s="419"/>
      <c r="AE203" s="422">
        <v>0.9521517004729131</v>
      </c>
      <c r="AF203" s="421">
        <v>2524403.975536718</v>
      </c>
      <c r="AG203" s="420">
        <v>88</v>
      </c>
      <c r="AH203" s="420">
        <v>939</v>
      </c>
      <c r="AJ203" s="420">
        <v>43</v>
      </c>
      <c r="AK203" s="420">
        <v>0.02156469408224674</v>
      </c>
      <c r="AM203" s="420">
        <v>0</v>
      </c>
      <c r="AN203" s="420">
        <v>7</v>
      </c>
      <c r="AP203" s="420">
        <v>0</v>
      </c>
      <c r="AQ203" s="420">
        <v>0</v>
      </c>
      <c r="AR203" s="420">
        <v>143.51</v>
      </c>
      <c r="AU203" s="420">
        <v>79</v>
      </c>
      <c r="AV203" s="420">
        <v>582</v>
      </c>
      <c r="AW203" s="420">
        <v>0.13573883161512026</v>
      </c>
      <c r="AY203" s="420">
        <v>0</v>
      </c>
      <c r="AZ203" s="421">
        <v>498</v>
      </c>
      <c r="BA203" s="420">
        <v>825</v>
      </c>
      <c r="BB203" s="420">
        <v>0.6036363636363636</v>
      </c>
      <c r="BD203" s="420">
        <v>0</v>
      </c>
      <c r="BE203" s="420">
        <v>0</v>
      </c>
      <c r="BF203" s="421">
        <v>0</v>
      </c>
      <c r="BG203" s="421">
        <v>0</v>
      </c>
      <c r="BH203" s="419"/>
      <c r="BI203" s="421">
        <v>0</v>
      </c>
      <c r="BJ203" s="419"/>
      <c r="BK203" s="421">
        <v>717.8399999999999</v>
      </c>
      <c r="BL203" s="421">
        <v>38872</v>
      </c>
      <c r="BM203" s="421">
        <v>-22288.715</v>
      </c>
      <c r="BN203" s="419"/>
      <c r="BO203" s="421">
        <v>125422.74595760088</v>
      </c>
      <c r="BP203" s="421">
        <v>166578</v>
      </c>
      <c r="BQ203" s="421">
        <v>56438</v>
      </c>
      <c r="BR203" s="421">
        <v>129722.21444774065</v>
      </c>
      <c r="BS203" s="421">
        <v>5761.346417775909</v>
      </c>
      <c r="BT203" s="421">
        <v>-32797.7229609648</v>
      </c>
      <c r="BU203" s="421">
        <v>53378.44238395563</v>
      </c>
      <c r="BV203" s="421">
        <v>104600.43267838539</v>
      </c>
      <c r="BW203" s="421">
        <v>186841.64452944396</v>
      </c>
      <c r="BX203" s="421">
        <v>53002.486559640914</v>
      </c>
      <c r="BY203" s="421">
        <v>88648.77410462896</v>
      </c>
      <c r="BZ203" s="419"/>
      <c r="CA203" s="421">
        <v>9383.631881987802</v>
      </c>
      <c r="CB203" s="419"/>
      <c r="CC203" s="419"/>
      <c r="CD203" s="419"/>
      <c r="CE203" s="421">
        <v>112294.50293525125</v>
      </c>
      <c r="CF203" s="421">
        <v>68189.77324478679</v>
      </c>
      <c r="CG203" s="421">
        <v>88381.44728286787</v>
      </c>
      <c r="CH203" s="421">
        <v>-9695.310535549872</v>
      </c>
      <c r="CI203" s="419"/>
      <c r="CJ203" s="421">
        <v>884926.7701375989</v>
      </c>
      <c r="CK203" s="421">
        <v>-524950</v>
      </c>
      <c r="CL203" s="421">
        <v>14904.44</v>
      </c>
      <c r="CM203" s="421">
        <v>692609.3268</v>
      </c>
      <c r="CN203" s="421">
        <v>-677704.8868000001</v>
      </c>
      <c r="CO203" s="419"/>
      <c r="CP203" s="419"/>
      <c r="CQ203" s="419"/>
      <c r="CR203" s="171">
        <v>508</v>
      </c>
    </row>
    <row r="204" spans="1:96" ht="9.75">
      <c r="A204" s="203">
        <v>635</v>
      </c>
      <c r="B204" s="203" t="s">
        <v>259</v>
      </c>
      <c r="C204" s="421">
        <v>6415</v>
      </c>
      <c r="D204" s="419"/>
      <c r="E204" s="419"/>
      <c r="F204" s="419"/>
      <c r="G204" s="419"/>
      <c r="H204" s="500">
        <v>4291.05</v>
      </c>
      <c r="I204" s="419"/>
      <c r="J204" s="419"/>
      <c r="K204" s="419"/>
      <c r="L204" s="419"/>
      <c r="M204" s="419"/>
      <c r="N204" s="419"/>
      <c r="O204" s="419"/>
      <c r="P204" s="419"/>
      <c r="Q204" s="421">
        <v>306</v>
      </c>
      <c r="R204" s="421">
        <v>49</v>
      </c>
      <c r="S204" s="421">
        <v>424</v>
      </c>
      <c r="T204" s="421">
        <v>232</v>
      </c>
      <c r="U204" s="421">
        <v>210</v>
      </c>
      <c r="V204" s="421">
        <v>3299</v>
      </c>
      <c r="W204" s="421">
        <v>1039</v>
      </c>
      <c r="X204" s="421">
        <v>610</v>
      </c>
      <c r="Y204" s="421">
        <v>246</v>
      </c>
      <c r="Z204" s="419"/>
      <c r="AA204" s="419"/>
      <c r="AB204" s="419"/>
      <c r="AC204" s="419"/>
      <c r="AD204" s="419"/>
      <c r="AE204" s="422">
        <v>1.1771518609814808</v>
      </c>
      <c r="AF204" s="421">
        <v>10040531.611854848</v>
      </c>
      <c r="AG204" s="420">
        <v>288</v>
      </c>
      <c r="AH204" s="420">
        <v>2815</v>
      </c>
      <c r="AJ204" s="420">
        <v>167</v>
      </c>
      <c r="AK204" s="420">
        <v>0.02603273577552611</v>
      </c>
      <c r="AM204" s="420">
        <v>0</v>
      </c>
      <c r="AN204" s="420">
        <v>27</v>
      </c>
      <c r="AP204" s="420">
        <v>0</v>
      </c>
      <c r="AQ204" s="420">
        <v>0</v>
      </c>
      <c r="AR204" s="420">
        <v>560.7</v>
      </c>
      <c r="AU204" s="420">
        <v>233</v>
      </c>
      <c r="AV204" s="420">
        <v>1797</v>
      </c>
      <c r="AW204" s="420">
        <v>0.1296605453533667</v>
      </c>
      <c r="AY204" s="420">
        <v>0</v>
      </c>
      <c r="AZ204" s="421">
        <v>1871</v>
      </c>
      <c r="BA204" s="420">
        <v>2570</v>
      </c>
      <c r="BB204" s="420">
        <v>0.7280155642023346</v>
      </c>
      <c r="BD204" s="420">
        <v>0</v>
      </c>
      <c r="BE204" s="420">
        <v>0</v>
      </c>
      <c r="BF204" s="421">
        <v>0</v>
      </c>
      <c r="BG204" s="421">
        <v>0</v>
      </c>
      <c r="BH204" s="419"/>
      <c r="BI204" s="421">
        <v>0</v>
      </c>
      <c r="BJ204" s="419"/>
      <c r="BK204" s="421">
        <v>2309.4</v>
      </c>
      <c r="BL204" s="421">
        <v>-130052</v>
      </c>
      <c r="BM204" s="421">
        <v>-190997.57</v>
      </c>
      <c r="BN204" s="419"/>
      <c r="BO204" s="421">
        <v>-12804.24278062582</v>
      </c>
      <c r="BP204" s="421">
        <v>642019</v>
      </c>
      <c r="BQ204" s="421">
        <v>195798</v>
      </c>
      <c r="BR204" s="421">
        <v>456431.13350845047</v>
      </c>
      <c r="BS204" s="421">
        <v>18923.51818230522</v>
      </c>
      <c r="BT204" s="421">
        <v>38485.85235614743</v>
      </c>
      <c r="BU204" s="421">
        <v>180396.70705651797</v>
      </c>
      <c r="BV204" s="421">
        <v>367715.8901137397</v>
      </c>
      <c r="BW204" s="421">
        <v>580818.1819355405</v>
      </c>
      <c r="BX204" s="421">
        <v>180688.9369229741</v>
      </c>
      <c r="BY204" s="421">
        <v>312527.8583041322</v>
      </c>
      <c r="BZ204" s="419"/>
      <c r="CA204" s="421">
        <v>28945.692172771458</v>
      </c>
      <c r="CB204" s="419"/>
      <c r="CC204" s="419"/>
      <c r="CD204" s="419"/>
      <c r="CE204" s="421">
        <v>425403.13553182187</v>
      </c>
      <c r="CF204" s="421">
        <v>247451.07246388606</v>
      </c>
      <c r="CG204" s="421">
        <v>300285.7568777776</v>
      </c>
      <c r="CH204" s="421">
        <v>-27593.529697317845</v>
      </c>
      <c r="CI204" s="419"/>
      <c r="CJ204" s="421">
        <v>4268015.080502563</v>
      </c>
      <c r="CK204" s="421">
        <v>-782555</v>
      </c>
      <c r="CL204" s="421">
        <v>247413.70399999997</v>
      </c>
      <c r="CM204" s="421">
        <v>707141.1558</v>
      </c>
      <c r="CN204" s="421">
        <v>-459727.4518</v>
      </c>
      <c r="CO204" s="419"/>
      <c r="CP204" s="419"/>
      <c r="CQ204" s="419"/>
      <c r="CR204" s="171">
        <v>1616</v>
      </c>
    </row>
    <row r="205" spans="1:96" ht="9.75">
      <c r="A205" s="203">
        <v>636</v>
      </c>
      <c r="B205" s="203" t="s">
        <v>260</v>
      </c>
      <c r="C205" s="421">
        <v>8229</v>
      </c>
      <c r="D205" s="419"/>
      <c r="E205" s="419"/>
      <c r="F205" s="419"/>
      <c r="G205" s="419"/>
      <c r="H205" s="500">
        <v>4291.05</v>
      </c>
      <c r="I205" s="419"/>
      <c r="J205" s="419"/>
      <c r="K205" s="419"/>
      <c r="L205" s="419"/>
      <c r="M205" s="419"/>
      <c r="N205" s="419"/>
      <c r="O205" s="419"/>
      <c r="P205" s="419"/>
      <c r="Q205" s="421">
        <v>461</v>
      </c>
      <c r="R205" s="421">
        <v>122</v>
      </c>
      <c r="S205" s="421">
        <v>665</v>
      </c>
      <c r="T205" s="421">
        <v>292</v>
      </c>
      <c r="U205" s="421">
        <v>308</v>
      </c>
      <c r="V205" s="421">
        <v>4272</v>
      </c>
      <c r="W205" s="421">
        <v>1175</v>
      </c>
      <c r="X205" s="421">
        <v>663</v>
      </c>
      <c r="Y205" s="421">
        <v>271</v>
      </c>
      <c r="Z205" s="419"/>
      <c r="AA205" s="419"/>
      <c r="AB205" s="419"/>
      <c r="AC205" s="419"/>
      <c r="AD205" s="419"/>
      <c r="AE205" s="422">
        <v>0.9933608355080167</v>
      </c>
      <c r="AF205" s="421">
        <v>10868801.289116187</v>
      </c>
      <c r="AG205" s="420">
        <v>380</v>
      </c>
      <c r="AH205" s="420">
        <v>3722</v>
      </c>
      <c r="AJ205" s="420">
        <v>332</v>
      </c>
      <c r="AK205" s="420">
        <v>0.04034512091384129</v>
      </c>
      <c r="AM205" s="420">
        <v>0</v>
      </c>
      <c r="AN205" s="420">
        <v>48</v>
      </c>
      <c r="AP205" s="420">
        <v>0</v>
      </c>
      <c r="AQ205" s="420">
        <v>0</v>
      </c>
      <c r="AR205" s="420">
        <v>749.94</v>
      </c>
      <c r="AU205" s="420">
        <v>444</v>
      </c>
      <c r="AV205" s="420">
        <v>2453</v>
      </c>
      <c r="AW205" s="420">
        <v>0.18100285364859356</v>
      </c>
      <c r="AY205" s="420">
        <v>0</v>
      </c>
      <c r="AZ205" s="421">
        <v>2499</v>
      </c>
      <c r="BA205" s="420">
        <v>3394</v>
      </c>
      <c r="BB205" s="420">
        <v>0.7362993517972893</v>
      </c>
      <c r="BD205" s="420">
        <v>0</v>
      </c>
      <c r="BE205" s="420">
        <v>3</v>
      </c>
      <c r="BF205" s="421">
        <v>0</v>
      </c>
      <c r="BG205" s="421">
        <v>0</v>
      </c>
      <c r="BH205" s="419"/>
      <c r="BI205" s="421">
        <v>0</v>
      </c>
      <c r="BJ205" s="419"/>
      <c r="BK205" s="421">
        <v>2962.44</v>
      </c>
      <c r="BL205" s="421">
        <v>-25759</v>
      </c>
      <c r="BM205" s="421">
        <v>-240715.24</v>
      </c>
      <c r="BN205" s="419"/>
      <c r="BO205" s="421">
        <v>4699.763645730913</v>
      </c>
      <c r="BP205" s="421">
        <v>728276</v>
      </c>
      <c r="BQ205" s="421">
        <v>246779</v>
      </c>
      <c r="BR205" s="421">
        <v>568370.5156629826</v>
      </c>
      <c r="BS205" s="421">
        <v>26839.74081675102</v>
      </c>
      <c r="BT205" s="421">
        <v>50553.860423168335</v>
      </c>
      <c r="BU205" s="421">
        <v>235055.66469803228</v>
      </c>
      <c r="BV205" s="421">
        <v>500128.3131237348</v>
      </c>
      <c r="BW205" s="421">
        <v>790161.8219502514</v>
      </c>
      <c r="BX205" s="421">
        <v>233954.87761570083</v>
      </c>
      <c r="BY205" s="421">
        <v>406319.4653399742</v>
      </c>
      <c r="BZ205" s="419"/>
      <c r="CA205" s="421">
        <v>4953.786248370576</v>
      </c>
      <c r="CB205" s="419"/>
      <c r="CC205" s="419"/>
      <c r="CD205" s="419"/>
      <c r="CE205" s="421">
        <v>551237.1364516926</v>
      </c>
      <c r="CF205" s="421">
        <v>327075.0484197885</v>
      </c>
      <c r="CG205" s="421">
        <v>401260.45093041</v>
      </c>
      <c r="CH205" s="421">
        <v>-32847.90148356892</v>
      </c>
      <c r="CI205" s="419"/>
      <c r="CJ205" s="421">
        <v>5704614.683962793</v>
      </c>
      <c r="CK205" s="421">
        <v>-688258</v>
      </c>
      <c r="CL205" s="421">
        <v>463602.6062000001</v>
      </c>
      <c r="CM205" s="421">
        <v>130339.3278</v>
      </c>
      <c r="CN205" s="421">
        <v>333263.27840000007</v>
      </c>
      <c r="CO205" s="419"/>
      <c r="CP205" s="419"/>
      <c r="CQ205" s="419"/>
      <c r="CR205" s="171">
        <v>2438</v>
      </c>
    </row>
    <row r="206" spans="1:96" ht="9.75">
      <c r="A206" s="203">
        <v>678</v>
      </c>
      <c r="B206" s="203" t="s">
        <v>261</v>
      </c>
      <c r="C206" s="421">
        <v>24353</v>
      </c>
      <c r="D206" s="419"/>
      <c r="E206" s="419"/>
      <c r="F206" s="419"/>
      <c r="G206" s="419"/>
      <c r="H206" s="500">
        <v>4291.05</v>
      </c>
      <c r="I206" s="419"/>
      <c r="J206" s="419"/>
      <c r="K206" s="419"/>
      <c r="L206" s="419"/>
      <c r="M206" s="419"/>
      <c r="N206" s="419"/>
      <c r="O206" s="419"/>
      <c r="P206" s="419"/>
      <c r="Q206" s="421">
        <v>1397</v>
      </c>
      <c r="R206" s="421">
        <v>303</v>
      </c>
      <c r="S206" s="421">
        <v>2025</v>
      </c>
      <c r="T206" s="421">
        <v>1011</v>
      </c>
      <c r="U206" s="421">
        <v>934</v>
      </c>
      <c r="V206" s="421">
        <v>12376</v>
      </c>
      <c r="W206" s="421">
        <v>3765</v>
      </c>
      <c r="X206" s="421">
        <v>1863</v>
      </c>
      <c r="Y206" s="421">
        <v>679</v>
      </c>
      <c r="Z206" s="419"/>
      <c r="AA206" s="419"/>
      <c r="AB206" s="419"/>
      <c r="AC206" s="419"/>
      <c r="AD206" s="419"/>
      <c r="AE206" s="422">
        <v>1.3872616770455652</v>
      </c>
      <c r="AF206" s="421">
        <v>44919861.656650394</v>
      </c>
      <c r="AG206" s="420">
        <v>1493</v>
      </c>
      <c r="AH206" s="420">
        <v>10240</v>
      </c>
      <c r="AJ206" s="420">
        <v>739</v>
      </c>
      <c r="AK206" s="420">
        <v>0.030345337330103066</v>
      </c>
      <c r="AM206" s="420">
        <v>0</v>
      </c>
      <c r="AN206" s="420">
        <v>15</v>
      </c>
      <c r="AP206" s="420">
        <v>0</v>
      </c>
      <c r="AQ206" s="420">
        <v>0</v>
      </c>
      <c r="AR206" s="420">
        <v>1015.34</v>
      </c>
      <c r="AU206" s="420">
        <v>801</v>
      </c>
      <c r="AV206" s="420">
        <v>6975</v>
      </c>
      <c r="AW206" s="420">
        <v>0.11483870967741935</v>
      </c>
      <c r="AY206" s="420">
        <v>0.0161</v>
      </c>
      <c r="AZ206" s="421">
        <v>10056</v>
      </c>
      <c r="BA206" s="420">
        <v>8775</v>
      </c>
      <c r="BB206" s="420">
        <v>1.145982905982906</v>
      </c>
      <c r="BD206" s="420">
        <v>0</v>
      </c>
      <c r="BE206" s="420">
        <v>1</v>
      </c>
      <c r="BF206" s="421">
        <v>0</v>
      </c>
      <c r="BG206" s="421">
        <v>0</v>
      </c>
      <c r="BH206" s="419"/>
      <c r="BI206" s="421">
        <v>0</v>
      </c>
      <c r="BJ206" s="419"/>
      <c r="BK206" s="421">
        <v>8767.08</v>
      </c>
      <c r="BL206" s="421">
        <v>619971</v>
      </c>
      <c r="BM206" s="421">
        <v>-1041009.11</v>
      </c>
      <c r="BN206" s="419"/>
      <c r="BO206" s="421">
        <v>-262736.8353430629</v>
      </c>
      <c r="BP206" s="421">
        <v>1718173</v>
      </c>
      <c r="BQ206" s="421">
        <v>523096</v>
      </c>
      <c r="BR206" s="421">
        <v>1194796.575612194</v>
      </c>
      <c r="BS206" s="421">
        <v>48400.668529056275</v>
      </c>
      <c r="BT206" s="421">
        <v>88377.66139206645</v>
      </c>
      <c r="BU206" s="421">
        <v>693320.6224758168</v>
      </c>
      <c r="BV206" s="421">
        <v>1030296.7893436988</v>
      </c>
      <c r="BW206" s="421">
        <v>1749558.4975446665</v>
      </c>
      <c r="BX206" s="421">
        <v>422834.2612383189</v>
      </c>
      <c r="BY206" s="421">
        <v>858606.1745617748</v>
      </c>
      <c r="BZ206" s="419"/>
      <c r="CA206" s="421">
        <v>191267.64606360756</v>
      </c>
      <c r="CB206" s="419"/>
      <c r="CC206" s="419"/>
      <c r="CD206" s="419"/>
      <c r="CE206" s="421">
        <v>1286850.045633532</v>
      </c>
      <c r="CF206" s="421">
        <v>658927.3352810353</v>
      </c>
      <c r="CG206" s="421">
        <v>839713.6544917111</v>
      </c>
      <c r="CH206" s="421">
        <v>-113481.1909568729</v>
      </c>
      <c r="CI206" s="419"/>
      <c r="CJ206" s="421">
        <v>9606537.61159985</v>
      </c>
      <c r="CK206" s="421">
        <v>-907211</v>
      </c>
      <c r="CL206" s="421">
        <v>250767.20299999998</v>
      </c>
      <c r="CM206" s="421">
        <v>608235.29196</v>
      </c>
      <c r="CN206" s="421">
        <v>-357468.08895999996</v>
      </c>
      <c r="CO206" s="419"/>
      <c r="CP206" s="419"/>
      <c r="CQ206" s="419"/>
      <c r="CR206" s="171">
        <v>7754</v>
      </c>
    </row>
    <row r="207" spans="1:96" ht="9.75">
      <c r="A207" s="203">
        <v>710</v>
      </c>
      <c r="B207" s="203" t="s">
        <v>262</v>
      </c>
      <c r="C207" s="421">
        <v>27528</v>
      </c>
      <c r="D207" s="419"/>
      <c r="E207" s="419"/>
      <c r="F207" s="419"/>
      <c r="G207" s="419"/>
      <c r="H207" s="500">
        <v>4291.05</v>
      </c>
      <c r="I207" s="419"/>
      <c r="J207" s="419"/>
      <c r="K207" s="419"/>
      <c r="L207" s="419"/>
      <c r="M207" s="419"/>
      <c r="N207" s="419"/>
      <c r="O207" s="419"/>
      <c r="P207" s="419"/>
      <c r="Q207" s="421">
        <v>1371</v>
      </c>
      <c r="R207" s="421">
        <v>239</v>
      </c>
      <c r="S207" s="421">
        <v>1759</v>
      </c>
      <c r="T207" s="421">
        <v>972</v>
      </c>
      <c r="U207" s="421">
        <v>786</v>
      </c>
      <c r="V207" s="421">
        <v>14814</v>
      </c>
      <c r="W207" s="421">
        <v>4044</v>
      </c>
      <c r="X207" s="421">
        <v>2517</v>
      </c>
      <c r="Y207" s="421">
        <v>1026</v>
      </c>
      <c r="Z207" s="419"/>
      <c r="AA207" s="419"/>
      <c r="AB207" s="419"/>
      <c r="AC207" s="419"/>
      <c r="AD207" s="419"/>
      <c r="AE207" s="422">
        <v>0.961431079478826</v>
      </c>
      <c r="AF207" s="421">
        <v>35190089.42373986</v>
      </c>
      <c r="AG207" s="420">
        <v>1436</v>
      </c>
      <c r="AH207" s="420">
        <v>12629</v>
      </c>
      <c r="AJ207" s="420">
        <v>1362</v>
      </c>
      <c r="AK207" s="420">
        <v>0.0494768962510898</v>
      </c>
      <c r="AM207" s="420">
        <v>3</v>
      </c>
      <c r="AN207" s="420">
        <v>17689</v>
      </c>
      <c r="AP207" s="420">
        <v>3</v>
      </c>
      <c r="AQ207" s="420">
        <v>1784</v>
      </c>
      <c r="AR207" s="420">
        <v>1148.34</v>
      </c>
      <c r="AU207" s="420">
        <v>1346</v>
      </c>
      <c r="AV207" s="420">
        <v>8161</v>
      </c>
      <c r="AW207" s="420">
        <v>0.16493076828819997</v>
      </c>
      <c r="AY207" s="420">
        <v>0</v>
      </c>
      <c r="AZ207" s="421">
        <v>9917</v>
      </c>
      <c r="BA207" s="420">
        <v>11410</v>
      </c>
      <c r="BB207" s="420">
        <v>0.8691498685363716</v>
      </c>
      <c r="BD207" s="420">
        <v>0</v>
      </c>
      <c r="BE207" s="420">
        <v>1</v>
      </c>
      <c r="BF207" s="421">
        <v>0</v>
      </c>
      <c r="BG207" s="421">
        <v>0</v>
      </c>
      <c r="BH207" s="419"/>
      <c r="BI207" s="421">
        <v>0</v>
      </c>
      <c r="BJ207" s="419"/>
      <c r="BK207" s="421">
        <v>9910.08</v>
      </c>
      <c r="BL207" s="421">
        <v>-62333</v>
      </c>
      <c r="BM207" s="421">
        <v>-1313382.2203</v>
      </c>
      <c r="BN207" s="419"/>
      <c r="BO207" s="421">
        <v>100751.36435972154</v>
      </c>
      <c r="BP207" s="421">
        <v>2274555</v>
      </c>
      <c r="BQ207" s="421">
        <v>774472</v>
      </c>
      <c r="BR207" s="421">
        <v>1740977.2657312586</v>
      </c>
      <c r="BS207" s="421">
        <v>55966.14853698343</v>
      </c>
      <c r="BT207" s="421">
        <v>183065.70473621695</v>
      </c>
      <c r="BU207" s="421">
        <v>718511.309927462</v>
      </c>
      <c r="BV207" s="421">
        <v>1375150.3688940979</v>
      </c>
      <c r="BW207" s="421">
        <v>2388585.246096866</v>
      </c>
      <c r="BX207" s="421">
        <v>737475.7514669271</v>
      </c>
      <c r="BY207" s="421">
        <v>1230032.8171418419</v>
      </c>
      <c r="BZ207" s="419"/>
      <c r="CA207" s="421">
        <v>172455.36826989887</v>
      </c>
      <c r="CB207" s="419"/>
      <c r="CC207" s="419"/>
      <c r="CD207" s="419"/>
      <c r="CE207" s="421">
        <v>1550371.8240211143</v>
      </c>
      <c r="CF207" s="421">
        <v>960423.9673437634</v>
      </c>
      <c r="CG207" s="421">
        <v>1234560.0349576927</v>
      </c>
      <c r="CH207" s="421">
        <v>-137329.41632632533</v>
      </c>
      <c r="CI207" s="419"/>
      <c r="CJ207" s="421">
        <v>11590422.106952233</v>
      </c>
      <c r="CK207" s="421">
        <v>-695997</v>
      </c>
      <c r="CL207" s="421">
        <v>469787.94879999995</v>
      </c>
      <c r="CM207" s="421">
        <v>1541880.7128839998</v>
      </c>
      <c r="CN207" s="421">
        <v>-1072092.764084</v>
      </c>
      <c r="CO207" s="419"/>
      <c r="CP207" s="419"/>
      <c r="CQ207" s="419"/>
      <c r="CR207" s="171">
        <v>7464</v>
      </c>
    </row>
    <row r="208" spans="1:96" ht="9.75">
      <c r="A208" s="203">
        <v>680</v>
      </c>
      <c r="B208" s="203" t="s">
        <v>263</v>
      </c>
      <c r="C208" s="421">
        <v>24407</v>
      </c>
      <c r="D208" s="419"/>
      <c r="E208" s="419"/>
      <c r="F208" s="419"/>
      <c r="G208" s="419"/>
      <c r="H208" s="500">
        <v>4291.05</v>
      </c>
      <c r="I208" s="419"/>
      <c r="J208" s="419"/>
      <c r="K208" s="419"/>
      <c r="L208" s="419"/>
      <c r="M208" s="419"/>
      <c r="N208" s="419"/>
      <c r="O208" s="419"/>
      <c r="P208" s="419"/>
      <c r="Q208" s="421">
        <v>1384</v>
      </c>
      <c r="R208" s="421">
        <v>279</v>
      </c>
      <c r="S208" s="421">
        <v>1595</v>
      </c>
      <c r="T208" s="421">
        <v>791</v>
      </c>
      <c r="U208" s="421">
        <v>815</v>
      </c>
      <c r="V208" s="421">
        <v>13864</v>
      </c>
      <c r="W208" s="421">
        <v>3197</v>
      </c>
      <c r="X208" s="421">
        <v>1776</v>
      </c>
      <c r="Y208" s="421">
        <v>706</v>
      </c>
      <c r="Z208" s="419"/>
      <c r="AA208" s="419"/>
      <c r="AB208" s="419"/>
      <c r="AC208" s="419"/>
      <c r="AD208" s="419"/>
      <c r="AE208" s="422">
        <v>0.9653352857934969</v>
      </c>
      <c r="AF208" s="421">
        <v>31327095.79117129</v>
      </c>
      <c r="AG208" s="420">
        <v>1298</v>
      </c>
      <c r="AH208" s="420">
        <v>11666</v>
      </c>
      <c r="AJ208" s="420">
        <v>2222</v>
      </c>
      <c r="AK208" s="420">
        <v>0.09103945589380096</v>
      </c>
      <c r="AM208" s="420">
        <v>0</v>
      </c>
      <c r="AN208" s="420">
        <v>334</v>
      </c>
      <c r="AP208" s="420">
        <v>0</v>
      </c>
      <c r="AQ208" s="420">
        <v>0</v>
      </c>
      <c r="AR208" s="420">
        <v>48.76</v>
      </c>
      <c r="AU208" s="420">
        <v>1074</v>
      </c>
      <c r="AV208" s="420">
        <v>7765</v>
      </c>
      <c r="AW208" s="420">
        <v>0.13831294269156472</v>
      </c>
      <c r="AY208" s="420">
        <v>0</v>
      </c>
      <c r="AZ208" s="421">
        <v>10697</v>
      </c>
      <c r="BA208" s="420">
        <v>10718</v>
      </c>
      <c r="BB208" s="420">
        <v>0.9980406792311999</v>
      </c>
      <c r="BD208" s="420">
        <v>0</v>
      </c>
      <c r="BE208" s="420">
        <v>0</v>
      </c>
      <c r="BF208" s="421">
        <v>0</v>
      </c>
      <c r="BG208" s="421">
        <v>0</v>
      </c>
      <c r="BH208" s="419"/>
      <c r="BI208" s="421">
        <v>0</v>
      </c>
      <c r="BJ208" s="419"/>
      <c r="BK208" s="421">
        <v>8786.52</v>
      </c>
      <c r="BL208" s="421">
        <v>-382405</v>
      </c>
      <c r="BM208" s="421">
        <v>-1540393.70485</v>
      </c>
      <c r="BN208" s="419"/>
      <c r="BO208" s="421">
        <v>-208527.08328069</v>
      </c>
      <c r="BP208" s="421">
        <v>1528954</v>
      </c>
      <c r="BQ208" s="421">
        <v>539128</v>
      </c>
      <c r="BR208" s="421">
        <v>1052685.2707331371</v>
      </c>
      <c r="BS208" s="421">
        <v>26314.82731204461</v>
      </c>
      <c r="BT208" s="421">
        <v>-43151.45647350224</v>
      </c>
      <c r="BU208" s="421">
        <v>577164.9349497573</v>
      </c>
      <c r="BV208" s="421">
        <v>1044890.0202465078</v>
      </c>
      <c r="BW208" s="421">
        <v>1811262.2017673086</v>
      </c>
      <c r="BX208" s="421">
        <v>522894.02766410855</v>
      </c>
      <c r="BY208" s="421">
        <v>949681.4101408351</v>
      </c>
      <c r="BZ208" s="419"/>
      <c r="CA208" s="421">
        <v>-36477.504698191886</v>
      </c>
      <c r="CB208" s="419"/>
      <c r="CC208" s="419"/>
      <c r="CD208" s="419"/>
      <c r="CE208" s="421">
        <v>1144307.0500356471</v>
      </c>
      <c r="CF208" s="421">
        <v>773158.6509457683</v>
      </c>
      <c r="CG208" s="421">
        <v>1032359.4192261276</v>
      </c>
      <c r="CH208" s="421">
        <v>-118833.4592398731</v>
      </c>
      <c r="CI208" s="419"/>
      <c r="CJ208" s="421">
        <v>321944.1035152179</v>
      </c>
      <c r="CK208" s="421">
        <v>-980961</v>
      </c>
      <c r="CL208" s="421">
        <v>667793.4341999999</v>
      </c>
      <c r="CM208" s="421">
        <v>1952615.77996</v>
      </c>
      <c r="CN208" s="421">
        <v>-1284822.34576</v>
      </c>
      <c r="CO208" s="419"/>
      <c r="CP208" s="419"/>
      <c r="CQ208" s="419"/>
      <c r="CR208" s="171">
        <v>7196</v>
      </c>
    </row>
    <row r="209" spans="1:96" ht="9.75">
      <c r="A209" s="203">
        <v>681</v>
      </c>
      <c r="B209" s="203" t="s">
        <v>264</v>
      </c>
      <c r="C209" s="421">
        <v>3364</v>
      </c>
      <c r="D209" s="419"/>
      <c r="E209" s="419"/>
      <c r="F209" s="419"/>
      <c r="G209" s="419"/>
      <c r="H209" s="500">
        <v>4291.05</v>
      </c>
      <c r="I209" s="419"/>
      <c r="J209" s="419"/>
      <c r="K209" s="419"/>
      <c r="L209" s="419"/>
      <c r="M209" s="419"/>
      <c r="N209" s="419"/>
      <c r="O209" s="419"/>
      <c r="P209" s="419"/>
      <c r="Q209" s="421">
        <v>126</v>
      </c>
      <c r="R209" s="421">
        <v>31</v>
      </c>
      <c r="S209" s="421">
        <v>167</v>
      </c>
      <c r="T209" s="421">
        <v>84</v>
      </c>
      <c r="U209" s="421">
        <v>106</v>
      </c>
      <c r="V209" s="421">
        <v>1651</v>
      </c>
      <c r="W209" s="421">
        <v>672</v>
      </c>
      <c r="X209" s="421">
        <v>364</v>
      </c>
      <c r="Y209" s="421">
        <v>163</v>
      </c>
      <c r="Z209" s="419"/>
      <c r="AA209" s="419"/>
      <c r="AB209" s="419"/>
      <c r="AC209" s="419"/>
      <c r="AD209" s="419"/>
      <c r="AE209" s="422">
        <v>1.2884090192366928</v>
      </c>
      <c r="AF209" s="421">
        <v>5762849.754473552</v>
      </c>
      <c r="AG209" s="420">
        <v>190</v>
      </c>
      <c r="AH209" s="420">
        <v>1436</v>
      </c>
      <c r="AJ209" s="420">
        <v>112</v>
      </c>
      <c r="AK209" s="420">
        <v>0.03329369797859691</v>
      </c>
      <c r="AM209" s="420">
        <v>0</v>
      </c>
      <c r="AN209" s="420">
        <v>6</v>
      </c>
      <c r="AP209" s="420">
        <v>0</v>
      </c>
      <c r="AQ209" s="420">
        <v>0</v>
      </c>
      <c r="AR209" s="420">
        <v>559.29</v>
      </c>
      <c r="AU209" s="420">
        <v>132</v>
      </c>
      <c r="AV209" s="420">
        <v>800</v>
      </c>
      <c r="AW209" s="420">
        <v>0.165</v>
      </c>
      <c r="AY209" s="420">
        <v>0.6063</v>
      </c>
      <c r="AZ209" s="421">
        <v>964</v>
      </c>
      <c r="BA209" s="420">
        <v>1195</v>
      </c>
      <c r="BB209" s="420">
        <v>0.8066945606694561</v>
      </c>
      <c r="BD209" s="420">
        <v>0</v>
      </c>
      <c r="BE209" s="420">
        <v>0</v>
      </c>
      <c r="BF209" s="421">
        <v>0</v>
      </c>
      <c r="BG209" s="421">
        <v>0</v>
      </c>
      <c r="BH209" s="419"/>
      <c r="BI209" s="421">
        <v>0</v>
      </c>
      <c r="BJ209" s="419"/>
      <c r="BK209" s="421">
        <v>1211.04</v>
      </c>
      <c r="BL209" s="421">
        <v>-61714</v>
      </c>
      <c r="BM209" s="421">
        <v>-129712.615</v>
      </c>
      <c r="BN209" s="419"/>
      <c r="BO209" s="421">
        <v>78566.64100998268</v>
      </c>
      <c r="BP209" s="421">
        <v>411804</v>
      </c>
      <c r="BQ209" s="421">
        <v>130474</v>
      </c>
      <c r="BR209" s="421">
        <v>344562.1825584938</v>
      </c>
      <c r="BS209" s="421">
        <v>19231.41621597007</v>
      </c>
      <c r="BT209" s="421">
        <v>10822.416604734512</v>
      </c>
      <c r="BU209" s="421">
        <v>149765.78572192296</v>
      </c>
      <c r="BV209" s="421">
        <v>221860.94889061732</v>
      </c>
      <c r="BW209" s="421">
        <v>352014.0620886088</v>
      </c>
      <c r="BX209" s="421">
        <v>109483.44561055586</v>
      </c>
      <c r="BY209" s="421">
        <v>181810.03428081225</v>
      </c>
      <c r="BZ209" s="419"/>
      <c r="CA209" s="421">
        <v>-5342.658567014834</v>
      </c>
      <c r="CB209" s="419"/>
      <c r="CC209" s="419"/>
      <c r="CD209" s="419"/>
      <c r="CE209" s="421">
        <v>257046.2133631319</v>
      </c>
      <c r="CF209" s="421">
        <v>140634.1848700572</v>
      </c>
      <c r="CG209" s="421">
        <v>161913.10192555303</v>
      </c>
      <c r="CH209" s="421">
        <v>-13433.01873440732</v>
      </c>
      <c r="CI209" s="419"/>
      <c r="CJ209" s="421">
        <v>2901215.520072319</v>
      </c>
      <c r="CK209" s="421">
        <v>-70396</v>
      </c>
      <c r="CL209" s="421">
        <v>55146.42800000001</v>
      </c>
      <c r="CM209" s="421">
        <v>68560.424</v>
      </c>
      <c r="CN209" s="421">
        <v>-13413.995999999992</v>
      </c>
      <c r="CO209" s="419"/>
      <c r="CP209" s="419"/>
      <c r="CQ209" s="419"/>
      <c r="CR209" s="171">
        <v>706</v>
      </c>
    </row>
    <row r="210" spans="1:96" ht="9.75">
      <c r="A210" s="203">
        <v>683</v>
      </c>
      <c r="B210" s="203" t="s">
        <v>265</v>
      </c>
      <c r="C210" s="421">
        <v>3712</v>
      </c>
      <c r="D210" s="419"/>
      <c r="E210" s="419"/>
      <c r="F210" s="419"/>
      <c r="G210" s="419"/>
      <c r="H210" s="500">
        <v>4291.05</v>
      </c>
      <c r="I210" s="419"/>
      <c r="J210" s="419"/>
      <c r="K210" s="419"/>
      <c r="L210" s="419"/>
      <c r="M210" s="419"/>
      <c r="N210" s="419"/>
      <c r="O210" s="419"/>
      <c r="P210" s="419"/>
      <c r="Q210" s="421">
        <v>174</v>
      </c>
      <c r="R210" s="421">
        <v>44</v>
      </c>
      <c r="S210" s="421">
        <v>323</v>
      </c>
      <c r="T210" s="421">
        <v>164</v>
      </c>
      <c r="U210" s="421">
        <v>135</v>
      </c>
      <c r="V210" s="421">
        <v>1771</v>
      </c>
      <c r="W210" s="421">
        <v>646</v>
      </c>
      <c r="X210" s="421">
        <v>325</v>
      </c>
      <c r="Y210" s="421">
        <v>130</v>
      </c>
      <c r="Z210" s="419"/>
      <c r="AA210" s="419"/>
      <c r="AB210" s="419"/>
      <c r="AC210" s="419"/>
      <c r="AD210" s="419"/>
      <c r="AE210" s="422">
        <v>1.1495997137442324</v>
      </c>
      <c r="AF210" s="421">
        <v>5673906.406794102</v>
      </c>
      <c r="AG210" s="420">
        <v>213</v>
      </c>
      <c r="AH210" s="420">
        <v>1459</v>
      </c>
      <c r="AJ210" s="420">
        <v>37</v>
      </c>
      <c r="AK210" s="420">
        <v>0.009967672413793104</v>
      </c>
      <c r="AM210" s="420">
        <v>0</v>
      </c>
      <c r="AN210" s="420">
        <v>3</v>
      </c>
      <c r="AP210" s="420">
        <v>0</v>
      </c>
      <c r="AQ210" s="420">
        <v>0</v>
      </c>
      <c r="AR210" s="420">
        <v>3453.41</v>
      </c>
      <c r="AU210" s="420">
        <v>132</v>
      </c>
      <c r="AV210" s="420">
        <v>805</v>
      </c>
      <c r="AW210" s="420">
        <v>0.1639751552795031</v>
      </c>
      <c r="AY210" s="420">
        <v>1.6934</v>
      </c>
      <c r="AZ210" s="421">
        <v>1203</v>
      </c>
      <c r="BA210" s="420">
        <v>1253</v>
      </c>
      <c r="BB210" s="420">
        <v>0.960095770151636</v>
      </c>
      <c r="BD210" s="420">
        <v>0</v>
      </c>
      <c r="BE210" s="420">
        <v>0</v>
      </c>
      <c r="BF210" s="421">
        <v>0</v>
      </c>
      <c r="BG210" s="421">
        <v>0</v>
      </c>
      <c r="BH210" s="419"/>
      <c r="BI210" s="421">
        <v>0</v>
      </c>
      <c r="BJ210" s="419"/>
      <c r="BK210" s="421">
        <v>1336.32</v>
      </c>
      <c r="BL210" s="421">
        <v>230009</v>
      </c>
      <c r="BM210" s="421">
        <v>-113229.37</v>
      </c>
      <c r="BN210" s="419"/>
      <c r="BO210" s="421">
        <v>26685.365200374275</v>
      </c>
      <c r="BP210" s="421">
        <v>390442</v>
      </c>
      <c r="BQ210" s="421">
        <v>122609</v>
      </c>
      <c r="BR210" s="421">
        <v>347331.21264556574</v>
      </c>
      <c r="BS210" s="421">
        <v>19520.681091053913</v>
      </c>
      <c r="BT210" s="421">
        <v>49288.64328394005</v>
      </c>
      <c r="BU210" s="421">
        <v>162882.72037355308</v>
      </c>
      <c r="BV210" s="421">
        <v>214276.4605479164</v>
      </c>
      <c r="BW210" s="421">
        <v>320128.6243718793</v>
      </c>
      <c r="BX210" s="421">
        <v>93831.44175977557</v>
      </c>
      <c r="BY210" s="421">
        <v>177882.02778664883</v>
      </c>
      <c r="BZ210" s="419"/>
      <c r="CA210" s="421">
        <v>32173.621052391634</v>
      </c>
      <c r="CB210" s="419"/>
      <c r="CC210" s="419"/>
      <c r="CD210" s="419"/>
      <c r="CE210" s="421">
        <v>252353.83534358026</v>
      </c>
      <c r="CF210" s="421">
        <v>132981.72406705932</v>
      </c>
      <c r="CG210" s="421">
        <v>157675.76255199657</v>
      </c>
      <c r="CH210" s="421">
        <v>-11644.151286300286</v>
      </c>
      <c r="CI210" s="419"/>
      <c r="CJ210" s="421">
        <v>4665185.189746577</v>
      </c>
      <c r="CK210" s="421">
        <v>155471</v>
      </c>
      <c r="CL210" s="421">
        <v>211643.048</v>
      </c>
      <c r="CM210" s="421">
        <v>169910.616</v>
      </c>
      <c r="CN210" s="421">
        <v>41732.432</v>
      </c>
      <c r="CO210" s="419"/>
      <c r="CP210" s="419"/>
      <c r="CQ210" s="419"/>
      <c r="CR210" s="171">
        <v>1120</v>
      </c>
    </row>
    <row r="211" spans="1:96" ht="9.75">
      <c r="A211" s="203">
        <v>684</v>
      </c>
      <c r="B211" s="203" t="s">
        <v>266</v>
      </c>
      <c r="C211" s="421">
        <v>39040</v>
      </c>
      <c r="D211" s="419"/>
      <c r="E211" s="419"/>
      <c r="F211" s="419"/>
      <c r="G211" s="419"/>
      <c r="H211" s="500">
        <v>4291.05</v>
      </c>
      <c r="I211" s="419"/>
      <c r="J211" s="419"/>
      <c r="K211" s="419"/>
      <c r="L211" s="419"/>
      <c r="M211" s="419"/>
      <c r="N211" s="419"/>
      <c r="O211" s="419"/>
      <c r="P211" s="419"/>
      <c r="Q211" s="421">
        <v>1972</v>
      </c>
      <c r="R211" s="421">
        <v>388</v>
      </c>
      <c r="S211" s="421">
        <v>2434</v>
      </c>
      <c r="T211" s="421">
        <v>1238</v>
      </c>
      <c r="U211" s="421">
        <v>1173</v>
      </c>
      <c r="V211" s="421">
        <v>21593</v>
      </c>
      <c r="W211" s="421">
        <v>5667</v>
      </c>
      <c r="X211" s="421">
        <v>3219</v>
      </c>
      <c r="Y211" s="421">
        <v>1356</v>
      </c>
      <c r="Z211" s="419"/>
      <c r="AA211" s="419"/>
      <c r="AB211" s="419"/>
      <c r="AC211" s="419"/>
      <c r="AD211" s="419"/>
      <c r="AE211" s="422">
        <v>0.9425034596577001</v>
      </c>
      <c r="AF211" s="421">
        <v>48923815.027556986</v>
      </c>
      <c r="AG211" s="420">
        <v>2042</v>
      </c>
      <c r="AH211" s="420">
        <v>18372</v>
      </c>
      <c r="AJ211" s="420">
        <v>2687</v>
      </c>
      <c r="AK211" s="420">
        <v>0.06882684426229509</v>
      </c>
      <c r="AM211" s="420">
        <v>0</v>
      </c>
      <c r="AN211" s="420">
        <v>114</v>
      </c>
      <c r="AP211" s="420">
        <v>0</v>
      </c>
      <c r="AQ211" s="420">
        <v>0</v>
      </c>
      <c r="AR211" s="420">
        <v>496.17</v>
      </c>
      <c r="AU211" s="420">
        <v>1976</v>
      </c>
      <c r="AV211" s="420">
        <v>11770</v>
      </c>
      <c r="AW211" s="420">
        <v>0.16788445199660154</v>
      </c>
      <c r="AY211" s="420">
        <v>0</v>
      </c>
      <c r="AZ211" s="421">
        <v>16720</v>
      </c>
      <c r="BA211" s="420">
        <v>16428</v>
      </c>
      <c r="BB211" s="420">
        <v>1.0177745312880448</v>
      </c>
      <c r="BD211" s="420">
        <v>0</v>
      </c>
      <c r="BE211" s="420">
        <v>0</v>
      </c>
      <c r="BF211" s="421">
        <v>0</v>
      </c>
      <c r="BG211" s="421">
        <v>0</v>
      </c>
      <c r="BH211" s="419"/>
      <c r="BI211" s="421">
        <v>0</v>
      </c>
      <c r="BJ211" s="419"/>
      <c r="BK211" s="421">
        <v>14054.4</v>
      </c>
      <c r="BL211" s="421">
        <v>819888</v>
      </c>
      <c r="BM211" s="421">
        <v>-1570901.5183</v>
      </c>
      <c r="BN211" s="419"/>
      <c r="BO211" s="421">
        <v>441723.179392606</v>
      </c>
      <c r="BP211" s="421">
        <v>2791678</v>
      </c>
      <c r="BQ211" s="421">
        <v>1004850</v>
      </c>
      <c r="BR211" s="421">
        <v>2239849.184151838</v>
      </c>
      <c r="BS211" s="421">
        <v>98973.14985240079</v>
      </c>
      <c r="BT211" s="421">
        <v>-246556.0515552825</v>
      </c>
      <c r="BU211" s="421">
        <v>955269.0614246762</v>
      </c>
      <c r="BV211" s="421">
        <v>1905271.7645717259</v>
      </c>
      <c r="BW211" s="421">
        <v>3014864.1932441685</v>
      </c>
      <c r="BX211" s="421">
        <v>1134287.80984504</v>
      </c>
      <c r="BY211" s="421">
        <v>1813915.256291316</v>
      </c>
      <c r="BZ211" s="419"/>
      <c r="CA211" s="421">
        <v>-673565.637514699</v>
      </c>
      <c r="CB211" s="419"/>
      <c r="CC211" s="419"/>
      <c r="CD211" s="419"/>
      <c r="CE211" s="421">
        <v>4724703.557312804</v>
      </c>
      <c r="CF211" s="421">
        <v>1332597.995242775</v>
      </c>
      <c r="CG211" s="421">
        <v>1680595.7289358445</v>
      </c>
      <c r="CH211" s="421">
        <v>-212630.92883446848</v>
      </c>
      <c r="CI211" s="419"/>
      <c r="CJ211" s="421">
        <v>-4741990.38429094</v>
      </c>
      <c r="CK211" s="421">
        <v>-1150120</v>
      </c>
      <c r="CL211" s="421">
        <v>934955.5212000001</v>
      </c>
      <c r="CM211" s="421">
        <v>4172375.761592</v>
      </c>
      <c r="CN211" s="421">
        <v>-3237420.2403919995</v>
      </c>
      <c r="CO211" s="419"/>
      <c r="CP211" s="419"/>
      <c r="CQ211" s="419"/>
      <c r="CR211" s="171">
        <v>11309</v>
      </c>
    </row>
    <row r="212" spans="1:96" ht="9.75">
      <c r="A212" s="203">
        <v>686</v>
      </c>
      <c r="B212" s="203" t="s">
        <v>267</v>
      </c>
      <c r="C212" s="421">
        <v>3053</v>
      </c>
      <c r="D212" s="419"/>
      <c r="E212" s="419"/>
      <c r="F212" s="419"/>
      <c r="G212" s="419"/>
      <c r="H212" s="500">
        <v>4291.05</v>
      </c>
      <c r="I212" s="419"/>
      <c r="J212" s="419"/>
      <c r="K212" s="419"/>
      <c r="L212" s="419"/>
      <c r="M212" s="419"/>
      <c r="N212" s="419"/>
      <c r="O212" s="419"/>
      <c r="P212" s="419"/>
      <c r="Q212" s="421">
        <v>101</v>
      </c>
      <c r="R212" s="421">
        <v>27</v>
      </c>
      <c r="S212" s="421">
        <v>168</v>
      </c>
      <c r="T212" s="421">
        <v>116</v>
      </c>
      <c r="U212" s="421">
        <v>100</v>
      </c>
      <c r="V212" s="421">
        <v>1440</v>
      </c>
      <c r="W212" s="421">
        <v>612</v>
      </c>
      <c r="X212" s="421">
        <v>349</v>
      </c>
      <c r="Y212" s="421">
        <v>140</v>
      </c>
      <c r="Z212" s="419"/>
      <c r="AA212" s="419"/>
      <c r="AB212" s="419"/>
      <c r="AC212" s="419"/>
      <c r="AD212" s="419"/>
      <c r="AE212" s="422">
        <v>1.6073604299249111</v>
      </c>
      <c r="AF212" s="421">
        <v>6524806.387783733</v>
      </c>
      <c r="AG212" s="420">
        <v>136</v>
      </c>
      <c r="AH212" s="420">
        <v>1217</v>
      </c>
      <c r="AJ212" s="420">
        <v>74</v>
      </c>
      <c r="AK212" s="420">
        <v>0.024238453979692105</v>
      </c>
      <c r="AM212" s="420">
        <v>0</v>
      </c>
      <c r="AN212" s="420">
        <v>3</v>
      </c>
      <c r="AP212" s="420">
        <v>0</v>
      </c>
      <c r="AQ212" s="420">
        <v>0</v>
      </c>
      <c r="AR212" s="420">
        <v>538.96</v>
      </c>
      <c r="AU212" s="420">
        <v>93</v>
      </c>
      <c r="AV212" s="420">
        <v>745</v>
      </c>
      <c r="AW212" s="420">
        <v>0.12483221476510067</v>
      </c>
      <c r="AY212" s="420">
        <v>0.244</v>
      </c>
      <c r="AZ212" s="421">
        <v>892</v>
      </c>
      <c r="BA212" s="420">
        <v>1054</v>
      </c>
      <c r="BB212" s="420">
        <v>0.8462998102466793</v>
      </c>
      <c r="BD212" s="420">
        <v>0</v>
      </c>
      <c r="BE212" s="420">
        <v>0</v>
      </c>
      <c r="BF212" s="421">
        <v>0</v>
      </c>
      <c r="BG212" s="421">
        <v>0</v>
      </c>
      <c r="BH212" s="419"/>
      <c r="BI212" s="421">
        <v>0</v>
      </c>
      <c r="BJ212" s="419"/>
      <c r="BK212" s="421">
        <v>1099.08</v>
      </c>
      <c r="BL212" s="421">
        <v>82080</v>
      </c>
      <c r="BM212" s="421">
        <v>-117628.68</v>
      </c>
      <c r="BN212" s="419"/>
      <c r="BO212" s="421">
        <v>44659.95051725209</v>
      </c>
      <c r="BP212" s="421">
        <v>362670</v>
      </c>
      <c r="BQ212" s="421">
        <v>102000</v>
      </c>
      <c r="BR212" s="421">
        <v>267642.6833515385</v>
      </c>
      <c r="BS212" s="421">
        <v>13261.625876543416</v>
      </c>
      <c r="BT212" s="421">
        <v>41439.79547026726</v>
      </c>
      <c r="BU212" s="421">
        <v>141735.98122573993</v>
      </c>
      <c r="BV212" s="421">
        <v>170023.73389113502</v>
      </c>
      <c r="BW212" s="421">
        <v>295831.9159426533</v>
      </c>
      <c r="BX212" s="421">
        <v>79431.95436947807</v>
      </c>
      <c r="BY212" s="421">
        <v>154362.25998894344</v>
      </c>
      <c r="BZ212" s="419"/>
      <c r="CA212" s="421">
        <v>9674.597147480374</v>
      </c>
      <c r="CB212" s="419"/>
      <c r="CC212" s="419"/>
      <c r="CD212" s="419"/>
      <c r="CE212" s="421">
        <v>220006.05179252618</v>
      </c>
      <c r="CF212" s="421">
        <v>116377.74932455209</v>
      </c>
      <c r="CG212" s="421">
        <v>134793.30615122084</v>
      </c>
      <c r="CH212" s="421">
        <v>-12336.71214306717</v>
      </c>
      <c r="CI212" s="419"/>
      <c r="CJ212" s="421">
        <v>2897479.4499597955</v>
      </c>
      <c r="CK212" s="421">
        <v>105714</v>
      </c>
      <c r="CL212" s="421">
        <v>76012.644</v>
      </c>
      <c r="CM212" s="421">
        <v>81527.2868</v>
      </c>
      <c r="CN212" s="421">
        <v>-5514.642800000001</v>
      </c>
      <c r="CO212" s="419"/>
      <c r="CP212" s="419"/>
      <c r="CQ212" s="419"/>
      <c r="CR212" s="171">
        <v>682</v>
      </c>
    </row>
    <row r="213" spans="1:96" ht="9.75">
      <c r="A213" s="203">
        <v>687</v>
      </c>
      <c r="B213" s="203" t="s">
        <v>268</v>
      </c>
      <c r="C213" s="421">
        <v>1561</v>
      </c>
      <c r="D213" s="419"/>
      <c r="E213" s="419"/>
      <c r="F213" s="419"/>
      <c r="G213" s="419"/>
      <c r="H213" s="500">
        <v>4291.05</v>
      </c>
      <c r="I213" s="419"/>
      <c r="J213" s="419"/>
      <c r="K213" s="419"/>
      <c r="L213" s="419"/>
      <c r="M213" s="419"/>
      <c r="N213" s="419"/>
      <c r="O213" s="419"/>
      <c r="P213" s="419"/>
      <c r="Q213" s="421">
        <v>45</v>
      </c>
      <c r="R213" s="421">
        <v>8</v>
      </c>
      <c r="S213" s="421">
        <v>75</v>
      </c>
      <c r="T213" s="421">
        <v>45</v>
      </c>
      <c r="U213" s="421">
        <v>30</v>
      </c>
      <c r="V213" s="421">
        <v>748</v>
      </c>
      <c r="W213" s="421">
        <v>324</v>
      </c>
      <c r="X213" s="421">
        <v>203</v>
      </c>
      <c r="Y213" s="421">
        <v>83</v>
      </c>
      <c r="Z213" s="419"/>
      <c r="AA213" s="419"/>
      <c r="AB213" s="419"/>
      <c r="AC213" s="419"/>
      <c r="AD213" s="419"/>
      <c r="AE213" s="422">
        <v>2.0012424413947585</v>
      </c>
      <c r="AF213" s="421">
        <v>4153652.4950953126</v>
      </c>
      <c r="AG213" s="420">
        <v>72</v>
      </c>
      <c r="AH213" s="420">
        <v>569</v>
      </c>
      <c r="AJ213" s="420">
        <v>18</v>
      </c>
      <c r="AK213" s="420">
        <v>0.011531069827033953</v>
      </c>
      <c r="AM213" s="420">
        <v>0</v>
      </c>
      <c r="AN213" s="420">
        <v>0</v>
      </c>
      <c r="AP213" s="420">
        <v>0</v>
      </c>
      <c r="AQ213" s="420">
        <v>0</v>
      </c>
      <c r="AR213" s="420">
        <v>1150.64</v>
      </c>
      <c r="AU213" s="420">
        <v>65</v>
      </c>
      <c r="AV213" s="420">
        <v>339</v>
      </c>
      <c r="AW213" s="420">
        <v>0.19174041297935104</v>
      </c>
      <c r="AY213" s="420">
        <v>1.2224</v>
      </c>
      <c r="AZ213" s="421">
        <v>451</v>
      </c>
      <c r="BA213" s="420">
        <v>465</v>
      </c>
      <c r="BB213" s="420">
        <v>0.9698924731182795</v>
      </c>
      <c r="BD213" s="420">
        <v>0</v>
      </c>
      <c r="BE213" s="420">
        <v>0</v>
      </c>
      <c r="BF213" s="421">
        <v>0</v>
      </c>
      <c r="BG213" s="421">
        <v>0</v>
      </c>
      <c r="BH213" s="419"/>
      <c r="BI213" s="421">
        <v>0</v>
      </c>
      <c r="BJ213" s="419"/>
      <c r="BK213" s="421">
        <v>561.9599999999999</v>
      </c>
      <c r="BL213" s="421">
        <v>60400</v>
      </c>
      <c r="BM213" s="421">
        <v>-76617.595</v>
      </c>
      <c r="BN213" s="419"/>
      <c r="BO213" s="421">
        <v>78279.17512978334</v>
      </c>
      <c r="BP213" s="421">
        <v>218394</v>
      </c>
      <c r="BQ213" s="421">
        <v>59737</v>
      </c>
      <c r="BR213" s="421">
        <v>173456.8360217028</v>
      </c>
      <c r="BS213" s="421">
        <v>9949.982020102858</v>
      </c>
      <c r="BT213" s="421">
        <v>29351.961617280187</v>
      </c>
      <c r="BU213" s="421">
        <v>82980.82958067652</v>
      </c>
      <c r="BV213" s="421">
        <v>94923.59479533053</v>
      </c>
      <c r="BW213" s="421">
        <v>146572.1957154571</v>
      </c>
      <c r="BX213" s="421">
        <v>46860.10976919556</v>
      </c>
      <c r="BY213" s="421">
        <v>87182.78062056549</v>
      </c>
      <c r="BZ213" s="419"/>
      <c r="CA213" s="421">
        <v>-34010.82298554135</v>
      </c>
      <c r="CB213" s="419"/>
      <c r="CC213" s="419"/>
      <c r="CD213" s="419"/>
      <c r="CE213" s="421">
        <v>125192.00739380659</v>
      </c>
      <c r="CF213" s="421">
        <v>63840.05508767734</v>
      </c>
      <c r="CG213" s="421">
        <v>72131.07172777223</v>
      </c>
      <c r="CH213" s="421">
        <v>-6120.41523844897</v>
      </c>
      <c r="CI213" s="419"/>
      <c r="CJ213" s="421">
        <v>886985.0096630866</v>
      </c>
      <c r="CK213" s="421">
        <v>105677</v>
      </c>
      <c r="CL213" s="421">
        <v>207246.2382</v>
      </c>
      <c r="CM213" s="421">
        <v>19375.772</v>
      </c>
      <c r="CN213" s="421">
        <v>187870.4662</v>
      </c>
      <c r="CO213" s="419"/>
      <c r="CP213" s="419"/>
      <c r="CQ213" s="419"/>
      <c r="CR213" s="171">
        <v>286</v>
      </c>
    </row>
    <row r="214" spans="1:96" ht="9.75">
      <c r="A214" s="203">
        <v>689</v>
      </c>
      <c r="B214" s="203" t="s">
        <v>269</v>
      </c>
      <c r="C214" s="421">
        <v>3146</v>
      </c>
      <c r="D214" s="419"/>
      <c r="E214" s="419"/>
      <c r="F214" s="419"/>
      <c r="G214" s="419"/>
      <c r="H214" s="500">
        <v>4291.05</v>
      </c>
      <c r="I214" s="419"/>
      <c r="J214" s="419"/>
      <c r="K214" s="419"/>
      <c r="L214" s="419"/>
      <c r="M214" s="419"/>
      <c r="N214" s="419"/>
      <c r="O214" s="419"/>
      <c r="P214" s="419"/>
      <c r="Q214" s="421">
        <v>83</v>
      </c>
      <c r="R214" s="421">
        <v>18</v>
      </c>
      <c r="S214" s="421">
        <v>131</v>
      </c>
      <c r="T214" s="421">
        <v>80</v>
      </c>
      <c r="U214" s="421">
        <v>61</v>
      </c>
      <c r="V214" s="421">
        <v>1511</v>
      </c>
      <c r="W214" s="421">
        <v>694</v>
      </c>
      <c r="X214" s="421">
        <v>382</v>
      </c>
      <c r="Y214" s="421">
        <v>186</v>
      </c>
      <c r="Z214" s="419"/>
      <c r="AA214" s="419"/>
      <c r="AB214" s="419"/>
      <c r="AC214" s="419"/>
      <c r="AD214" s="419"/>
      <c r="AE214" s="422">
        <v>1.7268790654486397</v>
      </c>
      <c r="AF214" s="421">
        <v>7223508.614428186</v>
      </c>
      <c r="AG214" s="420">
        <v>210</v>
      </c>
      <c r="AH214" s="420">
        <v>1251</v>
      </c>
      <c r="AJ214" s="420">
        <v>80</v>
      </c>
      <c r="AK214" s="420">
        <v>0.02542911633820725</v>
      </c>
      <c r="AM214" s="420">
        <v>0</v>
      </c>
      <c r="AN214" s="420">
        <v>3</v>
      </c>
      <c r="AP214" s="420">
        <v>0</v>
      </c>
      <c r="AQ214" s="420">
        <v>0</v>
      </c>
      <c r="AR214" s="420">
        <v>351.51</v>
      </c>
      <c r="AU214" s="420">
        <v>110</v>
      </c>
      <c r="AV214" s="420">
        <v>704</v>
      </c>
      <c r="AW214" s="420">
        <v>0.15625</v>
      </c>
      <c r="AY214" s="420">
        <v>0.7778</v>
      </c>
      <c r="AZ214" s="421">
        <v>900</v>
      </c>
      <c r="BA214" s="420">
        <v>1020</v>
      </c>
      <c r="BB214" s="420">
        <v>0.8823529411764706</v>
      </c>
      <c r="BD214" s="420">
        <v>0</v>
      </c>
      <c r="BE214" s="420">
        <v>0</v>
      </c>
      <c r="BF214" s="421">
        <v>0</v>
      </c>
      <c r="BG214" s="421">
        <v>0</v>
      </c>
      <c r="BH214" s="419"/>
      <c r="BI214" s="421">
        <v>0</v>
      </c>
      <c r="BJ214" s="419"/>
      <c r="BK214" s="421">
        <v>1132.56</v>
      </c>
      <c r="BL214" s="421">
        <v>20434</v>
      </c>
      <c r="BM214" s="421">
        <v>-105905.775</v>
      </c>
      <c r="BN214" s="419"/>
      <c r="BO214" s="421">
        <v>-30003.020192259923</v>
      </c>
      <c r="BP214" s="421">
        <v>325681</v>
      </c>
      <c r="BQ214" s="421">
        <v>97347</v>
      </c>
      <c r="BR214" s="421">
        <v>241802.7511438312</v>
      </c>
      <c r="BS214" s="421">
        <v>12693.207108820638</v>
      </c>
      <c r="BT214" s="421">
        <v>48835.58689050997</v>
      </c>
      <c r="BU214" s="421">
        <v>132015.90703346976</v>
      </c>
      <c r="BV214" s="421">
        <v>166885.05560943205</v>
      </c>
      <c r="BW214" s="421">
        <v>280292.94047990604</v>
      </c>
      <c r="BX214" s="421">
        <v>76194.95326775785</v>
      </c>
      <c r="BY214" s="421">
        <v>135895.78831440024</v>
      </c>
      <c r="BZ214" s="419"/>
      <c r="CA214" s="421">
        <v>-4774.720348796178</v>
      </c>
      <c r="CB214" s="419"/>
      <c r="CC214" s="419"/>
      <c r="CD214" s="419"/>
      <c r="CE214" s="421">
        <v>172840.80402792315</v>
      </c>
      <c r="CF214" s="421">
        <v>95853.89109722011</v>
      </c>
      <c r="CG214" s="421">
        <v>113442.83554385607</v>
      </c>
      <c r="CH214" s="421">
        <v>-14041.791396354341</v>
      </c>
      <c r="CI214" s="419"/>
      <c r="CJ214" s="421">
        <v>840731.4433443012</v>
      </c>
      <c r="CK214" s="421">
        <v>-494646</v>
      </c>
      <c r="CL214" s="421">
        <v>70050.868</v>
      </c>
      <c r="CM214" s="421">
        <v>93003.7056</v>
      </c>
      <c r="CN214" s="421">
        <v>-22952.8376</v>
      </c>
      <c r="CO214" s="419"/>
      <c r="CP214" s="419"/>
      <c r="CQ214" s="419"/>
      <c r="CR214" s="171">
        <v>533</v>
      </c>
    </row>
    <row r="215" spans="1:96" ht="9.75">
      <c r="A215" s="203">
        <v>691</v>
      </c>
      <c r="B215" s="203" t="s">
        <v>270</v>
      </c>
      <c r="C215" s="421">
        <v>2710</v>
      </c>
      <c r="D215" s="419"/>
      <c r="E215" s="419"/>
      <c r="F215" s="419"/>
      <c r="G215" s="419"/>
      <c r="H215" s="500">
        <v>4291.05</v>
      </c>
      <c r="I215" s="419"/>
      <c r="J215" s="419"/>
      <c r="K215" s="419"/>
      <c r="L215" s="419"/>
      <c r="M215" s="419"/>
      <c r="N215" s="419"/>
      <c r="O215" s="419"/>
      <c r="P215" s="419"/>
      <c r="Q215" s="421">
        <v>179</v>
      </c>
      <c r="R215" s="421">
        <v>32</v>
      </c>
      <c r="S215" s="421">
        <v>217</v>
      </c>
      <c r="T215" s="421">
        <v>122</v>
      </c>
      <c r="U215" s="421">
        <v>113</v>
      </c>
      <c r="V215" s="421">
        <v>1305</v>
      </c>
      <c r="W215" s="421">
        <v>386</v>
      </c>
      <c r="X215" s="421">
        <v>248</v>
      </c>
      <c r="Y215" s="421">
        <v>108</v>
      </c>
      <c r="Z215" s="419"/>
      <c r="AA215" s="419"/>
      <c r="AB215" s="419"/>
      <c r="AC215" s="419"/>
      <c r="AD215" s="419"/>
      <c r="AE215" s="422">
        <v>1.5540925537389074</v>
      </c>
      <c r="AF215" s="421">
        <v>5599815.5460244445</v>
      </c>
      <c r="AG215" s="420">
        <v>89</v>
      </c>
      <c r="AH215" s="420">
        <v>1101</v>
      </c>
      <c r="AJ215" s="420">
        <v>8</v>
      </c>
      <c r="AK215" s="420">
        <v>0.002952029520295203</v>
      </c>
      <c r="AM215" s="420">
        <v>0</v>
      </c>
      <c r="AN215" s="420">
        <v>4</v>
      </c>
      <c r="AP215" s="420">
        <v>0</v>
      </c>
      <c r="AQ215" s="420">
        <v>0</v>
      </c>
      <c r="AR215" s="420">
        <v>474.64</v>
      </c>
      <c r="AU215" s="420">
        <v>116</v>
      </c>
      <c r="AV215" s="420">
        <v>675</v>
      </c>
      <c r="AW215" s="420">
        <v>0.17185185185185184</v>
      </c>
      <c r="AY215" s="420">
        <v>0.6548</v>
      </c>
      <c r="AZ215" s="421">
        <v>921</v>
      </c>
      <c r="BA215" s="420">
        <v>994</v>
      </c>
      <c r="BB215" s="420">
        <v>0.9265593561368209</v>
      </c>
      <c r="BD215" s="420">
        <v>0</v>
      </c>
      <c r="BE215" s="420">
        <v>0</v>
      </c>
      <c r="BF215" s="421">
        <v>0</v>
      </c>
      <c r="BG215" s="421">
        <v>0</v>
      </c>
      <c r="BH215" s="419"/>
      <c r="BI215" s="421">
        <v>0</v>
      </c>
      <c r="BJ215" s="419"/>
      <c r="BK215" s="421">
        <v>975.5999999999999</v>
      </c>
      <c r="BL215" s="421">
        <v>1125</v>
      </c>
      <c r="BM215" s="421">
        <v>-55206.5275</v>
      </c>
      <c r="BN215" s="419"/>
      <c r="BO215" s="421">
        <v>17542.227682605386</v>
      </c>
      <c r="BP215" s="421">
        <v>279753</v>
      </c>
      <c r="BQ215" s="421">
        <v>82585</v>
      </c>
      <c r="BR215" s="421">
        <v>234894.54925491245</v>
      </c>
      <c r="BS215" s="421">
        <v>11397.25428446925</v>
      </c>
      <c r="BT215" s="421">
        <v>43223.19502340273</v>
      </c>
      <c r="BU215" s="421">
        <v>116300.28153997274</v>
      </c>
      <c r="BV215" s="421">
        <v>159182.77197731164</v>
      </c>
      <c r="BW215" s="421">
        <v>290154.133997758</v>
      </c>
      <c r="BX215" s="421">
        <v>74547.25512168124</v>
      </c>
      <c r="BY215" s="421">
        <v>137589.4888417758</v>
      </c>
      <c r="BZ215" s="419"/>
      <c r="CA215" s="421">
        <v>8098.940686657092</v>
      </c>
      <c r="CB215" s="419"/>
      <c r="CC215" s="419"/>
      <c r="CD215" s="419"/>
      <c r="CE215" s="421">
        <v>194956.26325318945</v>
      </c>
      <c r="CF215" s="421">
        <v>99726.18166775818</v>
      </c>
      <c r="CG215" s="421">
        <v>115100.4665420457</v>
      </c>
      <c r="CH215" s="421">
        <v>-9530.660402453716</v>
      </c>
      <c r="CI215" s="419"/>
      <c r="CJ215" s="421">
        <v>3142967.094438788</v>
      </c>
      <c r="CK215" s="421">
        <v>2184</v>
      </c>
      <c r="CL215" s="421">
        <v>114764.18800000001</v>
      </c>
      <c r="CM215" s="421">
        <v>162532.91820000001</v>
      </c>
      <c r="CN215" s="421">
        <v>-47768.730200000005</v>
      </c>
      <c r="CO215" s="419"/>
      <c r="CP215" s="419"/>
      <c r="CQ215" s="419"/>
      <c r="CR215" s="171">
        <v>891</v>
      </c>
    </row>
    <row r="216" spans="1:96" ht="9.75">
      <c r="A216" s="203">
        <v>694</v>
      </c>
      <c r="B216" s="203" t="s">
        <v>271</v>
      </c>
      <c r="C216" s="421">
        <v>28710</v>
      </c>
      <c r="D216" s="419"/>
      <c r="E216" s="419"/>
      <c r="F216" s="419"/>
      <c r="G216" s="419"/>
      <c r="H216" s="500">
        <v>4291.05</v>
      </c>
      <c r="I216" s="419"/>
      <c r="J216" s="419"/>
      <c r="K216" s="419"/>
      <c r="L216" s="419"/>
      <c r="M216" s="419"/>
      <c r="N216" s="419"/>
      <c r="O216" s="419"/>
      <c r="P216" s="419"/>
      <c r="Q216" s="421">
        <v>1453</v>
      </c>
      <c r="R216" s="421">
        <v>287</v>
      </c>
      <c r="S216" s="421">
        <v>1990</v>
      </c>
      <c r="T216" s="421">
        <v>1034</v>
      </c>
      <c r="U216" s="421">
        <v>1021</v>
      </c>
      <c r="V216" s="421">
        <v>16388</v>
      </c>
      <c r="W216" s="421">
        <v>3773</v>
      </c>
      <c r="X216" s="421">
        <v>1971</v>
      </c>
      <c r="Y216" s="421">
        <v>793</v>
      </c>
      <c r="Z216" s="419"/>
      <c r="AA216" s="419"/>
      <c r="AB216" s="419"/>
      <c r="AC216" s="419"/>
      <c r="AD216" s="419"/>
      <c r="AE216" s="422">
        <v>1.0034424182343005</v>
      </c>
      <c r="AF216" s="421">
        <v>38304800.226326264</v>
      </c>
      <c r="AG216" s="420">
        <v>1500</v>
      </c>
      <c r="AH216" s="420">
        <v>13629</v>
      </c>
      <c r="AJ216" s="420">
        <v>1514</v>
      </c>
      <c r="AK216" s="420">
        <v>0.05273423894113549</v>
      </c>
      <c r="AM216" s="420">
        <v>0</v>
      </c>
      <c r="AN216" s="420">
        <v>118</v>
      </c>
      <c r="AP216" s="420">
        <v>0</v>
      </c>
      <c r="AQ216" s="420">
        <v>0</v>
      </c>
      <c r="AR216" s="420">
        <v>121.01</v>
      </c>
      <c r="AU216" s="420">
        <v>1266</v>
      </c>
      <c r="AV216" s="420">
        <v>8942</v>
      </c>
      <c r="AW216" s="420">
        <v>0.14157906508611048</v>
      </c>
      <c r="AY216" s="420">
        <v>0</v>
      </c>
      <c r="AZ216" s="421">
        <v>11335</v>
      </c>
      <c r="BA216" s="420">
        <v>12404</v>
      </c>
      <c r="BB216" s="420">
        <v>0.913818123186069</v>
      </c>
      <c r="BD216" s="420">
        <v>0</v>
      </c>
      <c r="BE216" s="420">
        <v>2</v>
      </c>
      <c r="BF216" s="421">
        <v>0</v>
      </c>
      <c r="BG216" s="421">
        <v>0</v>
      </c>
      <c r="BH216" s="419"/>
      <c r="BI216" s="421">
        <v>0</v>
      </c>
      <c r="BJ216" s="419"/>
      <c r="BK216" s="421">
        <v>10335.6</v>
      </c>
      <c r="BL216" s="421">
        <v>658284</v>
      </c>
      <c r="BM216" s="421">
        <v>-2227787.49</v>
      </c>
      <c r="BN216" s="419"/>
      <c r="BO216" s="421">
        <v>-40213.59984558821</v>
      </c>
      <c r="BP216" s="421">
        <v>1862094</v>
      </c>
      <c r="BQ216" s="421">
        <v>644858</v>
      </c>
      <c r="BR216" s="421">
        <v>1377691.1378719537</v>
      </c>
      <c r="BS216" s="421">
        <v>37343.72389893481</v>
      </c>
      <c r="BT216" s="421">
        <v>125027.78905120381</v>
      </c>
      <c r="BU216" s="421">
        <v>564070.1081007131</v>
      </c>
      <c r="BV216" s="421">
        <v>1348464.5471801157</v>
      </c>
      <c r="BW216" s="421">
        <v>2106124.3002889347</v>
      </c>
      <c r="BX216" s="421">
        <v>643405.0512731222</v>
      </c>
      <c r="BY216" s="421">
        <v>1110852.129278579</v>
      </c>
      <c r="BZ216" s="419"/>
      <c r="CA216" s="421">
        <v>168310.95989217295</v>
      </c>
      <c r="CB216" s="419"/>
      <c r="CC216" s="419"/>
      <c r="CD216" s="419"/>
      <c r="CE216" s="421">
        <v>1349792.11827776</v>
      </c>
      <c r="CF216" s="421">
        <v>893173.1805856935</v>
      </c>
      <c r="CG216" s="421">
        <v>1150252.3826166238</v>
      </c>
      <c r="CH216" s="421">
        <v>-143026.96065502832</v>
      </c>
      <c r="CI216" s="419"/>
      <c r="CJ216" s="421">
        <v>2295817.5446463134</v>
      </c>
      <c r="CK216" s="421">
        <v>-504462</v>
      </c>
      <c r="CL216" s="421">
        <v>1200105.5088</v>
      </c>
      <c r="CM216" s="421">
        <v>651100.4613999999</v>
      </c>
      <c r="CN216" s="421">
        <v>549005.0474</v>
      </c>
      <c r="CO216" s="419"/>
      <c r="CP216" s="419"/>
      <c r="CQ216" s="419"/>
      <c r="CR216" s="171">
        <v>8953</v>
      </c>
    </row>
    <row r="217" spans="1:96" ht="9.75">
      <c r="A217" s="203">
        <v>697</v>
      </c>
      <c r="B217" s="203" t="s">
        <v>272</v>
      </c>
      <c r="C217" s="421">
        <v>1235</v>
      </c>
      <c r="D217" s="419"/>
      <c r="E217" s="419"/>
      <c r="F217" s="419"/>
      <c r="G217" s="419"/>
      <c r="H217" s="500">
        <v>4291.05</v>
      </c>
      <c r="I217" s="419"/>
      <c r="J217" s="419"/>
      <c r="K217" s="419"/>
      <c r="L217" s="419"/>
      <c r="M217" s="419"/>
      <c r="N217" s="419"/>
      <c r="O217" s="419"/>
      <c r="P217" s="419"/>
      <c r="Q217" s="421">
        <v>49</v>
      </c>
      <c r="R217" s="421">
        <v>8</v>
      </c>
      <c r="S217" s="421">
        <v>56</v>
      </c>
      <c r="T217" s="421">
        <v>19</v>
      </c>
      <c r="U217" s="421">
        <v>31</v>
      </c>
      <c r="V217" s="421">
        <v>597</v>
      </c>
      <c r="W217" s="421">
        <v>251</v>
      </c>
      <c r="X217" s="421">
        <v>134</v>
      </c>
      <c r="Y217" s="421">
        <v>90</v>
      </c>
      <c r="Z217" s="419"/>
      <c r="AA217" s="419"/>
      <c r="AB217" s="419"/>
      <c r="AC217" s="419"/>
      <c r="AD217" s="419"/>
      <c r="AE217" s="422">
        <v>1.8389256673167285</v>
      </c>
      <c r="AF217" s="421">
        <v>3019664.4260614263</v>
      </c>
      <c r="AG217" s="420">
        <v>58</v>
      </c>
      <c r="AH217" s="420">
        <v>517</v>
      </c>
      <c r="AJ217" s="420">
        <v>17</v>
      </c>
      <c r="AK217" s="420">
        <v>0.013765182186234818</v>
      </c>
      <c r="AM217" s="420">
        <v>0</v>
      </c>
      <c r="AN217" s="420">
        <v>0</v>
      </c>
      <c r="AP217" s="420">
        <v>0</v>
      </c>
      <c r="AQ217" s="420">
        <v>0</v>
      </c>
      <c r="AR217" s="420">
        <v>835.82</v>
      </c>
      <c r="AU217" s="420">
        <v>26</v>
      </c>
      <c r="AV217" s="420">
        <v>250</v>
      </c>
      <c r="AW217" s="420">
        <v>0.104</v>
      </c>
      <c r="AY217" s="420">
        <v>0.7472</v>
      </c>
      <c r="AZ217" s="421">
        <v>318</v>
      </c>
      <c r="BA217" s="420">
        <v>457</v>
      </c>
      <c r="BB217" s="420">
        <v>0.6958424507658644</v>
      </c>
      <c r="BD217" s="420">
        <v>0</v>
      </c>
      <c r="BE217" s="420">
        <v>0</v>
      </c>
      <c r="BF217" s="421">
        <v>0</v>
      </c>
      <c r="BG217" s="421">
        <v>0</v>
      </c>
      <c r="BH217" s="419"/>
      <c r="BI217" s="421">
        <v>0</v>
      </c>
      <c r="BJ217" s="419"/>
      <c r="BK217" s="421">
        <v>444.59999999999997</v>
      </c>
      <c r="BL217" s="421">
        <v>6115</v>
      </c>
      <c r="BM217" s="421">
        <v>-19392.75</v>
      </c>
      <c r="BN217" s="419"/>
      <c r="BO217" s="421">
        <v>104403.79041090794</v>
      </c>
      <c r="BP217" s="421">
        <v>160754</v>
      </c>
      <c r="BQ217" s="421">
        <v>49462</v>
      </c>
      <c r="BR217" s="421">
        <v>124485.65817589301</v>
      </c>
      <c r="BS217" s="421">
        <v>7172.206036784499</v>
      </c>
      <c r="BT217" s="421">
        <v>22496.753395076463</v>
      </c>
      <c r="BU217" s="421">
        <v>55433.95561615519</v>
      </c>
      <c r="BV217" s="421">
        <v>80855.7585815372</v>
      </c>
      <c r="BW217" s="421">
        <v>122685.15994105836</v>
      </c>
      <c r="BX217" s="421">
        <v>38672.47767793816</v>
      </c>
      <c r="BY217" s="421">
        <v>64114.954434536216</v>
      </c>
      <c r="BZ217" s="419"/>
      <c r="CA217" s="421">
        <v>-12451.403834439503</v>
      </c>
      <c r="CB217" s="419"/>
      <c r="CC217" s="419"/>
      <c r="CD217" s="419"/>
      <c r="CE217" s="421">
        <v>88317.9876084759</v>
      </c>
      <c r="CF217" s="421">
        <v>44680.55515962031</v>
      </c>
      <c r="CG217" s="421">
        <v>54955.03029805931</v>
      </c>
      <c r="CH217" s="421">
        <v>-5575.270269079314</v>
      </c>
      <c r="CI217" s="419"/>
      <c r="CJ217" s="421">
        <v>905849.0299813544</v>
      </c>
      <c r="CK217" s="421">
        <v>-257531</v>
      </c>
      <c r="CL217" s="421">
        <v>46203.764</v>
      </c>
      <c r="CM217" s="421">
        <v>35770.656</v>
      </c>
      <c r="CN217" s="421">
        <v>10433.108</v>
      </c>
      <c r="CO217" s="419"/>
      <c r="CP217" s="419"/>
      <c r="CQ217" s="419"/>
      <c r="CR217" s="171">
        <v>225</v>
      </c>
    </row>
    <row r="218" spans="1:96" ht="9.75">
      <c r="A218" s="203">
        <v>698</v>
      </c>
      <c r="B218" s="203" t="s">
        <v>273</v>
      </c>
      <c r="C218" s="421">
        <v>63528</v>
      </c>
      <c r="D218" s="419"/>
      <c r="E218" s="419"/>
      <c r="F218" s="419"/>
      <c r="G218" s="419"/>
      <c r="H218" s="500">
        <v>4291.05</v>
      </c>
      <c r="I218" s="419"/>
      <c r="J218" s="419"/>
      <c r="K218" s="419"/>
      <c r="L218" s="419"/>
      <c r="M218" s="419"/>
      <c r="N218" s="419"/>
      <c r="O218" s="419"/>
      <c r="P218" s="419"/>
      <c r="Q218" s="421">
        <v>3687</v>
      </c>
      <c r="R218" s="421">
        <v>682</v>
      </c>
      <c r="S218" s="421">
        <v>4596</v>
      </c>
      <c r="T218" s="421">
        <v>2041</v>
      </c>
      <c r="U218" s="421">
        <v>2057</v>
      </c>
      <c r="V218" s="421">
        <v>37842</v>
      </c>
      <c r="W218" s="421">
        <v>7391</v>
      </c>
      <c r="X218" s="421">
        <v>3704</v>
      </c>
      <c r="Y218" s="421">
        <v>1528</v>
      </c>
      <c r="Z218" s="419"/>
      <c r="AA218" s="419"/>
      <c r="AB218" s="419"/>
      <c r="AC218" s="419"/>
      <c r="AD218" s="419"/>
      <c r="AE218" s="422">
        <v>0.9940881045810854</v>
      </c>
      <c r="AF218" s="421">
        <v>83968735.57983771</v>
      </c>
      <c r="AG218" s="420">
        <v>4462</v>
      </c>
      <c r="AH218" s="420">
        <v>30781</v>
      </c>
      <c r="AJ218" s="420">
        <v>2267</v>
      </c>
      <c r="AK218" s="420">
        <v>0.035685052260420604</v>
      </c>
      <c r="AM218" s="420">
        <v>0</v>
      </c>
      <c r="AN218" s="420">
        <v>129</v>
      </c>
      <c r="AP218" s="420">
        <v>0</v>
      </c>
      <c r="AQ218" s="420">
        <v>0</v>
      </c>
      <c r="AR218" s="420">
        <v>7581.51</v>
      </c>
      <c r="AU218" s="420">
        <v>1751</v>
      </c>
      <c r="AV218" s="420">
        <v>19078</v>
      </c>
      <c r="AW218" s="420">
        <v>0.09178110913093615</v>
      </c>
      <c r="AY218" s="420">
        <v>0</v>
      </c>
      <c r="AZ218" s="421">
        <v>27311</v>
      </c>
      <c r="BA218" s="420">
        <v>27804</v>
      </c>
      <c r="BB218" s="420">
        <v>0.9822687383110343</v>
      </c>
      <c r="BD218" s="420">
        <v>0</v>
      </c>
      <c r="BE218" s="420">
        <v>179</v>
      </c>
      <c r="BF218" s="421">
        <v>0</v>
      </c>
      <c r="BG218" s="421">
        <v>0</v>
      </c>
      <c r="BH218" s="419"/>
      <c r="BI218" s="421">
        <v>0</v>
      </c>
      <c r="BJ218" s="419"/>
      <c r="BK218" s="421">
        <v>22870.079999999998</v>
      </c>
      <c r="BL218" s="421">
        <v>760982</v>
      </c>
      <c r="BM218" s="421">
        <v>-3184037.44465</v>
      </c>
      <c r="BN218" s="419"/>
      <c r="BO218" s="421">
        <v>-851137.8510162681</v>
      </c>
      <c r="BP218" s="421">
        <v>4170263</v>
      </c>
      <c r="BQ218" s="421">
        <v>1400370</v>
      </c>
      <c r="BR218" s="421">
        <v>3556984.1957876254</v>
      </c>
      <c r="BS218" s="421">
        <v>130689.61392386896</v>
      </c>
      <c r="BT218" s="421">
        <v>170271.45091107712</v>
      </c>
      <c r="BU218" s="421">
        <v>1530495.8688007353</v>
      </c>
      <c r="BV218" s="421">
        <v>3039795.0447149575</v>
      </c>
      <c r="BW218" s="421">
        <v>4487658.940840116</v>
      </c>
      <c r="BX218" s="421">
        <v>1486426.2087844117</v>
      </c>
      <c r="BY218" s="421">
        <v>2651524.056084899</v>
      </c>
      <c r="BZ218" s="419"/>
      <c r="CA218" s="421">
        <v>612706.1658298711</v>
      </c>
      <c r="CB218" s="419"/>
      <c r="CC218" s="419"/>
      <c r="CD218" s="419"/>
      <c r="CE218" s="421">
        <v>3383597.7885625116</v>
      </c>
      <c r="CF218" s="421">
        <v>2151932.703812822</v>
      </c>
      <c r="CG218" s="421">
        <v>2693032.6908438466</v>
      </c>
      <c r="CH218" s="421">
        <v>-313368.0347184057</v>
      </c>
      <c r="CI218" s="419"/>
      <c r="CJ218" s="421">
        <v>25849249.21919972</v>
      </c>
      <c r="CK218" s="421">
        <v>-3819856</v>
      </c>
      <c r="CL218" s="421">
        <v>971098.7882</v>
      </c>
      <c r="CM218" s="421">
        <v>6977166.312547999</v>
      </c>
      <c r="CN218" s="421">
        <v>-6006067.524347999</v>
      </c>
      <c r="CO218" s="419"/>
      <c r="CP218" s="419"/>
      <c r="CQ218" s="419"/>
      <c r="CR218" s="171">
        <v>22297</v>
      </c>
    </row>
    <row r="219" spans="1:96" ht="9.75">
      <c r="A219" s="203">
        <v>700</v>
      </c>
      <c r="B219" s="203" t="s">
        <v>274</v>
      </c>
      <c r="C219" s="421">
        <v>4922</v>
      </c>
      <c r="D219" s="419"/>
      <c r="E219" s="419"/>
      <c r="F219" s="419"/>
      <c r="G219" s="419"/>
      <c r="H219" s="500">
        <v>4291.05</v>
      </c>
      <c r="I219" s="419"/>
      <c r="J219" s="419"/>
      <c r="K219" s="419"/>
      <c r="L219" s="419"/>
      <c r="M219" s="419"/>
      <c r="N219" s="419"/>
      <c r="O219" s="419"/>
      <c r="P219" s="419"/>
      <c r="Q219" s="421">
        <v>161</v>
      </c>
      <c r="R219" s="421">
        <v>43</v>
      </c>
      <c r="S219" s="421">
        <v>303</v>
      </c>
      <c r="T219" s="421">
        <v>140</v>
      </c>
      <c r="U219" s="421">
        <v>129</v>
      </c>
      <c r="V219" s="421">
        <v>2417</v>
      </c>
      <c r="W219" s="421">
        <v>945</v>
      </c>
      <c r="X219" s="421">
        <v>534</v>
      </c>
      <c r="Y219" s="421">
        <v>250</v>
      </c>
      <c r="Z219" s="419"/>
      <c r="AA219" s="419"/>
      <c r="AB219" s="419"/>
      <c r="AC219" s="419"/>
      <c r="AD219" s="419"/>
      <c r="AE219" s="422">
        <v>1.2495213580370175</v>
      </c>
      <c r="AF219" s="421">
        <v>8177354.899249131</v>
      </c>
      <c r="AG219" s="420">
        <v>276</v>
      </c>
      <c r="AH219" s="420">
        <v>2070</v>
      </c>
      <c r="AJ219" s="420">
        <v>155</v>
      </c>
      <c r="AK219" s="420">
        <v>0.03149126371393742</v>
      </c>
      <c r="AM219" s="420">
        <v>0</v>
      </c>
      <c r="AN219" s="420">
        <v>12</v>
      </c>
      <c r="AP219" s="420">
        <v>3</v>
      </c>
      <c r="AQ219" s="420">
        <v>314</v>
      </c>
      <c r="AR219" s="420">
        <v>942.28</v>
      </c>
      <c r="AU219" s="420">
        <v>167</v>
      </c>
      <c r="AV219" s="420">
        <v>1329</v>
      </c>
      <c r="AW219" s="420">
        <v>0.1256583897667419</v>
      </c>
      <c r="AY219" s="420">
        <v>0</v>
      </c>
      <c r="AZ219" s="421">
        <v>992</v>
      </c>
      <c r="BA219" s="420">
        <v>1751</v>
      </c>
      <c r="BB219" s="420">
        <v>0.566533409480297</v>
      </c>
      <c r="BD219" s="420">
        <v>0</v>
      </c>
      <c r="BE219" s="420">
        <v>0</v>
      </c>
      <c r="BF219" s="421">
        <v>0</v>
      </c>
      <c r="BG219" s="421">
        <v>0</v>
      </c>
      <c r="BH219" s="419"/>
      <c r="BI219" s="421">
        <v>0</v>
      </c>
      <c r="BJ219" s="419"/>
      <c r="BK219" s="421">
        <v>1771.9199999999998</v>
      </c>
      <c r="BL219" s="421">
        <v>56412</v>
      </c>
      <c r="BM219" s="421">
        <v>-116524.17</v>
      </c>
      <c r="BN219" s="419"/>
      <c r="BO219" s="421">
        <v>-18757.48855673708</v>
      </c>
      <c r="BP219" s="421">
        <v>450007</v>
      </c>
      <c r="BQ219" s="421">
        <v>136482</v>
      </c>
      <c r="BR219" s="421">
        <v>271197.13744083105</v>
      </c>
      <c r="BS219" s="421">
        <v>13584.735741688815</v>
      </c>
      <c r="BT219" s="421">
        <v>29722.57333317358</v>
      </c>
      <c r="BU219" s="421">
        <v>156223.5218588037</v>
      </c>
      <c r="BV219" s="421">
        <v>258715.99132247956</v>
      </c>
      <c r="BW219" s="421">
        <v>425231.14270262397</v>
      </c>
      <c r="BX219" s="421">
        <v>110087.1294553271</v>
      </c>
      <c r="BY219" s="421">
        <v>194251.75467668803</v>
      </c>
      <c r="BZ219" s="419"/>
      <c r="CA219" s="421">
        <v>-18445.65828347118</v>
      </c>
      <c r="CB219" s="419"/>
      <c r="CC219" s="419"/>
      <c r="CD219" s="419"/>
      <c r="CE219" s="421">
        <v>247547.689599453</v>
      </c>
      <c r="CF219" s="421">
        <v>147392.7411398925</v>
      </c>
      <c r="CG219" s="421">
        <v>178393.70684208063</v>
      </c>
      <c r="CH219" s="421">
        <v>-24089.694499521</v>
      </c>
      <c r="CI219" s="419"/>
      <c r="CJ219" s="421">
        <v>524340.0948019265</v>
      </c>
      <c r="CK219" s="421">
        <v>-1000953</v>
      </c>
      <c r="CL219" s="421">
        <v>107311.968</v>
      </c>
      <c r="CM219" s="421">
        <v>191253.77408000003</v>
      </c>
      <c r="CN219" s="421">
        <v>-83941.80608000004</v>
      </c>
      <c r="CO219" s="419"/>
      <c r="CP219" s="419"/>
      <c r="CQ219" s="419"/>
      <c r="CR219" s="171">
        <v>969</v>
      </c>
    </row>
    <row r="220" spans="1:96" ht="9.75">
      <c r="A220" s="203">
        <v>702</v>
      </c>
      <c r="B220" s="203" t="s">
        <v>275</v>
      </c>
      <c r="C220" s="421">
        <v>4215</v>
      </c>
      <c r="D220" s="419"/>
      <c r="E220" s="419"/>
      <c r="F220" s="419"/>
      <c r="G220" s="419"/>
      <c r="H220" s="500">
        <v>4291.05</v>
      </c>
      <c r="I220" s="419"/>
      <c r="J220" s="419"/>
      <c r="K220" s="419"/>
      <c r="L220" s="419"/>
      <c r="M220" s="419"/>
      <c r="N220" s="419"/>
      <c r="O220" s="419"/>
      <c r="P220" s="419"/>
      <c r="Q220" s="421">
        <v>147</v>
      </c>
      <c r="R220" s="421">
        <v>33</v>
      </c>
      <c r="S220" s="421">
        <v>202</v>
      </c>
      <c r="T220" s="421">
        <v>122</v>
      </c>
      <c r="U220" s="421">
        <v>141</v>
      </c>
      <c r="V220" s="421">
        <v>1976</v>
      </c>
      <c r="W220" s="421">
        <v>838</v>
      </c>
      <c r="X220" s="421">
        <v>508</v>
      </c>
      <c r="Y220" s="421">
        <v>248</v>
      </c>
      <c r="Z220" s="419"/>
      <c r="AA220" s="419"/>
      <c r="AB220" s="419"/>
      <c r="AC220" s="419"/>
      <c r="AD220" s="419"/>
      <c r="AE220" s="422">
        <v>1.3535193256868419</v>
      </c>
      <c r="AF220" s="421">
        <v>7585593.980200496</v>
      </c>
      <c r="AG220" s="420">
        <v>184</v>
      </c>
      <c r="AH220" s="420">
        <v>1698</v>
      </c>
      <c r="AJ220" s="420">
        <v>56</v>
      </c>
      <c r="AK220" s="420">
        <v>0.0132858837485172</v>
      </c>
      <c r="AM220" s="420">
        <v>0</v>
      </c>
      <c r="AN220" s="420">
        <v>13</v>
      </c>
      <c r="AP220" s="420">
        <v>0</v>
      </c>
      <c r="AQ220" s="420">
        <v>0</v>
      </c>
      <c r="AR220" s="420">
        <v>776.98</v>
      </c>
      <c r="AU220" s="420">
        <v>136</v>
      </c>
      <c r="AV220" s="420">
        <v>1013</v>
      </c>
      <c r="AW220" s="420">
        <v>0.13425468904244817</v>
      </c>
      <c r="AY220" s="420">
        <v>0.3819</v>
      </c>
      <c r="AZ220" s="421">
        <v>1428</v>
      </c>
      <c r="BA220" s="420">
        <v>1439</v>
      </c>
      <c r="BB220" s="420">
        <v>0.9923558026407228</v>
      </c>
      <c r="BD220" s="420">
        <v>0</v>
      </c>
      <c r="BE220" s="420">
        <v>0</v>
      </c>
      <c r="BF220" s="421">
        <v>0</v>
      </c>
      <c r="BG220" s="421">
        <v>0</v>
      </c>
      <c r="BH220" s="419"/>
      <c r="BI220" s="421">
        <v>0</v>
      </c>
      <c r="BJ220" s="419"/>
      <c r="BK220" s="421">
        <v>1517.3999999999999</v>
      </c>
      <c r="BL220" s="421">
        <v>-29452</v>
      </c>
      <c r="BM220" s="421">
        <v>-104174.03875</v>
      </c>
      <c r="BN220" s="419"/>
      <c r="BO220" s="421">
        <v>-42497.95249035582</v>
      </c>
      <c r="BP220" s="421">
        <v>482033</v>
      </c>
      <c r="BQ220" s="421">
        <v>141231</v>
      </c>
      <c r="BR220" s="421">
        <v>359715.4068817046</v>
      </c>
      <c r="BS220" s="421">
        <v>16850.194763104068</v>
      </c>
      <c r="BT220" s="421">
        <v>65127.400944814086</v>
      </c>
      <c r="BU220" s="421">
        <v>181748.09925467972</v>
      </c>
      <c r="BV220" s="421">
        <v>240034.11603973378</v>
      </c>
      <c r="BW220" s="421">
        <v>413638.0373383276</v>
      </c>
      <c r="BX220" s="421">
        <v>119454.53586719323</v>
      </c>
      <c r="BY220" s="421">
        <v>216746.83981150473</v>
      </c>
      <c r="BZ220" s="419"/>
      <c r="CA220" s="421">
        <v>-38165.26628587129</v>
      </c>
      <c r="CB220" s="419"/>
      <c r="CC220" s="419"/>
      <c r="CD220" s="419"/>
      <c r="CE220" s="421">
        <v>281044.9296071902</v>
      </c>
      <c r="CF220" s="421">
        <v>156848.75897363797</v>
      </c>
      <c r="CG220" s="421">
        <v>191524.57605202464</v>
      </c>
      <c r="CH220" s="421">
        <v>-18763.39219739355</v>
      </c>
      <c r="CI220" s="419"/>
      <c r="CJ220" s="421">
        <v>2789537.904098255</v>
      </c>
      <c r="CK220" s="421">
        <v>-912196</v>
      </c>
      <c r="CL220" s="421">
        <v>29808.88</v>
      </c>
      <c r="CM220" s="421">
        <v>104927.25760000003</v>
      </c>
      <c r="CN220" s="421">
        <v>-75118.37760000002</v>
      </c>
      <c r="CO220" s="419"/>
      <c r="CP220" s="419"/>
      <c r="CQ220" s="419"/>
      <c r="CR220" s="171">
        <v>874</v>
      </c>
    </row>
    <row r="221" spans="1:96" ht="9.75">
      <c r="A221" s="203">
        <v>704</v>
      </c>
      <c r="B221" s="203" t="s">
        <v>276</v>
      </c>
      <c r="C221" s="421">
        <v>6354</v>
      </c>
      <c r="D221" s="419"/>
      <c r="E221" s="419"/>
      <c r="F221" s="419"/>
      <c r="G221" s="419"/>
      <c r="H221" s="500">
        <v>4291.05</v>
      </c>
      <c r="I221" s="419"/>
      <c r="J221" s="419"/>
      <c r="K221" s="419"/>
      <c r="L221" s="419"/>
      <c r="M221" s="419"/>
      <c r="N221" s="419"/>
      <c r="O221" s="419"/>
      <c r="P221" s="419"/>
      <c r="Q221" s="421">
        <v>467</v>
      </c>
      <c r="R221" s="421">
        <v>96</v>
      </c>
      <c r="S221" s="421">
        <v>555</v>
      </c>
      <c r="T221" s="421">
        <v>238</v>
      </c>
      <c r="U221" s="421">
        <v>241</v>
      </c>
      <c r="V221" s="421">
        <v>3512</v>
      </c>
      <c r="W221" s="421">
        <v>729</v>
      </c>
      <c r="X221" s="421">
        <v>372</v>
      </c>
      <c r="Y221" s="421">
        <v>144</v>
      </c>
      <c r="Z221" s="419"/>
      <c r="AA221" s="419"/>
      <c r="AB221" s="419"/>
      <c r="AC221" s="419"/>
      <c r="AD221" s="419"/>
      <c r="AE221" s="422">
        <v>0.7213427515130115</v>
      </c>
      <c r="AF221" s="421">
        <v>6094196.257583245</v>
      </c>
      <c r="AG221" s="420">
        <v>237</v>
      </c>
      <c r="AH221" s="420">
        <v>3127</v>
      </c>
      <c r="AJ221" s="420">
        <v>157</v>
      </c>
      <c r="AK221" s="420">
        <v>0.02470884482215927</v>
      </c>
      <c r="AM221" s="420">
        <v>0</v>
      </c>
      <c r="AN221" s="420">
        <v>106</v>
      </c>
      <c r="AP221" s="420">
        <v>0</v>
      </c>
      <c r="AQ221" s="420">
        <v>0</v>
      </c>
      <c r="AR221" s="420">
        <v>127.15</v>
      </c>
      <c r="AU221" s="420">
        <v>203</v>
      </c>
      <c r="AV221" s="420">
        <v>2248</v>
      </c>
      <c r="AW221" s="420">
        <v>0.09030249110320285</v>
      </c>
      <c r="AY221" s="420">
        <v>0</v>
      </c>
      <c r="AZ221" s="421">
        <v>1995</v>
      </c>
      <c r="BA221" s="420">
        <v>3015</v>
      </c>
      <c r="BB221" s="420">
        <v>0.6616915422885572</v>
      </c>
      <c r="BD221" s="420">
        <v>0</v>
      </c>
      <c r="BE221" s="420">
        <v>1</v>
      </c>
      <c r="BF221" s="421">
        <v>0</v>
      </c>
      <c r="BG221" s="421">
        <v>0</v>
      </c>
      <c r="BH221" s="419"/>
      <c r="BI221" s="421">
        <v>0</v>
      </c>
      <c r="BJ221" s="419"/>
      <c r="BK221" s="421">
        <v>2287.44</v>
      </c>
      <c r="BL221" s="421">
        <v>39883</v>
      </c>
      <c r="BM221" s="421">
        <v>-99400.3025</v>
      </c>
      <c r="BN221" s="419"/>
      <c r="BO221" s="421">
        <v>-138690.0078582205</v>
      </c>
      <c r="BP221" s="421">
        <v>387043</v>
      </c>
      <c r="BQ221" s="421">
        <v>126882</v>
      </c>
      <c r="BR221" s="421">
        <v>241368.28376477773</v>
      </c>
      <c r="BS221" s="421">
        <v>4103.035289727531</v>
      </c>
      <c r="BT221" s="421">
        <v>27149.87359443658</v>
      </c>
      <c r="BU221" s="421">
        <v>119934.73479326064</v>
      </c>
      <c r="BV221" s="421">
        <v>275731.56641233416</v>
      </c>
      <c r="BW221" s="421">
        <v>473017.7979280093</v>
      </c>
      <c r="BX221" s="421">
        <v>126067.88854329768</v>
      </c>
      <c r="BY221" s="421">
        <v>214989.74805185717</v>
      </c>
      <c r="BZ221" s="419"/>
      <c r="CA221" s="421">
        <v>-16950.780255883357</v>
      </c>
      <c r="CB221" s="419"/>
      <c r="CC221" s="419"/>
      <c r="CD221" s="419"/>
      <c r="CE221" s="421">
        <v>278526.286331744</v>
      </c>
      <c r="CF221" s="421">
        <v>191763.34913031512</v>
      </c>
      <c r="CG221" s="421">
        <v>261224.11494258555</v>
      </c>
      <c r="CH221" s="421">
        <v>-29687.653236390783</v>
      </c>
      <c r="CI221" s="419"/>
      <c r="CJ221" s="421">
        <v>143643.88782064602</v>
      </c>
      <c r="CK221" s="421">
        <v>-971431</v>
      </c>
      <c r="CL221" s="421">
        <v>342876.6422</v>
      </c>
      <c r="CM221" s="421">
        <v>301218.73240000004</v>
      </c>
      <c r="CN221" s="421">
        <v>41657.909799999965</v>
      </c>
      <c r="CO221" s="419"/>
      <c r="CP221" s="419"/>
      <c r="CQ221" s="419"/>
      <c r="CR221" s="171">
        <v>2003</v>
      </c>
    </row>
    <row r="222" spans="1:96" ht="9.75">
      <c r="A222" s="203">
        <v>707</v>
      </c>
      <c r="B222" s="203" t="s">
        <v>277</v>
      </c>
      <c r="C222" s="421">
        <v>2066</v>
      </c>
      <c r="D222" s="419"/>
      <c r="E222" s="419"/>
      <c r="F222" s="419"/>
      <c r="G222" s="419"/>
      <c r="H222" s="500">
        <v>4291.05</v>
      </c>
      <c r="I222" s="419"/>
      <c r="J222" s="419"/>
      <c r="K222" s="419"/>
      <c r="L222" s="419"/>
      <c r="M222" s="419"/>
      <c r="N222" s="419"/>
      <c r="O222" s="419"/>
      <c r="P222" s="419"/>
      <c r="Q222" s="421">
        <v>43</v>
      </c>
      <c r="R222" s="421">
        <v>14</v>
      </c>
      <c r="S222" s="421">
        <v>89</v>
      </c>
      <c r="T222" s="421">
        <v>44</v>
      </c>
      <c r="U222" s="421">
        <v>40</v>
      </c>
      <c r="V222" s="421">
        <v>984</v>
      </c>
      <c r="W222" s="421">
        <v>492</v>
      </c>
      <c r="X222" s="421">
        <v>250</v>
      </c>
      <c r="Y222" s="421">
        <v>110</v>
      </c>
      <c r="Z222" s="419"/>
      <c r="AA222" s="419"/>
      <c r="AB222" s="419"/>
      <c r="AC222" s="419"/>
      <c r="AD222" s="419"/>
      <c r="AE222" s="422">
        <v>1.7783866523385734</v>
      </c>
      <c r="AF222" s="421">
        <v>4885219.251321434</v>
      </c>
      <c r="AG222" s="420">
        <v>134</v>
      </c>
      <c r="AH222" s="420">
        <v>798</v>
      </c>
      <c r="AJ222" s="420">
        <v>71</v>
      </c>
      <c r="AK222" s="420">
        <v>0.03436592449177154</v>
      </c>
      <c r="AM222" s="420">
        <v>0</v>
      </c>
      <c r="AN222" s="420">
        <v>2</v>
      </c>
      <c r="AP222" s="420">
        <v>3</v>
      </c>
      <c r="AQ222" s="420">
        <v>369</v>
      </c>
      <c r="AR222" s="420">
        <v>427.61</v>
      </c>
      <c r="AU222" s="420">
        <v>81</v>
      </c>
      <c r="AV222" s="420">
        <v>474</v>
      </c>
      <c r="AW222" s="420">
        <v>0.17088607594936708</v>
      </c>
      <c r="AY222" s="420">
        <v>0.4227</v>
      </c>
      <c r="AZ222" s="421">
        <v>485</v>
      </c>
      <c r="BA222" s="420">
        <v>623</v>
      </c>
      <c r="BB222" s="420">
        <v>0.7784911717495987</v>
      </c>
      <c r="BD222" s="420">
        <v>0</v>
      </c>
      <c r="BE222" s="420">
        <v>0</v>
      </c>
      <c r="BF222" s="421">
        <v>0</v>
      </c>
      <c r="BG222" s="421">
        <v>0</v>
      </c>
      <c r="BH222" s="419"/>
      <c r="BI222" s="421">
        <v>0</v>
      </c>
      <c r="BJ222" s="419"/>
      <c r="BK222" s="421">
        <v>743.76</v>
      </c>
      <c r="BL222" s="421">
        <v>200161</v>
      </c>
      <c r="BM222" s="421">
        <v>-58590.115</v>
      </c>
      <c r="BN222" s="419"/>
      <c r="BO222" s="421">
        <v>152966.38367605582</v>
      </c>
      <c r="BP222" s="421">
        <v>302843</v>
      </c>
      <c r="BQ222" s="421">
        <v>87748</v>
      </c>
      <c r="BR222" s="421">
        <v>236964.1114700343</v>
      </c>
      <c r="BS222" s="421">
        <v>12584.419830805715</v>
      </c>
      <c r="BT222" s="421">
        <v>39572.3615710929</v>
      </c>
      <c r="BU222" s="421">
        <v>110909.52963556179</v>
      </c>
      <c r="BV222" s="421">
        <v>139255.8619116213</v>
      </c>
      <c r="BW222" s="421">
        <v>209563.8503822768</v>
      </c>
      <c r="BX222" s="421">
        <v>68562.92220370976</v>
      </c>
      <c r="BY222" s="421">
        <v>114765.60193857328</v>
      </c>
      <c r="BZ222" s="419"/>
      <c r="CA222" s="421">
        <v>30320.577998270594</v>
      </c>
      <c r="CB222" s="419"/>
      <c r="CC222" s="419"/>
      <c r="CD222" s="419"/>
      <c r="CE222" s="421">
        <v>162854.27178432132</v>
      </c>
      <c r="CF222" s="421">
        <v>80831.96129184245</v>
      </c>
      <c r="CG222" s="421">
        <v>93705.55500953269</v>
      </c>
      <c r="CH222" s="421">
        <v>-6898.432368094125</v>
      </c>
      <c r="CI222" s="419"/>
      <c r="CJ222" s="421">
        <v>2704382.6918184906</v>
      </c>
      <c r="CK222" s="421">
        <v>-531857</v>
      </c>
      <c r="CL222" s="421">
        <v>19375.772</v>
      </c>
      <c r="CM222" s="421">
        <v>32938.8124</v>
      </c>
      <c r="CN222" s="421">
        <v>-13563.040400000002</v>
      </c>
      <c r="CO222" s="419"/>
      <c r="CP222" s="419"/>
      <c r="CQ222" s="419"/>
      <c r="CR222" s="171">
        <v>311</v>
      </c>
    </row>
    <row r="223" spans="1:96" ht="9.75">
      <c r="A223" s="203">
        <v>729</v>
      </c>
      <c r="B223" s="203" t="s">
        <v>278</v>
      </c>
      <c r="C223" s="421">
        <v>9208</v>
      </c>
      <c r="D223" s="419"/>
      <c r="E223" s="419"/>
      <c r="F223" s="419"/>
      <c r="G223" s="419"/>
      <c r="H223" s="500">
        <v>4291.05</v>
      </c>
      <c r="I223" s="419"/>
      <c r="J223" s="419"/>
      <c r="K223" s="419"/>
      <c r="L223" s="419"/>
      <c r="M223" s="419"/>
      <c r="N223" s="419"/>
      <c r="O223" s="419"/>
      <c r="P223" s="419"/>
      <c r="Q223" s="421">
        <v>429</v>
      </c>
      <c r="R223" s="421">
        <v>83</v>
      </c>
      <c r="S223" s="421">
        <v>549</v>
      </c>
      <c r="T223" s="421">
        <v>314</v>
      </c>
      <c r="U223" s="421">
        <v>295</v>
      </c>
      <c r="V223" s="421">
        <v>4501</v>
      </c>
      <c r="W223" s="421">
        <v>1681</v>
      </c>
      <c r="X223" s="421">
        <v>951</v>
      </c>
      <c r="Y223" s="421">
        <v>405</v>
      </c>
      <c r="Z223" s="419"/>
      <c r="AA223" s="419"/>
      <c r="AB223" s="419"/>
      <c r="AC223" s="419"/>
      <c r="AD223" s="419"/>
      <c r="AE223" s="422">
        <v>1.3591355493350674</v>
      </c>
      <c r="AF223" s="421">
        <v>16640088.662197938</v>
      </c>
      <c r="AG223" s="420">
        <v>689</v>
      </c>
      <c r="AH223" s="420">
        <v>3829</v>
      </c>
      <c r="AJ223" s="420">
        <v>108</v>
      </c>
      <c r="AK223" s="420">
        <v>0.011728931364031277</v>
      </c>
      <c r="AM223" s="420">
        <v>0</v>
      </c>
      <c r="AN223" s="420">
        <v>13</v>
      </c>
      <c r="AP223" s="420">
        <v>0</v>
      </c>
      <c r="AQ223" s="420">
        <v>0</v>
      </c>
      <c r="AR223" s="420">
        <v>1251.71</v>
      </c>
      <c r="AU223" s="420">
        <v>337</v>
      </c>
      <c r="AV223" s="420">
        <v>2261</v>
      </c>
      <c r="AW223" s="420">
        <v>0.14904909332153915</v>
      </c>
      <c r="AY223" s="420">
        <v>0.1762</v>
      </c>
      <c r="AZ223" s="421">
        <v>2888</v>
      </c>
      <c r="BA223" s="420">
        <v>3109</v>
      </c>
      <c r="BB223" s="420">
        <v>0.9289160501769057</v>
      </c>
      <c r="BD223" s="420">
        <v>0</v>
      </c>
      <c r="BE223" s="420">
        <v>0</v>
      </c>
      <c r="BF223" s="421">
        <v>0</v>
      </c>
      <c r="BG223" s="421">
        <v>0</v>
      </c>
      <c r="BH223" s="419"/>
      <c r="BI223" s="421">
        <v>0</v>
      </c>
      <c r="BJ223" s="419"/>
      <c r="BK223" s="421">
        <v>3314.8799999999997</v>
      </c>
      <c r="BL223" s="421">
        <v>321957</v>
      </c>
      <c r="BM223" s="421">
        <v>-382919.69</v>
      </c>
      <c r="BN223" s="419"/>
      <c r="BO223" s="421">
        <v>251383.7136722952</v>
      </c>
      <c r="BP223" s="421">
        <v>954489</v>
      </c>
      <c r="BQ223" s="421">
        <v>293114</v>
      </c>
      <c r="BR223" s="421">
        <v>743309.2555429272</v>
      </c>
      <c r="BS223" s="421">
        <v>41048.66335412597</v>
      </c>
      <c r="BT223" s="421">
        <v>106843.04163109911</v>
      </c>
      <c r="BU223" s="421">
        <v>374059.29699343286</v>
      </c>
      <c r="BV223" s="421">
        <v>564756.2980729024</v>
      </c>
      <c r="BW223" s="421">
        <v>868628.6008690046</v>
      </c>
      <c r="BX223" s="421">
        <v>262472.32790500263</v>
      </c>
      <c r="BY223" s="421">
        <v>452921.7387245435</v>
      </c>
      <c r="BZ223" s="419"/>
      <c r="CA223" s="421">
        <v>68276.05174616053</v>
      </c>
      <c r="CB223" s="419"/>
      <c r="CC223" s="419"/>
      <c r="CD223" s="419"/>
      <c r="CE223" s="421">
        <v>616123.8278801544</v>
      </c>
      <c r="CF223" s="421">
        <v>347446.5780543309</v>
      </c>
      <c r="CG223" s="421">
        <v>417519.92220827716</v>
      </c>
      <c r="CH223" s="421">
        <v>-34871.91320469216</v>
      </c>
      <c r="CI223" s="419"/>
      <c r="CJ223" s="421">
        <v>8907477.6607245</v>
      </c>
      <c r="CK223" s="421">
        <v>297261</v>
      </c>
      <c r="CL223" s="421">
        <v>165588.3284</v>
      </c>
      <c r="CM223" s="421">
        <v>236533.46279999998</v>
      </c>
      <c r="CN223" s="421">
        <v>-70945.13439999998</v>
      </c>
      <c r="CO223" s="419"/>
      <c r="CP223" s="419"/>
      <c r="CQ223" s="419"/>
      <c r="CR223" s="171">
        <v>2243</v>
      </c>
    </row>
    <row r="224" spans="1:96" ht="9.75">
      <c r="A224" s="203">
        <v>732</v>
      </c>
      <c r="B224" s="203" t="s">
        <v>279</v>
      </c>
      <c r="C224" s="421">
        <v>3407</v>
      </c>
      <c r="D224" s="419"/>
      <c r="E224" s="419"/>
      <c r="F224" s="419"/>
      <c r="G224" s="419"/>
      <c r="H224" s="500">
        <v>4291.05</v>
      </c>
      <c r="I224" s="419"/>
      <c r="J224" s="419"/>
      <c r="K224" s="419"/>
      <c r="L224" s="419"/>
      <c r="M224" s="419"/>
      <c r="N224" s="419"/>
      <c r="O224" s="419"/>
      <c r="P224" s="419"/>
      <c r="Q224" s="421">
        <v>77</v>
      </c>
      <c r="R224" s="421">
        <v>19</v>
      </c>
      <c r="S224" s="421">
        <v>149</v>
      </c>
      <c r="T224" s="421">
        <v>79</v>
      </c>
      <c r="U224" s="421">
        <v>75</v>
      </c>
      <c r="V224" s="421">
        <v>1670</v>
      </c>
      <c r="W224" s="421">
        <v>741</v>
      </c>
      <c r="X224" s="421">
        <v>397</v>
      </c>
      <c r="Y224" s="421">
        <v>200</v>
      </c>
      <c r="Z224" s="419"/>
      <c r="AA224" s="419"/>
      <c r="AB224" s="419"/>
      <c r="AC224" s="419"/>
      <c r="AD224" s="419"/>
      <c r="AE224" s="422">
        <v>1.7301018367875967</v>
      </c>
      <c r="AF224" s="421">
        <v>7837388.113309171</v>
      </c>
      <c r="AG224" s="420">
        <v>227</v>
      </c>
      <c r="AH224" s="420">
        <v>1353</v>
      </c>
      <c r="AJ224" s="420">
        <v>67</v>
      </c>
      <c r="AK224" s="420">
        <v>0.019665394775462284</v>
      </c>
      <c r="AM224" s="420">
        <v>0</v>
      </c>
      <c r="AN224" s="420">
        <v>11</v>
      </c>
      <c r="AP224" s="420">
        <v>0</v>
      </c>
      <c r="AQ224" s="420">
        <v>0</v>
      </c>
      <c r="AR224" s="420">
        <v>5729.65</v>
      </c>
      <c r="AU224" s="420">
        <v>121</v>
      </c>
      <c r="AV224" s="420">
        <v>734</v>
      </c>
      <c r="AW224" s="420">
        <v>0.164850136239782</v>
      </c>
      <c r="AY224" s="420">
        <v>1.7481</v>
      </c>
      <c r="AZ224" s="421">
        <v>1084</v>
      </c>
      <c r="BA224" s="420">
        <v>1135</v>
      </c>
      <c r="BB224" s="420">
        <v>0.9550660792951542</v>
      </c>
      <c r="BD224" s="420">
        <v>0</v>
      </c>
      <c r="BE224" s="420">
        <v>3</v>
      </c>
      <c r="BF224" s="421">
        <v>0</v>
      </c>
      <c r="BG224" s="421">
        <v>0</v>
      </c>
      <c r="BH224" s="419"/>
      <c r="BI224" s="421">
        <v>0</v>
      </c>
      <c r="BJ224" s="419"/>
      <c r="BK224" s="421">
        <v>1226.52</v>
      </c>
      <c r="BL224" s="421">
        <v>258365</v>
      </c>
      <c r="BM224" s="421">
        <v>-66076.95</v>
      </c>
      <c r="BN224" s="419"/>
      <c r="BO224" s="421">
        <v>501435.70851542056</v>
      </c>
      <c r="BP224" s="421">
        <v>397132</v>
      </c>
      <c r="BQ224" s="421">
        <v>120884</v>
      </c>
      <c r="BR224" s="421">
        <v>323961.8783023534</v>
      </c>
      <c r="BS224" s="421">
        <v>18056.029456748154</v>
      </c>
      <c r="BT224" s="421">
        <v>65713.15219817025</v>
      </c>
      <c r="BU224" s="421">
        <v>160800.97622708709</v>
      </c>
      <c r="BV224" s="421">
        <v>206884.00489435552</v>
      </c>
      <c r="BW224" s="421">
        <v>312809.4833913017</v>
      </c>
      <c r="BX224" s="421">
        <v>103830.8701499441</v>
      </c>
      <c r="BY224" s="421">
        <v>177671.04133237439</v>
      </c>
      <c r="BZ224" s="419"/>
      <c r="CA224" s="421">
        <v>1053.7415134621988</v>
      </c>
      <c r="CB224" s="419"/>
      <c r="CC224" s="419"/>
      <c r="CD224" s="419"/>
      <c r="CE224" s="421">
        <v>237633.23338444397</v>
      </c>
      <c r="CF224" s="421">
        <v>125693.30274580349</v>
      </c>
      <c r="CG224" s="421">
        <v>151166.36400390317</v>
      </c>
      <c r="CH224" s="421">
        <v>-12797.908344645253</v>
      </c>
      <c r="CI224" s="419"/>
      <c r="CJ224" s="421">
        <v>2859442.4142632824</v>
      </c>
      <c r="CK224" s="421">
        <v>103748</v>
      </c>
      <c r="CL224" s="421">
        <v>34280.212</v>
      </c>
      <c r="CM224" s="421">
        <v>101469.42752</v>
      </c>
      <c r="CN224" s="421">
        <v>-67189.21552</v>
      </c>
      <c r="CO224" s="419"/>
      <c r="CP224" s="419"/>
      <c r="CQ224" s="419"/>
      <c r="CR224" s="171">
        <v>588</v>
      </c>
    </row>
    <row r="225" spans="1:96" ht="9.75">
      <c r="A225" s="203">
        <v>734</v>
      </c>
      <c r="B225" s="203" t="s">
        <v>280</v>
      </c>
      <c r="C225" s="421">
        <v>51562</v>
      </c>
      <c r="D225" s="419"/>
      <c r="E225" s="419"/>
      <c r="F225" s="419"/>
      <c r="G225" s="419"/>
      <c r="H225" s="500">
        <v>4291.05</v>
      </c>
      <c r="I225" s="419"/>
      <c r="J225" s="419"/>
      <c r="K225" s="419"/>
      <c r="L225" s="419"/>
      <c r="M225" s="419"/>
      <c r="N225" s="419"/>
      <c r="O225" s="419"/>
      <c r="P225" s="419"/>
      <c r="Q225" s="421">
        <v>2151</v>
      </c>
      <c r="R225" s="421">
        <v>466</v>
      </c>
      <c r="S225" s="421">
        <v>3345</v>
      </c>
      <c r="T225" s="421">
        <v>1835</v>
      </c>
      <c r="U225" s="421">
        <v>1816</v>
      </c>
      <c r="V225" s="421">
        <v>27591</v>
      </c>
      <c r="W225" s="421">
        <v>8034</v>
      </c>
      <c r="X225" s="421">
        <v>4527</v>
      </c>
      <c r="Y225" s="421">
        <v>1797</v>
      </c>
      <c r="Z225" s="419"/>
      <c r="AA225" s="419"/>
      <c r="AB225" s="419"/>
      <c r="AC225" s="419"/>
      <c r="AD225" s="419"/>
      <c r="AE225" s="422">
        <v>1.067621350107191</v>
      </c>
      <c r="AF225" s="421">
        <v>73193844.28773548</v>
      </c>
      <c r="AG225" s="420">
        <v>3162</v>
      </c>
      <c r="AH225" s="420">
        <v>23498</v>
      </c>
      <c r="AJ225" s="420">
        <v>3332</v>
      </c>
      <c r="AK225" s="420">
        <v>0.06462123269074124</v>
      </c>
      <c r="AM225" s="420">
        <v>0</v>
      </c>
      <c r="AN225" s="420">
        <v>607</v>
      </c>
      <c r="AP225" s="420">
        <v>3</v>
      </c>
      <c r="AQ225" s="420">
        <v>585</v>
      </c>
      <c r="AR225" s="420">
        <v>1987.21</v>
      </c>
      <c r="AU225" s="420">
        <v>2280</v>
      </c>
      <c r="AV225" s="420">
        <v>15540</v>
      </c>
      <c r="AW225" s="420">
        <v>0.14671814671814673</v>
      </c>
      <c r="AY225" s="420">
        <v>0</v>
      </c>
      <c r="AZ225" s="421">
        <v>18006</v>
      </c>
      <c r="BA225" s="420">
        <v>20643</v>
      </c>
      <c r="BB225" s="420">
        <v>0.8722569393983433</v>
      </c>
      <c r="BD225" s="420">
        <v>0</v>
      </c>
      <c r="BE225" s="420">
        <v>2</v>
      </c>
      <c r="BF225" s="421">
        <v>0</v>
      </c>
      <c r="BG225" s="421">
        <v>0</v>
      </c>
      <c r="BH225" s="419"/>
      <c r="BI225" s="421">
        <v>0</v>
      </c>
      <c r="BJ225" s="419"/>
      <c r="BK225" s="421">
        <v>18562.32</v>
      </c>
      <c r="BL225" s="421">
        <v>-333760</v>
      </c>
      <c r="BM225" s="421">
        <v>-2405679.3275</v>
      </c>
      <c r="BN225" s="419"/>
      <c r="BO225" s="421">
        <v>825981.7808151245</v>
      </c>
      <c r="BP225" s="421">
        <v>4035158</v>
      </c>
      <c r="BQ225" s="421">
        <v>1360728</v>
      </c>
      <c r="BR225" s="421">
        <v>3108333.4400907625</v>
      </c>
      <c r="BS225" s="421">
        <v>109870.08065928429</v>
      </c>
      <c r="BT225" s="421">
        <v>143591.84511297155</v>
      </c>
      <c r="BU225" s="421">
        <v>1435082.5456556936</v>
      </c>
      <c r="BV225" s="421">
        <v>2764155.9394521797</v>
      </c>
      <c r="BW225" s="421">
        <v>4385553.091347926</v>
      </c>
      <c r="BX225" s="421">
        <v>1357506.7920240066</v>
      </c>
      <c r="BY225" s="421">
        <v>2418070.2994944337</v>
      </c>
      <c r="BZ225" s="419"/>
      <c r="CA225" s="421">
        <v>472138.69220869715</v>
      </c>
      <c r="CB225" s="419"/>
      <c r="CC225" s="419"/>
      <c r="CD225" s="419"/>
      <c r="CE225" s="421">
        <v>3087603.991114954</v>
      </c>
      <c r="CF225" s="421">
        <v>1882086.4734985407</v>
      </c>
      <c r="CG225" s="421">
        <v>2385812.891408167</v>
      </c>
      <c r="CH225" s="421">
        <v>-223032.08132262033</v>
      </c>
      <c r="CI225" s="419"/>
      <c r="CJ225" s="421">
        <v>26611921.804892667</v>
      </c>
      <c r="CK225" s="421">
        <v>-2100775</v>
      </c>
      <c r="CL225" s="421">
        <v>805212.3710000002</v>
      </c>
      <c r="CM225" s="421">
        <v>1289293.6777599999</v>
      </c>
      <c r="CN225" s="421">
        <v>-484081.3067599997</v>
      </c>
      <c r="CO225" s="419"/>
      <c r="CP225" s="419"/>
      <c r="CQ225" s="419"/>
      <c r="CR225" s="171">
        <v>13705</v>
      </c>
    </row>
    <row r="226" spans="1:96" ht="9.75">
      <c r="A226" s="203">
        <v>790</v>
      </c>
      <c r="B226" s="203" t="s">
        <v>281</v>
      </c>
      <c r="C226" s="421">
        <v>24052</v>
      </c>
      <c r="D226" s="419"/>
      <c r="E226" s="419"/>
      <c r="F226" s="419"/>
      <c r="G226" s="419"/>
      <c r="H226" s="500">
        <v>4291.05</v>
      </c>
      <c r="I226" s="419"/>
      <c r="J226" s="419"/>
      <c r="K226" s="419"/>
      <c r="L226" s="419"/>
      <c r="M226" s="419"/>
      <c r="N226" s="419"/>
      <c r="O226" s="419"/>
      <c r="P226" s="419"/>
      <c r="Q226" s="421">
        <v>1116</v>
      </c>
      <c r="R226" s="421">
        <v>228</v>
      </c>
      <c r="S226" s="421">
        <v>1524</v>
      </c>
      <c r="T226" s="421">
        <v>823</v>
      </c>
      <c r="U226" s="421">
        <v>792</v>
      </c>
      <c r="V226" s="421">
        <v>12307</v>
      </c>
      <c r="W226" s="421">
        <v>3932</v>
      </c>
      <c r="X226" s="421">
        <v>2272</v>
      </c>
      <c r="Y226" s="421">
        <v>1058</v>
      </c>
      <c r="Z226" s="419"/>
      <c r="AA226" s="419"/>
      <c r="AB226" s="419"/>
      <c r="AC226" s="419"/>
      <c r="AD226" s="419"/>
      <c r="AE226" s="422">
        <v>1.2519905527890367</v>
      </c>
      <c r="AF226" s="421">
        <v>40038684.4910983</v>
      </c>
      <c r="AG226" s="420">
        <v>1068</v>
      </c>
      <c r="AH226" s="420">
        <v>10239</v>
      </c>
      <c r="AJ226" s="420">
        <v>647</v>
      </c>
      <c r="AK226" s="420">
        <v>0.026900049891900882</v>
      </c>
      <c r="AM226" s="420">
        <v>0</v>
      </c>
      <c r="AN226" s="420">
        <v>38</v>
      </c>
      <c r="AP226" s="420">
        <v>0</v>
      </c>
      <c r="AQ226" s="420">
        <v>0</v>
      </c>
      <c r="AR226" s="420">
        <v>1429.16</v>
      </c>
      <c r="AU226" s="420">
        <v>925</v>
      </c>
      <c r="AV226" s="420">
        <v>6699</v>
      </c>
      <c r="AW226" s="420">
        <v>0.1380803104941036</v>
      </c>
      <c r="AY226" s="420">
        <v>0</v>
      </c>
      <c r="AZ226" s="421">
        <v>8303</v>
      </c>
      <c r="BA226" s="420">
        <v>9281</v>
      </c>
      <c r="BB226" s="420">
        <v>0.8946234241999784</v>
      </c>
      <c r="BD226" s="420">
        <v>0</v>
      </c>
      <c r="BE226" s="420">
        <v>0</v>
      </c>
      <c r="BF226" s="421">
        <v>0</v>
      </c>
      <c r="BG226" s="421">
        <v>0</v>
      </c>
      <c r="BH226" s="419"/>
      <c r="BI226" s="421">
        <v>0</v>
      </c>
      <c r="BJ226" s="419"/>
      <c r="BK226" s="421">
        <v>8658.72</v>
      </c>
      <c r="BL226" s="421">
        <v>109921</v>
      </c>
      <c r="BM226" s="421">
        <v>-1188858.0525</v>
      </c>
      <c r="BN226" s="419"/>
      <c r="BO226" s="421">
        <v>314590.4163180054</v>
      </c>
      <c r="BP226" s="421">
        <v>2132215</v>
      </c>
      <c r="BQ226" s="421">
        <v>693692</v>
      </c>
      <c r="BR226" s="421">
        <v>1590061.451839151</v>
      </c>
      <c r="BS226" s="421">
        <v>77740.95422471622</v>
      </c>
      <c r="BT226" s="421">
        <v>165931.79737755808</v>
      </c>
      <c r="BU226" s="421">
        <v>756892.1389919305</v>
      </c>
      <c r="BV226" s="421">
        <v>1316770.0858104366</v>
      </c>
      <c r="BW226" s="421">
        <v>2130936.0600489173</v>
      </c>
      <c r="BX226" s="421">
        <v>642333.5214555229</v>
      </c>
      <c r="BY226" s="421">
        <v>1104192.3558072038</v>
      </c>
      <c r="BZ226" s="419"/>
      <c r="CA226" s="421">
        <v>-47501.40513018501</v>
      </c>
      <c r="CB226" s="419"/>
      <c r="CC226" s="419"/>
      <c r="CD226" s="419"/>
      <c r="CE226" s="421">
        <v>1427117.754658832</v>
      </c>
      <c r="CF226" s="421">
        <v>864424.8553444301</v>
      </c>
      <c r="CG226" s="421">
        <v>1078825.6995399813</v>
      </c>
      <c r="CH226" s="421">
        <v>-97736.64626544154</v>
      </c>
      <c r="CI226" s="419"/>
      <c r="CJ226" s="421">
        <v>17969921.231862497</v>
      </c>
      <c r="CK226" s="421">
        <v>-2062635</v>
      </c>
      <c r="CL226" s="421">
        <v>683070.4852</v>
      </c>
      <c r="CM226" s="421">
        <v>392970.46504000004</v>
      </c>
      <c r="CN226" s="421">
        <v>290100.02015999996</v>
      </c>
      <c r="CO226" s="419"/>
      <c r="CP226" s="419"/>
      <c r="CQ226" s="419"/>
      <c r="CR226" s="171">
        <v>6303</v>
      </c>
    </row>
    <row r="227" spans="1:96" ht="9.75">
      <c r="A227" s="203">
        <v>738</v>
      </c>
      <c r="B227" s="203" t="s">
        <v>282</v>
      </c>
      <c r="C227" s="421">
        <v>2950</v>
      </c>
      <c r="D227" s="419"/>
      <c r="E227" s="419"/>
      <c r="F227" s="419"/>
      <c r="G227" s="419"/>
      <c r="H227" s="500">
        <v>4291.05</v>
      </c>
      <c r="I227" s="419"/>
      <c r="J227" s="419"/>
      <c r="K227" s="419"/>
      <c r="L227" s="419"/>
      <c r="M227" s="419"/>
      <c r="N227" s="419"/>
      <c r="O227" s="419"/>
      <c r="P227" s="419"/>
      <c r="Q227" s="421">
        <v>142</v>
      </c>
      <c r="R227" s="421">
        <v>26</v>
      </c>
      <c r="S227" s="421">
        <v>214</v>
      </c>
      <c r="T227" s="421">
        <v>98</v>
      </c>
      <c r="U227" s="421">
        <v>109</v>
      </c>
      <c r="V227" s="421">
        <v>1553</v>
      </c>
      <c r="W227" s="421">
        <v>498</v>
      </c>
      <c r="X227" s="421">
        <v>224</v>
      </c>
      <c r="Y227" s="421">
        <v>86</v>
      </c>
      <c r="Z227" s="419"/>
      <c r="AA227" s="419"/>
      <c r="AB227" s="419"/>
      <c r="AC227" s="419"/>
      <c r="AD227" s="419"/>
      <c r="AE227" s="422">
        <v>0.8270635795206691</v>
      </c>
      <c r="AF227" s="421">
        <v>3244056.9252129807</v>
      </c>
      <c r="AG227" s="420">
        <v>85</v>
      </c>
      <c r="AH227" s="420">
        <v>1359</v>
      </c>
      <c r="AJ227" s="420">
        <v>89</v>
      </c>
      <c r="AK227" s="420">
        <v>0.03016949152542373</v>
      </c>
      <c r="AM227" s="420">
        <v>0</v>
      </c>
      <c r="AN227" s="420">
        <v>80</v>
      </c>
      <c r="AP227" s="420">
        <v>0</v>
      </c>
      <c r="AQ227" s="420">
        <v>0</v>
      </c>
      <c r="AR227" s="420">
        <v>252.63</v>
      </c>
      <c r="AU227" s="420">
        <v>126</v>
      </c>
      <c r="AV227" s="420">
        <v>910</v>
      </c>
      <c r="AW227" s="420">
        <v>0.13846153846153847</v>
      </c>
      <c r="AY227" s="420">
        <v>0</v>
      </c>
      <c r="AZ227" s="421">
        <v>729</v>
      </c>
      <c r="BA227" s="420">
        <v>1254</v>
      </c>
      <c r="BB227" s="420">
        <v>0.5813397129186603</v>
      </c>
      <c r="BD227" s="420">
        <v>0</v>
      </c>
      <c r="BE227" s="420">
        <v>0</v>
      </c>
      <c r="BF227" s="421">
        <v>0</v>
      </c>
      <c r="BG227" s="421">
        <v>0</v>
      </c>
      <c r="BH227" s="419"/>
      <c r="BI227" s="421">
        <v>0</v>
      </c>
      <c r="BJ227" s="419"/>
      <c r="BK227" s="421">
        <v>1062</v>
      </c>
      <c r="BL227" s="421">
        <v>-87894</v>
      </c>
      <c r="BM227" s="421">
        <v>-56367.83</v>
      </c>
      <c r="BN227" s="419"/>
      <c r="BO227" s="421">
        <v>-25972.495480962098</v>
      </c>
      <c r="BP227" s="421">
        <v>275701</v>
      </c>
      <c r="BQ227" s="421">
        <v>85382</v>
      </c>
      <c r="BR227" s="421">
        <v>191068.64161105533</v>
      </c>
      <c r="BS227" s="421">
        <v>6790.062972697254</v>
      </c>
      <c r="BT227" s="421">
        <v>2703.277612326673</v>
      </c>
      <c r="BU227" s="421">
        <v>71784.76699329968</v>
      </c>
      <c r="BV227" s="421">
        <v>173816.3424855337</v>
      </c>
      <c r="BW227" s="421">
        <v>286153.1203409527</v>
      </c>
      <c r="BX227" s="421">
        <v>85582.37018853595</v>
      </c>
      <c r="BY227" s="421">
        <v>140795.53337546438</v>
      </c>
      <c r="BZ227" s="419"/>
      <c r="CA227" s="421">
        <v>4909.857215213526</v>
      </c>
      <c r="CB227" s="419"/>
      <c r="CC227" s="419"/>
      <c r="CD227" s="419"/>
      <c r="CE227" s="421">
        <v>194516.62543783686</v>
      </c>
      <c r="CF227" s="421">
        <v>114051.57692577357</v>
      </c>
      <c r="CG227" s="421">
        <v>139238.22015907805</v>
      </c>
      <c r="CH227" s="421">
        <v>-13969.37071143264</v>
      </c>
      <c r="CI227" s="419"/>
      <c r="CJ227" s="421">
        <v>1350200.430385433</v>
      </c>
      <c r="CK227" s="421">
        <v>-571952</v>
      </c>
      <c r="CL227" s="421">
        <v>196813.1302</v>
      </c>
      <c r="CM227" s="421">
        <v>257459.29656</v>
      </c>
      <c r="CN227" s="421">
        <v>-60646.166359999974</v>
      </c>
      <c r="CO227" s="419"/>
      <c r="CP227" s="419"/>
      <c r="CQ227" s="419"/>
      <c r="CR227" s="171">
        <v>740</v>
      </c>
    </row>
    <row r="228" spans="1:96" ht="9.75">
      <c r="A228" s="203">
        <v>739</v>
      </c>
      <c r="B228" s="203" t="s">
        <v>283</v>
      </c>
      <c r="C228" s="421">
        <v>3326</v>
      </c>
      <c r="D228" s="419"/>
      <c r="E228" s="419"/>
      <c r="F228" s="419"/>
      <c r="G228" s="419"/>
      <c r="H228" s="500">
        <v>4291.05</v>
      </c>
      <c r="I228" s="419"/>
      <c r="J228" s="419"/>
      <c r="K228" s="419"/>
      <c r="L228" s="419"/>
      <c r="M228" s="419"/>
      <c r="N228" s="419"/>
      <c r="O228" s="419"/>
      <c r="P228" s="419"/>
      <c r="Q228" s="421">
        <v>108</v>
      </c>
      <c r="R228" s="421">
        <v>27</v>
      </c>
      <c r="S228" s="421">
        <v>165</v>
      </c>
      <c r="T228" s="421">
        <v>93</v>
      </c>
      <c r="U228" s="421">
        <v>86</v>
      </c>
      <c r="V228" s="421">
        <v>1542</v>
      </c>
      <c r="W228" s="421">
        <v>626</v>
      </c>
      <c r="X228" s="421">
        <v>437</v>
      </c>
      <c r="Y228" s="421">
        <v>242</v>
      </c>
      <c r="Z228" s="419"/>
      <c r="AA228" s="419"/>
      <c r="AB228" s="419"/>
      <c r="AC228" s="419"/>
      <c r="AD228" s="419"/>
      <c r="AE228" s="422">
        <v>1.3860458459770895</v>
      </c>
      <c r="AF228" s="421">
        <v>6129533.080714728</v>
      </c>
      <c r="AG228" s="420">
        <v>158</v>
      </c>
      <c r="AH228" s="420">
        <v>1378</v>
      </c>
      <c r="AJ228" s="420">
        <v>45</v>
      </c>
      <c r="AK228" s="420">
        <v>0.013529765484064944</v>
      </c>
      <c r="AM228" s="420">
        <v>0</v>
      </c>
      <c r="AN228" s="420">
        <v>7</v>
      </c>
      <c r="AP228" s="420">
        <v>0</v>
      </c>
      <c r="AQ228" s="420">
        <v>0</v>
      </c>
      <c r="AR228" s="420">
        <v>539.12</v>
      </c>
      <c r="AU228" s="420">
        <v>112</v>
      </c>
      <c r="AV228" s="420">
        <v>762</v>
      </c>
      <c r="AW228" s="420">
        <v>0.14698162729658792</v>
      </c>
      <c r="AY228" s="420">
        <v>0.2244</v>
      </c>
      <c r="AZ228" s="421">
        <v>995</v>
      </c>
      <c r="BA228" s="420">
        <v>1192</v>
      </c>
      <c r="BB228" s="420">
        <v>0.834731543624161</v>
      </c>
      <c r="BD228" s="420">
        <v>0</v>
      </c>
      <c r="BE228" s="420">
        <v>0</v>
      </c>
      <c r="BF228" s="421">
        <v>0</v>
      </c>
      <c r="BG228" s="421">
        <v>0</v>
      </c>
      <c r="BH228" s="419"/>
      <c r="BI228" s="421">
        <v>0</v>
      </c>
      <c r="BJ228" s="419"/>
      <c r="BK228" s="421">
        <v>1197.36</v>
      </c>
      <c r="BL228" s="421">
        <v>71974</v>
      </c>
      <c r="BM228" s="421">
        <v>-98597.715</v>
      </c>
      <c r="BN228" s="419"/>
      <c r="BO228" s="421">
        <v>17385.44724056311</v>
      </c>
      <c r="BP228" s="421">
        <v>404465</v>
      </c>
      <c r="BQ228" s="421">
        <v>122158</v>
      </c>
      <c r="BR228" s="421">
        <v>311739.8156545589</v>
      </c>
      <c r="BS228" s="421">
        <v>16778.709372529363</v>
      </c>
      <c r="BT228" s="421">
        <v>32261.40038031776</v>
      </c>
      <c r="BU228" s="421">
        <v>141033.168890131</v>
      </c>
      <c r="BV228" s="421">
        <v>189766.33782475995</v>
      </c>
      <c r="BW228" s="421">
        <v>320605.1702299171</v>
      </c>
      <c r="BX228" s="421">
        <v>100839.90707654522</v>
      </c>
      <c r="BY228" s="421">
        <v>164273.6361678294</v>
      </c>
      <c r="BZ228" s="419"/>
      <c r="CA228" s="421">
        <v>5249.418538825426</v>
      </c>
      <c r="CB228" s="419"/>
      <c r="CC228" s="419"/>
      <c r="CD228" s="419"/>
      <c r="CE228" s="421">
        <v>239437.09452532945</v>
      </c>
      <c r="CF228" s="421">
        <v>124809.32617138833</v>
      </c>
      <c r="CG228" s="421">
        <v>143434.96907099738</v>
      </c>
      <c r="CH228" s="421">
        <v>-14115.518125051007</v>
      </c>
      <c r="CI228" s="419"/>
      <c r="CJ228" s="421">
        <v>2151928.6708163964</v>
      </c>
      <c r="CK228" s="421">
        <v>348221</v>
      </c>
      <c r="CL228" s="421">
        <v>144573.068</v>
      </c>
      <c r="CM228" s="421">
        <v>25218.31248</v>
      </c>
      <c r="CN228" s="421">
        <v>119354.75552</v>
      </c>
      <c r="CO228" s="419"/>
      <c r="CP228" s="419"/>
      <c r="CQ228" s="419"/>
      <c r="CR228" s="171">
        <v>654</v>
      </c>
    </row>
    <row r="229" spans="1:96" ht="9.75">
      <c r="A229" s="203">
        <v>740</v>
      </c>
      <c r="B229" s="203" t="s">
        <v>284</v>
      </c>
      <c r="C229" s="421">
        <v>32662</v>
      </c>
      <c r="D229" s="419"/>
      <c r="E229" s="419"/>
      <c r="F229" s="419"/>
      <c r="G229" s="419"/>
      <c r="H229" s="500">
        <v>4291.05</v>
      </c>
      <c r="I229" s="419"/>
      <c r="J229" s="419"/>
      <c r="K229" s="419"/>
      <c r="L229" s="419"/>
      <c r="M229" s="419"/>
      <c r="N229" s="419"/>
      <c r="O229" s="419"/>
      <c r="P229" s="419"/>
      <c r="Q229" s="421">
        <v>1186</v>
      </c>
      <c r="R229" s="421">
        <v>255</v>
      </c>
      <c r="S229" s="421">
        <v>1738</v>
      </c>
      <c r="T229" s="421">
        <v>927</v>
      </c>
      <c r="U229" s="421">
        <v>1060</v>
      </c>
      <c r="V229" s="421">
        <v>16780</v>
      </c>
      <c r="W229" s="421">
        <v>5896</v>
      </c>
      <c r="X229" s="421">
        <v>3402</v>
      </c>
      <c r="Y229" s="421">
        <v>1418</v>
      </c>
      <c r="Z229" s="419"/>
      <c r="AA229" s="419"/>
      <c r="AB229" s="419"/>
      <c r="AC229" s="419"/>
      <c r="AD229" s="419"/>
      <c r="AE229" s="422">
        <v>1.3101567427743581</v>
      </c>
      <c r="AF229" s="421">
        <v>56897552.297272526</v>
      </c>
      <c r="AG229" s="420">
        <v>2092</v>
      </c>
      <c r="AH229" s="420">
        <v>14273</v>
      </c>
      <c r="AJ229" s="420">
        <v>1262</v>
      </c>
      <c r="AK229" s="420">
        <v>0.03863817280019595</v>
      </c>
      <c r="AM229" s="420">
        <v>0</v>
      </c>
      <c r="AN229" s="420">
        <v>40</v>
      </c>
      <c r="AP229" s="420">
        <v>3</v>
      </c>
      <c r="AQ229" s="420">
        <v>4858</v>
      </c>
      <c r="AR229" s="420">
        <v>2238.17</v>
      </c>
      <c r="AU229" s="420">
        <v>1017</v>
      </c>
      <c r="AV229" s="420">
        <v>8436</v>
      </c>
      <c r="AW229" s="420">
        <v>0.1205547652916074</v>
      </c>
      <c r="AY229" s="420">
        <v>0.222</v>
      </c>
      <c r="AZ229" s="421">
        <v>12287</v>
      </c>
      <c r="BA229" s="420">
        <v>12046</v>
      </c>
      <c r="BB229" s="420">
        <v>1.0200066412086999</v>
      </c>
      <c r="BD229" s="420">
        <v>0</v>
      </c>
      <c r="BE229" s="420">
        <v>1</v>
      </c>
      <c r="BF229" s="421">
        <v>0</v>
      </c>
      <c r="BG229" s="421">
        <v>0</v>
      </c>
      <c r="BH229" s="419"/>
      <c r="BI229" s="421">
        <v>0</v>
      </c>
      <c r="BJ229" s="419"/>
      <c r="BK229" s="421">
        <v>11758.32</v>
      </c>
      <c r="BL229" s="421">
        <v>523093</v>
      </c>
      <c r="BM229" s="421">
        <v>-1869721.325</v>
      </c>
      <c r="BN229" s="419"/>
      <c r="BO229" s="421">
        <v>224198.56074189395</v>
      </c>
      <c r="BP229" s="421">
        <v>3134752</v>
      </c>
      <c r="BQ229" s="421">
        <v>972657</v>
      </c>
      <c r="BR229" s="421">
        <v>2432360.2074209754</v>
      </c>
      <c r="BS229" s="421">
        <v>111060.45902521518</v>
      </c>
      <c r="BT229" s="421">
        <v>21440.63081911284</v>
      </c>
      <c r="BU229" s="421">
        <v>1185246.8266214402</v>
      </c>
      <c r="BV229" s="421">
        <v>1798370.0961450383</v>
      </c>
      <c r="BW229" s="421">
        <v>2924603.959064982</v>
      </c>
      <c r="BX229" s="421">
        <v>904618.1283445293</v>
      </c>
      <c r="BY229" s="421">
        <v>1618745.2680681061</v>
      </c>
      <c r="BZ229" s="419"/>
      <c r="CA229" s="421">
        <v>103278.08722370467</v>
      </c>
      <c r="CB229" s="419"/>
      <c r="CC229" s="419"/>
      <c r="CD229" s="419"/>
      <c r="CE229" s="421">
        <v>2081064.499108073</v>
      </c>
      <c r="CF229" s="421">
        <v>1144552.211027155</v>
      </c>
      <c r="CG229" s="421">
        <v>1419410.9057683619</v>
      </c>
      <c r="CH229" s="421">
        <v>-158809.13999976826</v>
      </c>
      <c r="CI229" s="419"/>
      <c r="CJ229" s="421">
        <v>16474281.481635027</v>
      </c>
      <c r="CK229" s="421">
        <v>-1632289</v>
      </c>
      <c r="CL229" s="421">
        <v>485884.7440000001</v>
      </c>
      <c r="CM229" s="421">
        <v>604613.51304</v>
      </c>
      <c r="CN229" s="421">
        <v>-118728.76903999987</v>
      </c>
      <c r="CO229" s="419"/>
      <c r="CP229" s="419"/>
      <c r="CQ229" s="419"/>
      <c r="CR229" s="171">
        <v>7882</v>
      </c>
    </row>
    <row r="230" spans="1:96" ht="9.75">
      <c r="A230" s="203">
        <v>742</v>
      </c>
      <c r="B230" s="203" t="s">
        <v>285</v>
      </c>
      <c r="C230" s="421">
        <v>1009</v>
      </c>
      <c r="D230" s="419"/>
      <c r="E230" s="419"/>
      <c r="F230" s="419"/>
      <c r="G230" s="419"/>
      <c r="H230" s="500">
        <v>4291.05</v>
      </c>
      <c r="I230" s="419"/>
      <c r="J230" s="419"/>
      <c r="K230" s="419"/>
      <c r="L230" s="419"/>
      <c r="M230" s="419"/>
      <c r="N230" s="419"/>
      <c r="O230" s="419"/>
      <c r="P230" s="419"/>
      <c r="Q230" s="421">
        <v>40</v>
      </c>
      <c r="R230" s="421">
        <v>6</v>
      </c>
      <c r="S230" s="421">
        <v>46</v>
      </c>
      <c r="T230" s="421">
        <v>18</v>
      </c>
      <c r="U230" s="421">
        <v>27</v>
      </c>
      <c r="V230" s="421">
        <v>538</v>
      </c>
      <c r="W230" s="421">
        <v>183</v>
      </c>
      <c r="X230" s="421">
        <v>110</v>
      </c>
      <c r="Y230" s="421">
        <v>41</v>
      </c>
      <c r="Z230" s="419"/>
      <c r="AA230" s="419"/>
      <c r="AB230" s="419"/>
      <c r="AC230" s="419"/>
      <c r="AD230" s="419"/>
      <c r="AE230" s="422">
        <v>1.2176904536107906</v>
      </c>
      <c r="AF230" s="421">
        <v>1633637.2271388497</v>
      </c>
      <c r="AG230" s="420">
        <v>88</v>
      </c>
      <c r="AH230" s="420">
        <v>444</v>
      </c>
      <c r="AJ230" s="420">
        <v>5</v>
      </c>
      <c r="AK230" s="420">
        <v>0.004955401387512388</v>
      </c>
      <c r="AM230" s="420">
        <v>0</v>
      </c>
      <c r="AN230" s="420">
        <v>2</v>
      </c>
      <c r="AP230" s="420">
        <v>0</v>
      </c>
      <c r="AQ230" s="420">
        <v>0</v>
      </c>
      <c r="AR230" s="420">
        <v>6439.65</v>
      </c>
      <c r="AU230" s="420">
        <v>32</v>
      </c>
      <c r="AV230" s="420">
        <v>247</v>
      </c>
      <c r="AW230" s="420">
        <v>0.12955465587044535</v>
      </c>
      <c r="AY230" s="420">
        <v>1.9019</v>
      </c>
      <c r="AZ230" s="421">
        <v>332</v>
      </c>
      <c r="BA230" s="420">
        <v>364</v>
      </c>
      <c r="BB230" s="420">
        <v>0.9120879120879121</v>
      </c>
      <c r="BD230" s="420">
        <v>0</v>
      </c>
      <c r="BE230" s="420">
        <v>4</v>
      </c>
      <c r="BF230" s="421">
        <v>0</v>
      </c>
      <c r="BG230" s="421">
        <v>0</v>
      </c>
      <c r="BH230" s="419"/>
      <c r="BI230" s="421">
        <v>0</v>
      </c>
      <c r="BJ230" s="419"/>
      <c r="BK230" s="421">
        <v>363.24</v>
      </c>
      <c r="BL230" s="421">
        <v>93901</v>
      </c>
      <c r="BM230" s="421">
        <v>-27153.89</v>
      </c>
      <c r="BN230" s="419"/>
      <c r="BO230" s="421">
        <v>106604.61965460237</v>
      </c>
      <c r="BP230" s="421">
        <v>109834</v>
      </c>
      <c r="BQ230" s="421">
        <v>36537</v>
      </c>
      <c r="BR230" s="421">
        <v>107128.47253510478</v>
      </c>
      <c r="BS230" s="421">
        <v>6185.452639417533</v>
      </c>
      <c r="BT230" s="421">
        <v>17547.13801080827</v>
      </c>
      <c r="BU230" s="421">
        <v>43891.12617323774</v>
      </c>
      <c r="BV230" s="421">
        <v>62396.715269829845</v>
      </c>
      <c r="BW230" s="421">
        <v>97408.82513247551</v>
      </c>
      <c r="BX230" s="421">
        <v>32774.60226936166</v>
      </c>
      <c r="BY230" s="421">
        <v>55547.7924942877</v>
      </c>
      <c r="BZ230" s="419"/>
      <c r="CA230" s="421">
        <v>-17612.449953400366</v>
      </c>
      <c r="CB230" s="419"/>
      <c r="CC230" s="419"/>
      <c r="CD230" s="419"/>
      <c r="CE230" s="421">
        <v>73236.72557315098</v>
      </c>
      <c r="CF230" s="421">
        <v>37764.17422864871</v>
      </c>
      <c r="CG230" s="421">
        <v>43317.31471114244</v>
      </c>
      <c r="CH230" s="421">
        <v>-4475.6636003073145</v>
      </c>
      <c r="CI230" s="419"/>
      <c r="CJ230" s="421">
        <v>75677.07750427841</v>
      </c>
      <c r="CK230" s="421">
        <v>236190</v>
      </c>
      <c r="CL230" s="421">
        <v>11998.0742</v>
      </c>
      <c r="CM230" s="421">
        <v>11923.552000000001</v>
      </c>
      <c r="CN230" s="421">
        <v>74.52219999999761</v>
      </c>
      <c r="CO230" s="419"/>
      <c r="CP230" s="419"/>
      <c r="CQ230" s="419"/>
      <c r="CR230" s="171">
        <v>192</v>
      </c>
    </row>
    <row r="231" spans="1:96" ht="9.75">
      <c r="A231" s="203">
        <v>743</v>
      </c>
      <c r="B231" s="203" t="s">
        <v>286</v>
      </c>
      <c r="C231" s="421">
        <v>64130</v>
      </c>
      <c r="D231" s="419"/>
      <c r="E231" s="419"/>
      <c r="F231" s="419"/>
      <c r="G231" s="419"/>
      <c r="H231" s="500">
        <v>4291.05</v>
      </c>
      <c r="I231" s="419"/>
      <c r="J231" s="419"/>
      <c r="K231" s="419"/>
      <c r="L231" s="419"/>
      <c r="M231" s="419"/>
      <c r="N231" s="419"/>
      <c r="O231" s="419"/>
      <c r="P231" s="419"/>
      <c r="Q231" s="421">
        <v>4044</v>
      </c>
      <c r="R231" s="421">
        <v>769</v>
      </c>
      <c r="S231" s="421">
        <v>4741</v>
      </c>
      <c r="T231" s="421">
        <v>2161</v>
      </c>
      <c r="U231" s="421">
        <v>2268</v>
      </c>
      <c r="V231" s="421">
        <v>37093</v>
      </c>
      <c r="W231" s="421">
        <v>7460</v>
      </c>
      <c r="X231" s="421">
        <v>4005</v>
      </c>
      <c r="Y231" s="421">
        <v>1589</v>
      </c>
      <c r="Z231" s="419"/>
      <c r="AA231" s="419"/>
      <c r="AB231" s="419"/>
      <c r="AC231" s="419"/>
      <c r="AD231" s="419"/>
      <c r="AE231" s="422">
        <v>1.0341448511188875</v>
      </c>
      <c r="AF231" s="421">
        <v>88180014.62342046</v>
      </c>
      <c r="AG231" s="420">
        <v>3163</v>
      </c>
      <c r="AH231" s="420">
        <v>30902</v>
      </c>
      <c r="AJ231" s="420">
        <v>1834</v>
      </c>
      <c r="AK231" s="420">
        <v>0.02859815998752534</v>
      </c>
      <c r="AM231" s="420">
        <v>0</v>
      </c>
      <c r="AN231" s="420">
        <v>149</v>
      </c>
      <c r="AP231" s="420">
        <v>0</v>
      </c>
      <c r="AQ231" s="420">
        <v>0</v>
      </c>
      <c r="AR231" s="420">
        <v>1431.78</v>
      </c>
      <c r="AU231" s="420">
        <v>1667</v>
      </c>
      <c r="AV231" s="420">
        <v>19583</v>
      </c>
      <c r="AW231" s="420">
        <v>0.08512485318899045</v>
      </c>
      <c r="AY231" s="420">
        <v>0</v>
      </c>
      <c r="AZ231" s="421">
        <v>31981</v>
      </c>
      <c r="BA231" s="420">
        <v>28706</v>
      </c>
      <c r="BB231" s="420">
        <v>1.1140876471817738</v>
      </c>
      <c r="BD231" s="420">
        <v>0</v>
      </c>
      <c r="BE231" s="420">
        <v>3</v>
      </c>
      <c r="BF231" s="421">
        <v>0</v>
      </c>
      <c r="BG231" s="421">
        <v>0</v>
      </c>
      <c r="BH231" s="419"/>
      <c r="BI231" s="421">
        <v>0</v>
      </c>
      <c r="BJ231" s="419"/>
      <c r="BK231" s="421">
        <v>23086.8</v>
      </c>
      <c r="BL231" s="421">
        <v>461848</v>
      </c>
      <c r="BM231" s="421">
        <v>-3797815.3545</v>
      </c>
      <c r="BN231" s="419"/>
      <c r="BO231" s="421">
        <v>89519.31668151915</v>
      </c>
      <c r="BP231" s="421">
        <v>3978804</v>
      </c>
      <c r="BQ231" s="421">
        <v>1391477</v>
      </c>
      <c r="BR231" s="421">
        <v>3226519.989374259</v>
      </c>
      <c r="BS231" s="421">
        <v>102023.61029979105</v>
      </c>
      <c r="BT231" s="421">
        <v>237407.69299697477</v>
      </c>
      <c r="BU231" s="421">
        <v>1427481.3590565426</v>
      </c>
      <c r="BV231" s="421">
        <v>3172709.9227266847</v>
      </c>
      <c r="BW231" s="421">
        <v>4787147.299027099</v>
      </c>
      <c r="BX231" s="421">
        <v>1525942.3086978707</v>
      </c>
      <c r="BY231" s="421">
        <v>2622742.824316507</v>
      </c>
      <c r="BZ231" s="419"/>
      <c r="CA231" s="421">
        <v>-35718.04460779624</v>
      </c>
      <c r="CB231" s="419"/>
      <c r="CC231" s="419"/>
      <c r="CD231" s="419"/>
      <c r="CE231" s="421">
        <v>3479615.597833192</v>
      </c>
      <c r="CF231" s="421">
        <v>2187170.9143174672</v>
      </c>
      <c r="CG231" s="421">
        <v>2811930.36938032</v>
      </c>
      <c r="CH231" s="421">
        <v>-306204.8320038632</v>
      </c>
      <c r="CI231" s="419"/>
      <c r="CJ231" s="421">
        <v>20330964.687877394</v>
      </c>
      <c r="CK231" s="421">
        <v>-2752954</v>
      </c>
      <c r="CL231" s="421">
        <v>1147641.8800000001</v>
      </c>
      <c r="CM231" s="421">
        <v>1381477.63916</v>
      </c>
      <c r="CN231" s="421">
        <v>-233835.7591599999</v>
      </c>
      <c r="CO231" s="419"/>
      <c r="CP231" s="419"/>
      <c r="CQ231" s="419"/>
      <c r="CR231" s="171">
        <v>22988</v>
      </c>
    </row>
    <row r="232" spans="1:96" ht="9.75">
      <c r="A232" s="203">
        <v>746</v>
      </c>
      <c r="B232" s="203" t="s">
        <v>287</v>
      </c>
      <c r="C232" s="421">
        <v>4834</v>
      </c>
      <c r="D232" s="419"/>
      <c r="E232" s="419"/>
      <c r="F232" s="419"/>
      <c r="G232" s="419"/>
      <c r="H232" s="500">
        <v>4291.05</v>
      </c>
      <c r="I232" s="419"/>
      <c r="J232" s="419"/>
      <c r="K232" s="419"/>
      <c r="L232" s="419"/>
      <c r="M232" s="419"/>
      <c r="N232" s="419"/>
      <c r="O232" s="419"/>
      <c r="P232" s="419"/>
      <c r="Q232" s="421">
        <v>369</v>
      </c>
      <c r="R232" s="421">
        <v>82</v>
      </c>
      <c r="S232" s="421">
        <v>570</v>
      </c>
      <c r="T232" s="421">
        <v>290</v>
      </c>
      <c r="U232" s="421">
        <v>250</v>
      </c>
      <c r="V232" s="421">
        <v>2299</v>
      </c>
      <c r="W232" s="421">
        <v>548</v>
      </c>
      <c r="X232" s="421">
        <v>295</v>
      </c>
      <c r="Y232" s="421">
        <v>131</v>
      </c>
      <c r="Z232" s="419"/>
      <c r="AA232" s="419"/>
      <c r="AB232" s="419"/>
      <c r="AC232" s="419"/>
      <c r="AD232" s="419"/>
      <c r="AE232" s="422">
        <v>1.4330902422608887</v>
      </c>
      <c r="AF232" s="421">
        <v>9211020.222148906</v>
      </c>
      <c r="AG232" s="420">
        <v>239</v>
      </c>
      <c r="AH232" s="420">
        <v>1972</v>
      </c>
      <c r="AJ232" s="420">
        <v>74</v>
      </c>
      <c r="AK232" s="420">
        <v>0.015308233347124535</v>
      </c>
      <c r="AM232" s="420">
        <v>0</v>
      </c>
      <c r="AN232" s="420">
        <v>9</v>
      </c>
      <c r="AP232" s="420">
        <v>0</v>
      </c>
      <c r="AQ232" s="420">
        <v>0</v>
      </c>
      <c r="AR232" s="420">
        <v>786.95</v>
      </c>
      <c r="AU232" s="420">
        <v>152</v>
      </c>
      <c r="AV232" s="420">
        <v>1277</v>
      </c>
      <c r="AW232" s="420">
        <v>0.11902897415818324</v>
      </c>
      <c r="AY232" s="420">
        <v>0</v>
      </c>
      <c r="AZ232" s="421">
        <v>2168</v>
      </c>
      <c r="BA232" s="420">
        <v>1754</v>
      </c>
      <c r="BB232" s="420">
        <v>1.2360319270239453</v>
      </c>
      <c r="BD232" s="420">
        <v>0</v>
      </c>
      <c r="BE232" s="420">
        <v>1</v>
      </c>
      <c r="BF232" s="421">
        <v>0</v>
      </c>
      <c r="BG232" s="421">
        <v>0</v>
      </c>
      <c r="BH232" s="419"/>
      <c r="BI232" s="421">
        <v>0</v>
      </c>
      <c r="BJ232" s="419"/>
      <c r="BK232" s="421">
        <v>1740.24</v>
      </c>
      <c r="BL232" s="421">
        <v>-98522</v>
      </c>
      <c r="BM232" s="421">
        <v>-127264.485</v>
      </c>
      <c r="BN232" s="419"/>
      <c r="BO232" s="421">
        <v>-93567.0326451771</v>
      </c>
      <c r="BP232" s="421">
        <v>462947</v>
      </c>
      <c r="BQ232" s="421">
        <v>137655</v>
      </c>
      <c r="BR232" s="421">
        <v>343284.8799799744</v>
      </c>
      <c r="BS232" s="421">
        <v>13713.831083321365</v>
      </c>
      <c r="BT232" s="421">
        <v>41211.212880320585</v>
      </c>
      <c r="BU232" s="421">
        <v>189663.91626609047</v>
      </c>
      <c r="BV232" s="421">
        <v>254083.69828550037</v>
      </c>
      <c r="BW232" s="421">
        <v>421469.8857876907</v>
      </c>
      <c r="BX232" s="421">
        <v>98138.35132382986</v>
      </c>
      <c r="BY232" s="421">
        <v>210644.02742289516</v>
      </c>
      <c r="BZ232" s="419"/>
      <c r="CA232" s="421">
        <v>-42847.64751137537</v>
      </c>
      <c r="CB232" s="419"/>
      <c r="CC232" s="419"/>
      <c r="CD232" s="419"/>
      <c r="CE232" s="421">
        <v>296906.0549410055</v>
      </c>
      <c r="CF232" s="421">
        <v>169890.23525348326</v>
      </c>
      <c r="CG232" s="421">
        <v>205775.79249259582</v>
      </c>
      <c r="CH232" s="421">
        <v>-17090.051301072726</v>
      </c>
      <c r="CI232" s="419"/>
      <c r="CJ232" s="421">
        <v>4721292.423355951</v>
      </c>
      <c r="CK232" s="421">
        <v>253578</v>
      </c>
      <c r="CL232" s="421">
        <v>97102.4266</v>
      </c>
      <c r="CM232" s="421">
        <v>110367.3782</v>
      </c>
      <c r="CN232" s="421">
        <v>-13264.9516</v>
      </c>
      <c r="CO232" s="419"/>
      <c r="CP232" s="419"/>
      <c r="CQ232" s="419"/>
      <c r="CR232" s="171">
        <v>1989</v>
      </c>
    </row>
    <row r="233" spans="1:96" ht="9.75">
      <c r="A233" s="203">
        <v>747</v>
      </c>
      <c r="B233" s="203" t="s">
        <v>288</v>
      </c>
      <c r="C233" s="421">
        <v>1385</v>
      </c>
      <c r="D233" s="419"/>
      <c r="E233" s="419"/>
      <c r="F233" s="419"/>
      <c r="G233" s="419"/>
      <c r="H233" s="500">
        <v>4291.05</v>
      </c>
      <c r="I233" s="419"/>
      <c r="J233" s="419"/>
      <c r="K233" s="419"/>
      <c r="L233" s="419"/>
      <c r="M233" s="419"/>
      <c r="N233" s="419"/>
      <c r="O233" s="419"/>
      <c r="P233" s="419"/>
      <c r="Q233" s="421">
        <v>51</v>
      </c>
      <c r="R233" s="421">
        <v>12</v>
      </c>
      <c r="S233" s="421">
        <v>70</v>
      </c>
      <c r="T233" s="421">
        <v>41</v>
      </c>
      <c r="U233" s="421">
        <v>38</v>
      </c>
      <c r="V233" s="421">
        <v>657</v>
      </c>
      <c r="W233" s="421">
        <v>272</v>
      </c>
      <c r="X233" s="421">
        <v>166</v>
      </c>
      <c r="Y233" s="421">
        <v>78</v>
      </c>
      <c r="Z233" s="419"/>
      <c r="AA233" s="419"/>
      <c r="AB233" s="419"/>
      <c r="AC233" s="419"/>
      <c r="AD233" s="419"/>
      <c r="AE233" s="422">
        <v>1.247656155921823</v>
      </c>
      <c r="AF233" s="421">
        <v>2297588.460415139</v>
      </c>
      <c r="AG233" s="420">
        <v>77</v>
      </c>
      <c r="AH233" s="420">
        <v>549</v>
      </c>
      <c r="AJ233" s="420">
        <v>16</v>
      </c>
      <c r="AK233" s="420">
        <v>0.011552346570397111</v>
      </c>
      <c r="AM233" s="420">
        <v>0</v>
      </c>
      <c r="AN233" s="420">
        <v>3</v>
      </c>
      <c r="AP233" s="420">
        <v>0</v>
      </c>
      <c r="AQ233" s="420">
        <v>0</v>
      </c>
      <c r="AR233" s="420">
        <v>463.3</v>
      </c>
      <c r="AU233" s="420">
        <v>54</v>
      </c>
      <c r="AV233" s="420">
        <v>342</v>
      </c>
      <c r="AW233" s="420">
        <v>0.15789473684210525</v>
      </c>
      <c r="AY233" s="420">
        <v>0.3177</v>
      </c>
      <c r="AZ233" s="421">
        <v>359</v>
      </c>
      <c r="BA233" s="420">
        <v>469</v>
      </c>
      <c r="BB233" s="420">
        <v>0.7654584221748401</v>
      </c>
      <c r="BD233" s="420">
        <v>0</v>
      </c>
      <c r="BE233" s="420">
        <v>0</v>
      </c>
      <c r="BF233" s="421">
        <v>0</v>
      </c>
      <c r="BG233" s="421">
        <v>0</v>
      </c>
      <c r="BH233" s="419"/>
      <c r="BI233" s="421">
        <v>0</v>
      </c>
      <c r="BJ233" s="419"/>
      <c r="BK233" s="421">
        <v>498.59999999999997</v>
      </c>
      <c r="BL233" s="421">
        <v>47662</v>
      </c>
      <c r="BM233" s="421">
        <v>-20615.79</v>
      </c>
      <c r="BN233" s="419"/>
      <c r="BO233" s="421">
        <v>109608.27899000607</v>
      </c>
      <c r="BP233" s="421">
        <v>194214</v>
      </c>
      <c r="BQ233" s="421">
        <v>52652</v>
      </c>
      <c r="BR233" s="421">
        <v>152870.6242828669</v>
      </c>
      <c r="BS233" s="421">
        <v>8275.73137988836</v>
      </c>
      <c r="BT233" s="421">
        <v>23177.556399739366</v>
      </c>
      <c r="BU233" s="421">
        <v>76240.89283177744</v>
      </c>
      <c r="BV233" s="421">
        <v>87562.76628336812</v>
      </c>
      <c r="BW233" s="421">
        <v>132934.73593552804</v>
      </c>
      <c r="BX233" s="421">
        <v>40130.98984996287</v>
      </c>
      <c r="BY233" s="421">
        <v>76298.40605732228</v>
      </c>
      <c r="BZ233" s="419"/>
      <c r="CA233" s="421">
        <v>-14002.502101978618</v>
      </c>
      <c r="CB233" s="419"/>
      <c r="CC233" s="419"/>
      <c r="CD233" s="419"/>
      <c r="CE233" s="421">
        <v>110792.32204853125</v>
      </c>
      <c r="CF233" s="421">
        <v>55561.72554684481</v>
      </c>
      <c r="CG233" s="421">
        <v>62490.235920422136</v>
      </c>
      <c r="CH233" s="421">
        <v>-5382.498364109892</v>
      </c>
      <c r="CI233" s="419"/>
      <c r="CJ233" s="421">
        <v>1505293.4720425324</v>
      </c>
      <c r="CK233" s="421">
        <v>-217484</v>
      </c>
      <c r="CL233" s="421">
        <v>147703.00040000002</v>
      </c>
      <c r="CM233" s="421">
        <v>132724.0382</v>
      </c>
      <c r="CN233" s="421">
        <v>14978.962200000009</v>
      </c>
      <c r="CO233" s="419"/>
      <c r="CP233" s="419"/>
      <c r="CQ233" s="419"/>
      <c r="CR233" s="171">
        <v>275</v>
      </c>
    </row>
    <row r="234" spans="1:96" ht="9.75">
      <c r="A234" s="203">
        <v>748</v>
      </c>
      <c r="B234" s="203" t="s">
        <v>289</v>
      </c>
      <c r="C234" s="421">
        <v>5034</v>
      </c>
      <c r="D234" s="419"/>
      <c r="E234" s="419"/>
      <c r="F234" s="419"/>
      <c r="G234" s="419"/>
      <c r="H234" s="500">
        <v>4291.05</v>
      </c>
      <c r="I234" s="419"/>
      <c r="J234" s="419"/>
      <c r="K234" s="419"/>
      <c r="L234" s="419"/>
      <c r="M234" s="419"/>
      <c r="N234" s="419"/>
      <c r="O234" s="419"/>
      <c r="P234" s="419"/>
      <c r="Q234" s="421">
        <v>328</v>
      </c>
      <c r="R234" s="421">
        <v>81</v>
      </c>
      <c r="S234" s="421">
        <v>497</v>
      </c>
      <c r="T234" s="421">
        <v>238</v>
      </c>
      <c r="U234" s="421">
        <v>200</v>
      </c>
      <c r="V234" s="421">
        <v>2446</v>
      </c>
      <c r="W234" s="421">
        <v>769</v>
      </c>
      <c r="X234" s="421">
        <v>322</v>
      </c>
      <c r="Y234" s="421">
        <v>153</v>
      </c>
      <c r="Z234" s="419"/>
      <c r="AA234" s="419"/>
      <c r="AB234" s="419"/>
      <c r="AC234" s="419"/>
      <c r="AD234" s="419"/>
      <c r="AE234" s="422">
        <v>1.3597072977389328</v>
      </c>
      <c r="AF234" s="421">
        <v>9100938.74721126</v>
      </c>
      <c r="AG234" s="420">
        <v>229</v>
      </c>
      <c r="AH234" s="420">
        <v>2118</v>
      </c>
      <c r="AJ234" s="420">
        <v>77</v>
      </c>
      <c r="AK234" s="420">
        <v>0.015295987286452126</v>
      </c>
      <c r="AM234" s="420">
        <v>0</v>
      </c>
      <c r="AN234" s="420">
        <v>2</v>
      </c>
      <c r="AP234" s="420">
        <v>0</v>
      </c>
      <c r="AQ234" s="420">
        <v>0</v>
      </c>
      <c r="AR234" s="420">
        <v>1054.07</v>
      </c>
      <c r="AU234" s="420">
        <v>167</v>
      </c>
      <c r="AV234" s="420">
        <v>1331</v>
      </c>
      <c r="AW234" s="420">
        <v>0.12546957175056347</v>
      </c>
      <c r="AY234" s="420">
        <v>0</v>
      </c>
      <c r="AZ234" s="421">
        <v>1637</v>
      </c>
      <c r="BA234" s="420">
        <v>1827</v>
      </c>
      <c r="BB234" s="420">
        <v>0.8960043787629994</v>
      </c>
      <c r="BD234" s="420">
        <v>0</v>
      </c>
      <c r="BE234" s="420">
        <v>0</v>
      </c>
      <c r="BF234" s="421">
        <v>0</v>
      </c>
      <c r="BG234" s="421">
        <v>0</v>
      </c>
      <c r="BH234" s="419"/>
      <c r="BI234" s="421">
        <v>0</v>
      </c>
      <c r="BJ234" s="419"/>
      <c r="BK234" s="421">
        <v>1812.24</v>
      </c>
      <c r="BL234" s="421">
        <v>70971</v>
      </c>
      <c r="BM234" s="421">
        <v>-97348.505</v>
      </c>
      <c r="BN234" s="419"/>
      <c r="BO234" s="421">
        <v>-83113.75313581899</v>
      </c>
      <c r="BP234" s="421">
        <v>465420</v>
      </c>
      <c r="BQ234" s="421">
        <v>151091</v>
      </c>
      <c r="BR234" s="421">
        <v>374569.73627007403</v>
      </c>
      <c r="BS234" s="421">
        <v>18315.786693797167</v>
      </c>
      <c r="BT234" s="421">
        <v>52426.30817274111</v>
      </c>
      <c r="BU234" s="421">
        <v>175422.2095034288</v>
      </c>
      <c r="BV234" s="421">
        <v>273513.79267517006</v>
      </c>
      <c r="BW234" s="421">
        <v>475831.0389942756</v>
      </c>
      <c r="BX234" s="421">
        <v>106326.49801252587</v>
      </c>
      <c r="BY234" s="421">
        <v>231133.4345225484</v>
      </c>
      <c r="BZ234" s="419"/>
      <c r="CA234" s="421">
        <v>25413.62514184197</v>
      </c>
      <c r="CB234" s="419"/>
      <c r="CC234" s="419"/>
      <c r="CD234" s="419"/>
      <c r="CE234" s="421">
        <v>324982.5133170788</v>
      </c>
      <c r="CF234" s="421">
        <v>179230.4517422021</v>
      </c>
      <c r="CG234" s="421">
        <v>213513.72833566865</v>
      </c>
      <c r="CH234" s="421">
        <v>-19703.443586444926</v>
      </c>
      <c r="CI234" s="419"/>
      <c r="CJ234" s="421">
        <v>4830723.793873056</v>
      </c>
      <c r="CK234" s="421">
        <v>87044</v>
      </c>
      <c r="CL234" s="421">
        <v>448698.1662000001</v>
      </c>
      <c r="CM234" s="421">
        <v>73031.75600000001</v>
      </c>
      <c r="CN234" s="421">
        <v>375666.4102000001</v>
      </c>
      <c r="CO234" s="419"/>
      <c r="CP234" s="419"/>
      <c r="CQ234" s="419"/>
      <c r="CR234" s="171">
        <v>1691</v>
      </c>
    </row>
    <row r="235" spans="1:96" ht="9.75">
      <c r="A235" s="203">
        <v>791</v>
      </c>
      <c r="B235" s="203" t="s">
        <v>290</v>
      </c>
      <c r="C235" s="421">
        <v>5203</v>
      </c>
      <c r="D235" s="419"/>
      <c r="E235" s="419"/>
      <c r="F235" s="419"/>
      <c r="G235" s="419"/>
      <c r="H235" s="500">
        <v>4291.05</v>
      </c>
      <c r="I235" s="419"/>
      <c r="J235" s="419"/>
      <c r="K235" s="419"/>
      <c r="L235" s="419"/>
      <c r="M235" s="419"/>
      <c r="N235" s="419"/>
      <c r="O235" s="419"/>
      <c r="P235" s="419"/>
      <c r="Q235" s="421">
        <v>262</v>
      </c>
      <c r="R235" s="421">
        <v>60</v>
      </c>
      <c r="S235" s="421">
        <v>343</v>
      </c>
      <c r="T235" s="421">
        <v>183</v>
      </c>
      <c r="U235" s="421">
        <v>163</v>
      </c>
      <c r="V235" s="421">
        <v>2561</v>
      </c>
      <c r="W235" s="421">
        <v>849</v>
      </c>
      <c r="X235" s="421">
        <v>551</v>
      </c>
      <c r="Y235" s="421">
        <v>231</v>
      </c>
      <c r="Z235" s="419"/>
      <c r="AA235" s="419"/>
      <c r="AB235" s="419"/>
      <c r="AC235" s="419"/>
      <c r="AD235" s="419"/>
      <c r="AE235" s="422">
        <v>1.5294008474991165</v>
      </c>
      <c r="AF235" s="421">
        <v>10580415.059844622</v>
      </c>
      <c r="AG235" s="420">
        <v>238</v>
      </c>
      <c r="AH235" s="420">
        <v>2148</v>
      </c>
      <c r="AJ235" s="420">
        <v>40</v>
      </c>
      <c r="AK235" s="420">
        <v>0.00768787238131847</v>
      </c>
      <c r="AM235" s="420">
        <v>0</v>
      </c>
      <c r="AN235" s="420">
        <v>4</v>
      </c>
      <c r="AP235" s="420">
        <v>0</v>
      </c>
      <c r="AQ235" s="420">
        <v>0</v>
      </c>
      <c r="AR235" s="420">
        <v>2173.37</v>
      </c>
      <c r="AU235" s="420">
        <v>162</v>
      </c>
      <c r="AV235" s="420">
        <v>1352</v>
      </c>
      <c r="AW235" s="420">
        <v>0.11982248520710059</v>
      </c>
      <c r="AY235" s="420">
        <v>1.1972</v>
      </c>
      <c r="AZ235" s="421">
        <v>1787</v>
      </c>
      <c r="BA235" s="420">
        <v>1925</v>
      </c>
      <c r="BB235" s="420">
        <v>0.9283116883116883</v>
      </c>
      <c r="BD235" s="420">
        <v>0</v>
      </c>
      <c r="BE235" s="420">
        <v>0</v>
      </c>
      <c r="BF235" s="421">
        <v>0</v>
      </c>
      <c r="BG235" s="421">
        <v>0</v>
      </c>
      <c r="BH235" s="419"/>
      <c r="BI235" s="421">
        <v>0</v>
      </c>
      <c r="BJ235" s="419"/>
      <c r="BK235" s="421">
        <v>1873.08</v>
      </c>
      <c r="BL235" s="421">
        <v>-21214</v>
      </c>
      <c r="BM235" s="421">
        <v>-89457.615</v>
      </c>
      <c r="BN235" s="419"/>
      <c r="BO235" s="421">
        <v>-166306.19408746436</v>
      </c>
      <c r="BP235" s="421">
        <v>624315</v>
      </c>
      <c r="BQ235" s="421">
        <v>194814</v>
      </c>
      <c r="BR235" s="421">
        <v>524333.8768369056</v>
      </c>
      <c r="BS235" s="421">
        <v>27091.534205211276</v>
      </c>
      <c r="BT235" s="421">
        <v>67076.00854807171</v>
      </c>
      <c r="BU235" s="421">
        <v>250225.7736871039</v>
      </c>
      <c r="BV235" s="421">
        <v>339421.64570747496</v>
      </c>
      <c r="BW235" s="421">
        <v>554868.6142696537</v>
      </c>
      <c r="BX235" s="421">
        <v>169167.16298962926</v>
      </c>
      <c r="BY235" s="421">
        <v>282338.4527027996</v>
      </c>
      <c r="BZ235" s="419"/>
      <c r="CA235" s="421">
        <v>10727.83596246325</v>
      </c>
      <c r="CB235" s="419"/>
      <c r="CC235" s="419"/>
      <c r="CD235" s="419"/>
      <c r="CE235" s="421">
        <v>399136.6825413152</v>
      </c>
      <c r="CF235" s="421">
        <v>206408.54388059088</v>
      </c>
      <c r="CG235" s="421">
        <v>241524.0888327317</v>
      </c>
      <c r="CH235" s="421">
        <v>-18724.497366889824</v>
      </c>
      <c r="CI235" s="419"/>
      <c r="CJ235" s="421">
        <v>5345153.566747743</v>
      </c>
      <c r="CK235" s="421">
        <v>-107294</v>
      </c>
      <c r="CL235" s="421">
        <v>188019.5106</v>
      </c>
      <c r="CM235" s="421">
        <v>243940.96948</v>
      </c>
      <c r="CN235" s="421">
        <v>-55921.45887999999</v>
      </c>
      <c r="CO235" s="419"/>
      <c r="CP235" s="419"/>
      <c r="CQ235" s="419"/>
      <c r="CR235" s="171">
        <v>1358</v>
      </c>
    </row>
    <row r="236" spans="1:96" ht="9.75">
      <c r="A236" s="203">
        <v>749</v>
      </c>
      <c r="B236" s="203" t="s">
        <v>291</v>
      </c>
      <c r="C236" s="421">
        <v>21251</v>
      </c>
      <c r="D236" s="419"/>
      <c r="E236" s="419"/>
      <c r="F236" s="419"/>
      <c r="G236" s="419"/>
      <c r="H236" s="500">
        <v>4291.05</v>
      </c>
      <c r="I236" s="419"/>
      <c r="J236" s="419"/>
      <c r="K236" s="419"/>
      <c r="L236" s="419"/>
      <c r="M236" s="419"/>
      <c r="N236" s="419"/>
      <c r="O236" s="419"/>
      <c r="P236" s="419"/>
      <c r="Q236" s="421">
        <v>1374</v>
      </c>
      <c r="R236" s="421">
        <v>292</v>
      </c>
      <c r="S236" s="421">
        <v>1844</v>
      </c>
      <c r="T236" s="421">
        <v>894</v>
      </c>
      <c r="U236" s="421">
        <v>795</v>
      </c>
      <c r="V236" s="421">
        <v>11522</v>
      </c>
      <c r="W236" s="421">
        <v>2614</v>
      </c>
      <c r="X236" s="421">
        <v>1452</v>
      </c>
      <c r="Y236" s="421">
        <v>464</v>
      </c>
      <c r="Z236" s="419"/>
      <c r="AA236" s="419"/>
      <c r="AB236" s="419"/>
      <c r="AC236" s="419"/>
      <c r="AD236" s="419"/>
      <c r="AE236" s="422">
        <v>1.1274949676416406</v>
      </c>
      <c r="AF236" s="421">
        <v>31858222.165876016</v>
      </c>
      <c r="AG236" s="420">
        <v>972</v>
      </c>
      <c r="AH236" s="420">
        <v>10180</v>
      </c>
      <c r="AJ236" s="420">
        <v>317</v>
      </c>
      <c r="AK236" s="420">
        <v>0.01491694508493718</v>
      </c>
      <c r="AM236" s="420">
        <v>0</v>
      </c>
      <c r="AN236" s="420">
        <v>12</v>
      </c>
      <c r="AP236" s="420">
        <v>0</v>
      </c>
      <c r="AQ236" s="420">
        <v>0</v>
      </c>
      <c r="AR236" s="420">
        <v>400.97</v>
      </c>
      <c r="AU236" s="420">
        <v>486</v>
      </c>
      <c r="AV236" s="420">
        <v>6817</v>
      </c>
      <c r="AW236" s="420">
        <v>0.07129235734193927</v>
      </c>
      <c r="AY236" s="420">
        <v>0</v>
      </c>
      <c r="AZ236" s="421">
        <v>7091</v>
      </c>
      <c r="BA236" s="420">
        <v>9229</v>
      </c>
      <c r="BB236" s="420">
        <v>0.7683389316285621</v>
      </c>
      <c r="BD236" s="420">
        <v>0</v>
      </c>
      <c r="BE236" s="420">
        <v>1</v>
      </c>
      <c r="BF236" s="421">
        <v>0</v>
      </c>
      <c r="BG236" s="421">
        <v>0</v>
      </c>
      <c r="BH236" s="419"/>
      <c r="BI236" s="421">
        <v>0</v>
      </c>
      <c r="BJ236" s="419"/>
      <c r="BK236" s="421">
        <v>7650.36</v>
      </c>
      <c r="BL236" s="421">
        <v>5984</v>
      </c>
      <c r="BM236" s="421">
        <v>-924660.06</v>
      </c>
      <c r="BN236" s="419"/>
      <c r="BO236" s="421">
        <v>-59214.694434806705</v>
      </c>
      <c r="BP236" s="421">
        <v>1402958</v>
      </c>
      <c r="BQ236" s="421">
        <v>450760</v>
      </c>
      <c r="BR236" s="421">
        <v>925488.7753349461</v>
      </c>
      <c r="BS236" s="421">
        <v>16784.10139488702</v>
      </c>
      <c r="BT236" s="421">
        <v>5877.08950053069</v>
      </c>
      <c r="BU236" s="421">
        <v>448920.0188770383</v>
      </c>
      <c r="BV236" s="421">
        <v>987855.0647120406</v>
      </c>
      <c r="BW236" s="421">
        <v>1641445.0655553432</v>
      </c>
      <c r="BX236" s="421">
        <v>407506.34797263384</v>
      </c>
      <c r="BY236" s="421">
        <v>785784.5819224324</v>
      </c>
      <c r="BZ236" s="419"/>
      <c r="CA236" s="421">
        <v>-118099.429955993</v>
      </c>
      <c r="CB236" s="419"/>
      <c r="CC236" s="419"/>
      <c r="CD236" s="419"/>
      <c r="CE236" s="421">
        <v>967842.9842060325</v>
      </c>
      <c r="CF236" s="421">
        <v>653858.0733271408</v>
      </c>
      <c r="CG236" s="421">
        <v>849663.5652063246</v>
      </c>
      <c r="CH236" s="421">
        <v>-108347.47232287368</v>
      </c>
      <c r="CI236" s="419"/>
      <c r="CJ236" s="421">
        <v>5394212.151662868</v>
      </c>
      <c r="CK236" s="421">
        <v>-1847211</v>
      </c>
      <c r="CL236" s="421">
        <v>591929.8346000002</v>
      </c>
      <c r="CM236" s="421">
        <v>507163.81298799993</v>
      </c>
      <c r="CN236" s="421">
        <v>84766.02161200024</v>
      </c>
      <c r="CO236" s="419"/>
      <c r="CP236" s="419"/>
      <c r="CQ236" s="419"/>
      <c r="CR236" s="171">
        <v>6796</v>
      </c>
    </row>
    <row r="237" spans="1:96" ht="9.75">
      <c r="A237" s="203">
        <v>751</v>
      </c>
      <c r="B237" s="203" t="s">
        <v>292</v>
      </c>
      <c r="C237" s="421">
        <v>2950</v>
      </c>
      <c r="D237" s="419"/>
      <c r="E237" s="419"/>
      <c r="F237" s="419"/>
      <c r="G237" s="419"/>
      <c r="H237" s="500">
        <v>4291.05</v>
      </c>
      <c r="I237" s="419"/>
      <c r="J237" s="419"/>
      <c r="K237" s="419"/>
      <c r="L237" s="419"/>
      <c r="M237" s="419"/>
      <c r="N237" s="419"/>
      <c r="O237" s="419"/>
      <c r="P237" s="419"/>
      <c r="Q237" s="421">
        <v>108</v>
      </c>
      <c r="R237" s="421">
        <v>17</v>
      </c>
      <c r="S237" s="421">
        <v>201</v>
      </c>
      <c r="T237" s="421">
        <v>114</v>
      </c>
      <c r="U237" s="421">
        <v>105</v>
      </c>
      <c r="V237" s="421">
        <v>1379</v>
      </c>
      <c r="W237" s="421">
        <v>597</v>
      </c>
      <c r="X237" s="421">
        <v>325</v>
      </c>
      <c r="Y237" s="421">
        <v>104</v>
      </c>
      <c r="Z237" s="419"/>
      <c r="AA237" s="419"/>
      <c r="AB237" s="419"/>
      <c r="AC237" s="419"/>
      <c r="AD237" s="419"/>
      <c r="AE237" s="422">
        <v>1.282560586637284</v>
      </c>
      <c r="AF237" s="421">
        <v>5030688.872135038</v>
      </c>
      <c r="AG237" s="420">
        <v>135</v>
      </c>
      <c r="AH237" s="420">
        <v>1171</v>
      </c>
      <c r="AJ237" s="420">
        <v>25</v>
      </c>
      <c r="AK237" s="420">
        <v>0.00847457627118644</v>
      </c>
      <c r="AM237" s="420">
        <v>0</v>
      </c>
      <c r="AN237" s="420">
        <v>4</v>
      </c>
      <c r="AP237" s="420">
        <v>0</v>
      </c>
      <c r="AQ237" s="420">
        <v>0</v>
      </c>
      <c r="AR237" s="420">
        <v>1447.29</v>
      </c>
      <c r="AU237" s="420">
        <v>64</v>
      </c>
      <c r="AV237" s="420">
        <v>707</v>
      </c>
      <c r="AW237" s="420">
        <v>0.09052333804809053</v>
      </c>
      <c r="AY237" s="420">
        <v>0</v>
      </c>
      <c r="AZ237" s="421">
        <v>596</v>
      </c>
      <c r="BA237" s="420">
        <v>1016</v>
      </c>
      <c r="BB237" s="420">
        <v>0.5866141732283464</v>
      </c>
      <c r="BD237" s="420">
        <v>0</v>
      </c>
      <c r="BE237" s="420">
        <v>0</v>
      </c>
      <c r="BF237" s="421">
        <v>0</v>
      </c>
      <c r="BG237" s="421">
        <v>0</v>
      </c>
      <c r="BH237" s="419"/>
      <c r="BI237" s="421">
        <v>0</v>
      </c>
      <c r="BJ237" s="419"/>
      <c r="BK237" s="421">
        <v>1062</v>
      </c>
      <c r="BL237" s="421">
        <v>76854</v>
      </c>
      <c r="BM237" s="421">
        <v>-37937</v>
      </c>
      <c r="BN237" s="419"/>
      <c r="BO237" s="421">
        <v>-78985.75758260861</v>
      </c>
      <c r="BP237" s="421">
        <v>281841</v>
      </c>
      <c r="BQ237" s="421">
        <v>83216</v>
      </c>
      <c r="BR237" s="421">
        <v>185548.22637782278</v>
      </c>
      <c r="BS237" s="421">
        <v>9122.781979068071</v>
      </c>
      <c r="BT237" s="421">
        <v>27602.543467581676</v>
      </c>
      <c r="BU237" s="421">
        <v>93219.1741502555</v>
      </c>
      <c r="BV237" s="421">
        <v>151745.66252837007</v>
      </c>
      <c r="BW237" s="421">
        <v>271138.6206094548</v>
      </c>
      <c r="BX237" s="421">
        <v>64696.26016120757</v>
      </c>
      <c r="BY237" s="421">
        <v>127187.68884795195</v>
      </c>
      <c r="BZ237" s="419"/>
      <c r="CA237" s="421">
        <v>14510.314562153615</v>
      </c>
      <c r="CB237" s="419"/>
      <c r="CC237" s="419"/>
      <c r="CD237" s="419"/>
      <c r="CE237" s="421">
        <v>148092.50588509606</v>
      </c>
      <c r="CF237" s="421">
        <v>89454.115494711</v>
      </c>
      <c r="CG237" s="421">
        <v>109881.18540682552</v>
      </c>
      <c r="CH237" s="421">
        <v>-14539.424498537606</v>
      </c>
      <c r="CI237" s="419"/>
      <c r="CJ237" s="421">
        <v>1660965.564368584</v>
      </c>
      <c r="CK237" s="421">
        <v>335936</v>
      </c>
      <c r="CL237" s="421">
        <v>62747.6924</v>
      </c>
      <c r="CM237" s="421">
        <v>71541.312</v>
      </c>
      <c r="CN237" s="421">
        <v>-8793.619600000005</v>
      </c>
      <c r="CO237" s="419"/>
      <c r="CP237" s="419"/>
      <c r="CQ237" s="419"/>
      <c r="CR237" s="171">
        <v>693</v>
      </c>
    </row>
    <row r="238" spans="1:96" ht="9.75">
      <c r="A238" s="203">
        <v>753</v>
      </c>
      <c r="B238" s="203" t="s">
        <v>293</v>
      </c>
      <c r="C238" s="421">
        <v>21687</v>
      </c>
      <c r="D238" s="419"/>
      <c r="E238" s="419"/>
      <c r="F238" s="419"/>
      <c r="G238" s="419"/>
      <c r="H238" s="500">
        <v>4291.05</v>
      </c>
      <c r="I238" s="419"/>
      <c r="J238" s="419"/>
      <c r="K238" s="419"/>
      <c r="L238" s="419"/>
      <c r="M238" s="419"/>
      <c r="N238" s="419"/>
      <c r="O238" s="419"/>
      <c r="P238" s="419"/>
      <c r="Q238" s="421">
        <v>1274</v>
      </c>
      <c r="R238" s="421">
        <v>252</v>
      </c>
      <c r="S238" s="421">
        <v>1760</v>
      </c>
      <c r="T238" s="421">
        <v>861</v>
      </c>
      <c r="U238" s="421">
        <v>889</v>
      </c>
      <c r="V238" s="421">
        <v>12785</v>
      </c>
      <c r="W238" s="421">
        <v>2168</v>
      </c>
      <c r="X238" s="421">
        <v>1231</v>
      </c>
      <c r="Y238" s="421">
        <v>467</v>
      </c>
      <c r="Z238" s="419"/>
      <c r="AA238" s="419"/>
      <c r="AB238" s="419"/>
      <c r="AC238" s="419"/>
      <c r="AD238" s="419"/>
      <c r="AE238" s="422">
        <v>0.7122520417968551</v>
      </c>
      <c r="AF238" s="421">
        <v>20538122.321618006</v>
      </c>
      <c r="AG238" s="420">
        <v>1051</v>
      </c>
      <c r="AH238" s="420">
        <v>10720</v>
      </c>
      <c r="AJ238" s="420">
        <v>1243</v>
      </c>
      <c r="AK238" s="420">
        <v>0.057315442430949416</v>
      </c>
      <c r="AM238" s="420">
        <v>1</v>
      </c>
      <c r="AN238" s="420">
        <v>6496</v>
      </c>
      <c r="AP238" s="420">
        <v>3</v>
      </c>
      <c r="AQ238" s="420">
        <v>194</v>
      </c>
      <c r="AR238" s="420">
        <v>339.69</v>
      </c>
      <c r="AU238" s="420">
        <v>945</v>
      </c>
      <c r="AV238" s="420">
        <v>7485</v>
      </c>
      <c r="AW238" s="420">
        <v>0.12625250501002003</v>
      </c>
      <c r="AY238" s="420">
        <v>0</v>
      </c>
      <c r="AZ238" s="421">
        <v>6994</v>
      </c>
      <c r="BA238" s="420">
        <v>10331</v>
      </c>
      <c r="BB238" s="420">
        <v>0.6769915787435873</v>
      </c>
      <c r="BD238" s="420">
        <v>0</v>
      </c>
      <c r="BE238" s="420">
        <v>3</v>
      </c>
      <c r="BF238" s="421">
        <v>0</v>
      </c>
      <c r="BG238" s="421">
        <v>0</v>
      </c>
      <c r="BH238" s="419"/>
      <c r="BI238" s="421">
        <v>0</v>
      </c>
      <c r="BJ238" s="419"/>
      <c r="BK238" s="421">
        <v>7807.32</v>
      </c>
      <c r="BL238" s="421">
        <v>-139882</v>
      </c>
      <c r="BM238" s="421">
        <v>-815254.05465</v>
      </c>
      <c r="BN238" s="419"/>
      <c r="BO238" s="421">
        <v>338261.93236998096</v>
      </c>
      <c r="BP238" s="421">
        <v>1224672</v>
      </c>
      <c r="BQ238" s="421">
        <v>413367</v>
      </c>
      <c r="BR238" s="421">
        <v>738996.3770171361</v>
      </c>
      <c r="BS238" s="421">
        <v>4966.691090181297</v>
      </c>
      <c r="BT238" s="421">
        <v>-246469.34371148542</v>
      </c>
      <c r="BU238" s="421">
        <v>217092.7317241785</v>
      </c>
      <c r="BV238" s="421">
        <v>777019.1322790805</v>
      </c>
      <c r="BW238" s="421">
        <v>1260306.423448747</v>
      </c>
      <c r="BX238" s="421">
        <v>390673.80812010495</v>
      </c>
      <c r="BY238" s="421">
        <v>668764.487692887</v>
      </c>
      <c r="BZ238" s="419"/>
      <c r="CA238" s="421">
        <v>-50851.512310558566</v>
      </c>
      <c r="CB238" s="419"/>
      <c r="CC238" s="419"/>
      <c r="CD238" s="419"/>
      <c r="CE238" s="421">
        <v>794689.9588744345</v>
      </c>
      <c r="CF238" s="421">
        <v>581644.9112198397</v>
      </c>
      <c r="CG238" s="421">
        <v>779648.7145571721</v>
      </c>
      <c r="CH238" s="421">
        <v>-122694.70600169484</v>
      </c>
      <c r="CI238" s="419"/>
      <c r="CJ238" s="421">
        <v>-6251938.898899283</v>
      </c>
      <c r="CK238" s="421">
        <v>-2152662</v>
      </c>
      <c r="CL238" s="421">
        <v>1262853.2011999998</v>
      </c>
      <c r="CM238" s="421">
        <v>1479857.3762679999</v>
      </c>
      <c r="CN238" s="421">
        <v>-217004.1750680001</v>
      </c>
      <c r="CO238" s="419"/>
      <c r="CP238" s="419"/>
      <c r="CQ238" s="419"/>
      <c r="CR238" s="171">
        <v>7131</v>
      </c>
    </row>
    <row r="239" spans="1:96" ht="9.75">
      <c r="A239" s="203">
        <v>755</v>
      </c>
      <c r="B239" s="203" t="s">
        <v>294</v>
      </c>
      <c r="C239" s="421">
        <v>6149</v>
      </c>
      <c r="D239" s="419"/>
      <c r="E239" s="419"/>
      <c r="F239" s="419"/>
      <c r="G239" s="419"/>
      <c r="H239" s="500">
        <v>4291.05</v>
      </c>
      <c r="I239" s="419"/>
      <c r="J239" s="419"/>
      <c r="K239" s="419"/>
      <c r="L239" s="419"/>
      <c r="M239" s="419"/>
      <c r="N239" s="419"/>
      <c r="O239" s="419"/>
      <c r="P239" s="419"/>
      <c r="Q239" s="421">
        <v>326</v>
      </c>
      <c r="R239" s="421">
        <v>66</v>
      </c>
      <c r="S239" s="421">
        <v>489</v>
      </c>
      <c r="T239" s="421">
        <v>265</v>
      </c>
      <c r="U239" s="421">
        <v>248</v>
      </c>
      <c r="V239" s="421">
        <v>3544</v>
      </c>
      <c r="W239" s="421">
        <v>754</v>
      </c>
      <c r="X239" s="421">
        <v>352</v>
      </c>
      <c r="Y239" s="421">
        <v>105</v>
      </c>
      <c r="Z239" s="419"/>
      <c r="AA239" s="419"/>
      <c r="AB239" s="419"/>
      <c r="AC239" s="419"/>
      <c r="AD239" s="419"/>
      <c r="AE239" s="422">
        <v>0.7694126932157774</v>
      </c>
      <c r="AF239" s="421">
        <v>6290590.200495151</v>
      </c>
      <c r="AG239" s="420">
        <v>261</v>
      </c>
      <c r="AH239" s="420">
        <v>3067</v>
      </c>
      <c r="AJ239" s="420">
        <v>391</v>
      </c>
      <c r="AK239" s="420">
        <v>0.0635875752154822</v>
      </c>
      <c r="AM239" s="420">
        <v>1</v>
      </c>
      <c r="AN239" s="420">
        <v>1696</v>
      </c>
      <c r="AP239" s="420">
        <v>0</v>
      </c>
      <c r="AQ239" s="420">
        <v>0</v>
      </c>
      <c r="AR239" s="420">
        <v>241.11</v>
      </c>
      <c r="AU239" s="420">
        <v>334</v>
      </c>
      <c r="AV239" s="420">
        <v>2156</v>
      </c>
      <c r="AW239" s="420">
        <v>0.1549165120593692</v>
      </c>
      <c r="AY239" s="420">
        <v>0</v>
      </c>
      <c r="AZ239" s="421">
        <v>1344</v>
      </c>
      <c r="BA239" s="420">
        <v>2902</v>
      </c>
      <c r="BB239" s="420">
        <v>0.4631288766368022</v>
      </c>
      <c r="BD239" s="420">
        <v>0</v>
      </c>
      <c r="BE239" s="420">
        <v>0</v>
      </c>
      <c r="BF239" s="421">
        <v>0</v>
      </c>
      <c r="BG239" s="421">
        <v>0</v>
      </c>
      <c r="BH239" s="419"/>
      <c r="BI239" s="421">
        <v>0</v>
      </c>
      <c r="BJ239" s="419"/>
      <c r="BK239" s="421">
        <v>2213.64</v>
      </c>
      <c r="BL239" s="421">
        <v>25135</v>
      </c>
      <c r="BM239" s="421">
        <v>-227026.95</v>
      </c>
      <c r="BN239" s="419"/>
      <c r="BO239" s="421">
        <v>113029.24575293995</v>
      </c>
      <c r="BP239" s="421">
        <v>469181</v>
      </c>
      <c r="BQ239" s="421">
        <v>150862</v>
      </c>
      <c r="BR239" s="421">
        <v>268572.64857911115</v>
      </c>
      <c r="BS239" s="421">
        <v>-1211.545421818339</v>
      </c>
      <c r="BT239" s="421">
        <v>-61896.04433055531</v>
      </c>
      <c r="BU239" s="421">
        <v>43681.11176883208</v>
      </c>
      <c r="BV239" s="421">
        <v>308848.1520468308</v>
      </c>
      <c r="BW239" s="421">
        <v>486273.20829363336</v>
      </c>
      <c r="BX239" s="421">
        <v>135083.05323816193</v>
      </c>
      <c r="BY239" s="421">
        <v>223668.66650105477</v>
      </c>
      <c r="BZ239" s="419"/>
      <c r="CA239" s="421">
        <v>18712.85390120282</v>
      </c>
      <c r="CB239" s="419"/>
      <c r="CC239" s="419"/>
      <c r="CD239" s="419"/>
      <c r="CE239" s="421">
        <v>271732.95967045997</v>
      </c>
      <c r="CF239" s="421">
        <v>187919.20177332303</v>
      </c>
      <c r="CG239" s="421">
        <v>240736.57219153846</v>
      </c>
      <c r="CH239" s="421">
        <v>-35662.55100963952</v>
      </c>
      <c r="CI239" s="419"/>
      <c r="CJ239" s="421">
        <v>-519637.0661968283</v>
      </c>
      <c r="CK239" s="421">
        <v>-1526827</v>
      </c>
      <c r="CL239" s="421">
        <v>302634.6542</v>
      </c>
      <c r="CM239" s="421">
        <v>1409602.3174400001</v>
      </c>
      <c r="CN239" s="421">
        <v>-1106967.6632400001</v>
      </c>
      <c r="CO239" s="419"/>
      <c r="CP239" s="419"/>
      <c r="CQ239" s="419"/>
      <c r="CR239" s="171">
        <v>1839</v>
      </c>
    </row>
    <row r="240" spans="1:96" ht="9.75">
      <c r="A240" s="203">
        <v>758</v>
      </c>
      <c r="B240" s="203" t="s">
        <v>295</v>
      </c>
      <c r="C240" s="421">
        <v>8266</v>
      </c>
      <c r="D240" s="419"/>
      <c r="E240" s="419"/>
      <c r="F240" s="419"/>
      <c r="G240" s="419"/>
      <c r="H240" s="500">
        <v>4291.05</v>
      </c>
      <c r="I240" s="419"/>
      <c r="J240" s="419"/>
      <c r="K240" s="419"/>
      <c r="L240" s="419"/>
      <c r="M240" s="419"/>
      <c r="N240" s="419"/>
      <c r="O240" s="419"/>
      <c r="P240" s="419"/>
      <c r="Q240" s="421">
        <v>370</v>
      </c>
      <c r="R240" s="421">
        <v>82</v>
      </c>
      <c r="S240" s="421">
        <v>497</v>
      </c>
      <c r="T240" s="421">
        <v>222</v>
      </c>
      <c r="U240" s="421">
        <v>194</v>
      </c>
      <c r="V240" s="421">
        <v>4568</v>
      </c>
      <c r="W240" s="421">
        <v>1365</v>
      </c>
      <c r="X240" s="421">
        <v>708</v>
      </c>
      <c r="Y240" s="421">
        <v>260</v>
      </c>
      <c r="Z240" s="419"/>
      <c r="AA240" s="419"/>
      <c r="AB240" s="419"/>
      <c r="AC240" s="419"/>
      <c r="AD240" s="419"/>
      <c r="AE240" s="422">
        <v>1.2093588696074726</v>
      </c>
      <c r="AF240" s="421">
        <v>13291627.09446748</v>
      </c>
      <c r="AG240" s="420">
        <v>425</v>
      </c>
      <c r="AH240" s="420">
        <v>3959</v>
      </c>
      <c r="AJ240" s="420">
        <v>141</v>
      </c>
      <c r="AK240" s="420">
        <v>0.01705782724413259</v>
      </c>
      <c r="AM240" s="420">
        <v>0</v>
      </c>
      <c r="AN240" s="420">
        <v>12</v>
      </c>
      <c r="AP240" s="420">
        <v>0</v>
      </c>
      <c r="AQ240" s="420">
        <v>0</v>
      </c>
      <c r="AR240" s="420">
        <v>11692.75</v>
      </c>
      <c r="AU240" s="420">
        <v>246</v>
      </c>
      <c r="AV240" s="420">
        <v>2294</v>
      </c>
      <c r="AW240" s="420">
        <v>0.10723626852659111</v>
      </c>
      <c r="AY240" s="420">
        <v>1.4109</v>
      </c>
      <c r="AZ240" s="421">
        <v>3765</v>
      </c>
      <c r="BA240" s="420">
        <v>3614</v>
      </c>
      <c r="BB240" s="420">
        <v>1.041781959048146</v>
      </c>
      <c r="BD240" s="420">
        <v>1</v>
      </c>
      <c r="BE240" s="420">
        <v>131</v>
      </c>
      <c r="BF240" s="421">
        <v>0</v>
      </c>
      <c r="BG240" s="421">
        <v>0</v>
      </c>
      <c r="BH240" s="419"/>
      <c r="BI240" s="421">
        <v>0</v>
      </c>
      <c r="BJ240" s="419"/>
      <c r="BK240" s="421">
        <v>2975.7599999999998</v>
      </c>
      <c r="BL240" s="421">
        <v>420189</v>
      </c>
      <c r="BM240" s="421">
        <v>-196218.345</v>
      </c>
      <c r="BN240" s="419"/>
      <c r="BO240" s="421">
        <v>-287297.2251544371</v>
      </c>
      <c r="BP240" s="421">
        <v>693231</v>
      </c>
      <c r="BQ240" s="421">
        <v>237883</v>
      </c>
      <c r="BR240" s="421">
        <v>592945.920689107</v>
      </c>
      <c r="BS240" s="421">
        <v>31524.228177903762</v>
      </c>
      <c r="BT240" s="421">
        <v>91412.20974928621</v>
      </c>
      <c r="BU240" s="421">
        <v>255352.7917019284</v>
      </c>
      <c r="BV240" s="421">
        <v>455936.6736646317</v>
      </c>
      <c r="BW240" s="421">
        <v>690645.5411653761</v>
      </c>
      <c r="BX240" s="421">
        <v>222010.79883570335</v>
      </c>
      <c r="BY240" s="421">
        <v>375931.65217117127</v>
      </c>
      <c r="BZ240" s="419"/>
      <c r="CA240" s="421">
        <v>-20262.454190634002</v>
      </c>
      <c r="CB240" s="419"/>
      <c r="CC240" s="419"/>
      <c r="CD240" s="419"/>
      <c r="CE240" s="421">
        <v>501945.49251708045</v>
      </c>
      <c r="CF240" s="421">
        <v>286371.69034745643</v>
      </c>
      <c r="CG240" s="421">
        <v>355421.42729590303</v>
      </c>
      <c r="CH240" s="421">
        <v>-45577.067929259174</v>
      </c>
      <c r="CI240" s="419"/>
      <c r="CJ240" s="421">
        <v>838609.8805599373</v>
      </c>
      <c r="CK240" s="421">
        <v>-1098117</v>
      </c>
      <c r="CL240" s="421">
        <v>52463.628800000006</v>
      </c>
      <c r="CM240" s="421">
        <v>189241.67468000003</v>
      </c>
      <c r="CN240" s="421">
        <v>-136778.04588000002</v>
      </c>
      <c r="CO240" s="419"/>
      <c r="CP240" s="419"/>
      <c r="CQ240" s="419"/>
      <c r="CR240" s="171">
        <v>2045</v>
      </c>
    </row>
    <row r="241" spans="1:96" ht="9.75">
      <c r="A241" s="203">
        <v>759</v>
      </c>
      <c r="B241" s="203" t="s">
        <v>296</v>
      </c>
      <c r="C241" s="421">
        <v>2007</v>
      </c>
      <c r="D241" s="419"/>
      <c r="E241" s="419"/>
      <c r="F241" s="419"/>
      <c r="G241" s="419"/>
      <c r="H241" s="500">
        <v>4291.05</v>
      </c>
      <c r="I241" s="419"/>
      <c r="J241" s="419"/>
      <c r="K241" s="419"/>
      <c r="L241" s="419"/>
      <c r="M241" s="419"/>
      <c r="N241" s="419"/>
      <c r="O241" s="419"/>
      <c r="P241" s="419"/>
      <c r="Q241" s="421">
        <v>98</v>
      </c>
      <c r="R241" s="421">
        <v>29</v>
      </c>
      <c r="S241" s="421">
        <v>146</v>
      </c>
      <c r="T241" s="421">
        <v>56</v>
      </c>
      <c r="U241" s="421">
        <v>62</v>
      </c>
      <c r="V241" s="421">
        <v>971</v>
      </c>
      <c r="W241" s="421">
        <v>336</v>
      </c>
      <c r="X241" s="421">
        <v>217</v>
      </c>
      <c r="Y241" s="421">
        <v>92</v>
      </c>
      <c r="Z241" s="419"/>
      <c r="AA241" s="419"/>
      <c r="AB241" s="419"/>
      <c r="AC241" s="419"/>
      <c r="AD241" s="419"/>
      <c r="AE241" s="422">
        <v>1.4105752779265541</v>
      </c>
      <c r="AF241" s="421">
        <v>3764187.0310786567</v>
      </c>
      <c r="AG241" s="420">
        <v>87</v>
      </c>
      <c r="AH241" s="420">
        <v>839</v>
      </c>
      <c r="AJ241" s="420">
        <v>25</v>
      </c>
      <c r="AK241" s="420">
        <v>0.01245640259093174</v>
      </c>
      <c r="AM241" s="420">
        <v>0</v>
      </c>
      <c r="AN241" s="420">
        <v>2</v>
      </c>
      <c r="AP241" s="420">
        <v>0</v>
      </c>
      <c r="AQ241" s="420">
        <v>0</v>
      </c>
      <c r="AR241" s="420">
        <v>551.95</v>
      </c>
      <c r="AU241" s="420">
        <v>63</v>
      </c>
      <c r="AV241" s="420">
        <v>477</v>
      </c>
      <c r="AW241" s="420">
        <v>0.1320754716981132</v>
      </c>
      <c r="AY241" s="420">
        <v>0.6379</v>
      </c>
      <c r="AZ241" s="421">
        <v>729</v>
      </c>
      <c r="BA241" s="420">
        <v>710</v>
      </c>
      <c r="BB241" s="420">
        <v>1.0267605633802817</v>
      </c>
      <c r="BD241" s="420">
        <v>0</v>
      </c>
      <c r="BE241" s="420">
        <v>0</v>
      </c>
      <c r="BF241" s="421">
        <v>0</v>
      </c>
      <c r="BG241" s="421">
        <v>0</v>
      </c>
      <c r="BH241" s="419"/>
      <c r="BI241" s="421">
        <v>0</v>
      </c>
      <c r="BJ241" s="419"/>
      <c r="BK241" s="421">
        <v>722.52</v>
      </c>
      <c r="BL241" s="421">
        <v>12453</v>
      </c>
      <c r="BM241" s="421">
        <v>-53288.815</v>
      </c>
      <c r="BN241" s="419"/>
      <c r="BO241" s="421">
        <v>-12221.49818348512</v>
      </c>
      <c r="BP241" s="421">
        <v>262591</v>
      </c>
      <c r="BQ241" s="421">
        <v>74315</v>
      </c>
      <c r="BR241" s="421">
        <v>200718.70552327146</v>
      </c>
      <c r="BS241" s="421">
        <v>11886.434532257832</v>
      </c>
      <c r="BT241" s="421">
        <v>31400.727928979493</v>
      </c>
      <c r="BU241" s="421">
        <v>102409.69369838842</v>
      </c>
      <c r="BV241" s="421">
        <v>132599.5516883108</v>
      </c>
      <c r="BW241" s="421">
        <v>196220.17433588332</v>
      </c>
      <c r="BX241" s="421">
        <v>57387.52955641732</v>
      </c>
      <c r="BY241" s="421">
        <v>105689.84633192497</v>
      </c>
      <c r="BZ241" s="419"/>
      <c r="CA241" s="421">
        <v>-1714.6542465534949</v>
      </c>
      <c r="CB241" s="419"/>
      <c r="CC241" s="419"/>
      <c r="CD241" s="419"/>
      <c r="CE241" s="421">
        <v>148077.4819731358</v>
      </c>
      <c r="CF241" s="421">
        <v>80650.57685513506</v>
      </c>
      <c r="CG241" s="421">
        <v>99793.07073723573</v>
      </c>
      <c r="CH241" s="421">
        <v>-6936.789717027173</v>
      </c>
      <c r="CI241" s="419"/>
      <c r="CJ241" s="421">
        <v>2397832.356996675</v>
      </c>
      <c r="CK241" s="421">
        <v>-527956</v>
      </c>
      <c r="CL241" s="421">
        <v>377156.85420000006</v>
      </c>
      <c r="CM241" s="421">
        <v>23847.104000000003</v>
      </c>
      <c r="CN241" s="421">
        <v>353309.75020000007</v>
      </c>
      <c r="CO241" s="419"/>
      <c r="CP241" s="419"/>
      <c r="CQ241" s="419"/>
      <c r="CR241" s="171">
        <v>544</v>
      </c>
    </row>
    <row r="242" spans="1:96" ht="9.75">
      <c r="A242" s="203">
        <v>761</v>
      </c>
      <c r="B242" s="203" t="s">
        <v>297</v>
      </c>
      <c r="C242" s="421">
        <v>8646</v>
      </c>
      <c r="D242" s="419"/>
      <c r="E242" s="419"/>
      <c r="F242" s="419"/>
      <c r="G242" s="419"/>
      <c r="H242" s="500">
        <v>4291.05</v>
      </c>
      <c r="I242" s="419"/>
      <c r="J242" s="419"/>
      <c r="K242" s="419"/>
      <c r="L242" s="419"/>
      <c r="M242" s="419"/>
      <c r="N242" s="419"/>
      <c r="O242" s="419"/>
      <c r="P242" s="419"/>
      <c r="Q242" s="421">
        <v>364</v>
      </c>
      <c r="R242" s="421">
        <v>75</v>
      </c>
      <c r="S242" s="421">
        <v>516</v>
      </c>
      <c r="T242" s="421">
        <v>280</v>
      </c>
      <c r="U242" s="421">
        <v>300</v>
      </c>
      <c r="V242" s="421">
        <v>4284</v>
      </c>
      <c r="W242" s="421">
        <v>1452</v>
      </c>
      <c r="X242" s="421">
        <v>951</v>
      </c>
      <c r="Y242" s="421">
        <v>424</v>
      </c>
      <c r="Z242" s="419"/>
      <c r="AA242" s="419"/>
      <c r="AB242" s="419"/>
      <c r="AC242" s="419"/>
      <c r="AD242" s="419"/>
      <c r="AE242" s="422">
        <v>1.208234561194333</v>
      </c>
      <c r="AF242" s="421">
        <v>13889737.51467558</v>
      </c>
      <c r="AG242" s="420">
        <v>326</v>
      </c>
      <c r="AH242" s="420">
        <v>3645</v>
      </c>
      <c r="AJ242" s="420">
        <v>308</v>
      </c>
      <c r="AK242" s="420">
        <v>0.035623409669211195</v>
      </c>
      <c r="AM242" s="420">
        <v>0</v>
      </c>
      <c r="AN242" s="420">
        <v>48</v>
      </c>
      <c r="AP242" s="420">
        <v>0</v>
      </c>
      <c r="AQ242" s="420">
        <v>0</v>
      </c>
      <c r="AR242" s="420">
        <v>667.98</v>
      </c>
      <c r="AU242" s="420">
        <v>405</v>
      </c>
      <c r="AV242" s="420">
        <v>2290</v>
      </c>
      <c r="AW242" s="420">
        <v>0.17685589519650655</v>
      </c>
      <c r="AY242" s="420">
        <v>0</v>
      </c>
      <c r="AZ242" s="421">
        <v>2758</v>
      </c>
      <c r="BA242" s="420">
        <v>3338</v>
      </c>
      <c r="BB242" s="420">
        <v>0.8262432594367884</v>
      </c>
      <c r="BD242" s="420">
        <v>0</v>
      </c>
      <c r="BE242" s="420">
        <v>0</v>
      </c>
      <c r="BF242" s="421">
        <v>0</v>
      </c>
      <c r="BG242" s="421">
        <v>0</v>
      </c>
      <c r="BH242" s="419"/>
      <c r="BI242" s="421">
        <v>0</v>
      </c>
      <c r="BJ242" s="419"/>
      <c r="BK242" s="421">
        <v>3112.56</v>
      </c>
      <c r="BL242" s="421">
        <v>-61765</v>
      </c>
      <c r="BM242" s="421">
        <v>-259612.475</v>
      </c>
      <c r="BN242" s="419"/>
      <c r="BO242" s="421">
        <v>273763.0343242958</v>
      </c>
      <c r="BP242" s="421">
        <v>887508</v>
      </c>
      <c r="BQ242" s="421">
        <v>278652</v>
      </c>
      <c r="BR242" s="421">
        <v>659966.2377995836</v>
      </c>
      <c r="BS242" s="421">
        <v>34333.41140619083</v>
      </c>
      <c r="BT242" s="421">
        <v>121275.90096974367</v>
      </c>
      <c r="BU242" s="421">
        <v>306245.2735996983</v>
      </c>
      <c r="BV242" s="421">
        <v>520045.1105944065</v>
      </c>
      <c r="BW242" s="421">
        <v>867204.306433908</v>
      </c>
      <c r="BX242" s="421">
        <v>244868.48851961794</v>
      </c>
      <c r="BY242" s="421">
        <v>419506.1033859213</v>
      </c>
      <c r="BZ242" s="419"/>
      <c r="CA242" s="421">
        <v>38569.49867070903</v>
      </c>
      <c r="CB242" s="419"/>
      <c r="CC242" s="419"/>
      <c r="CD242" s="419"/>
      <c r="CE242" s="421">
        <v>584535.856487705</v>
      </c>
      <c r="CF242" s="421">
        <v>333155.28624807973</v>
      </c>
      <c r="CG242" s="421">
        <v>391448.3562778828</v>
      </c>
      <c r="CH242" s="421">
        <v>-33355.66004575963</v>
      </c>
      <c r="CI242" s="419"/>
      <c r="CJ242" s="421">
        <v>6827629.79751366</v>
      </c>
      <c r="CK242" s="421">
        <v>196104</v>
      </c>
      <c r="CL242" s="421">
        <v>533802.5186000001</v>
      </c>
      <c r="CM242" s="421">
        <v>194666.89084</v>
      </c>
      <c r="CN242" s="421">
        <v>339135.62776000006</v>
      </c>
      <c r="CO242" s="419"/>
      <c r="CP242" s="419"/>
      <c r="CQ242" s="419"/>
      <c r="CR242" s="171">
        <v>2127</v>
      </c>
    </row>
    <row r="243" spans="1:96" ht="9.75">
      <c r="A243" s="203">
        <v>762</v>
      </c>
      <c r="B243" s="203" t="s">
        <v>298</v>
      </c>
      <c r="C243" s="421">
        <v>3841</v>
      </c>
      <c r="D243" s="419"/>
      <c r="E243" s="419"/>
      <c r="F243" s="419"/>
      <c r="G243" s="419"/>
      <c r="H243" s="500">
        <v>4291.05</v>
      </c>
      <c r="I243" s="419"/>
      <c r="J243" s="419"/>
      <c r="K243" s="419"/>
      <c r="L243" s="419"/>
      <c r="M243" s="419"/>
      <c r="N243" s="419"/>
      <c r="O243" s="419"/>
      <c r="P243" s="419"/>
      <c r="Q243" s="421">
        <v>141</v>
      </c>
      <c r="R243" s="421">
        <v>26</v>
      </c>
      <c r="S243" s="421">
        <v>220</v>
      </c>
      <c r="T243" s="421">
        <v>113</v>
      </c>
      <c r="U243" s="421">
        <v>115</v>
      </c>
      <c r="V243" s="421">
        <v>1902</v>
      </c>
      <c r="W243" s="421">
        <v>762</v>
      </c>
      <c r="X243" s="421">
        <v>392</v>
      </c>
      <c r="Y243" s="421">
        <v>170</v>
      </c>
      <c r="Z243" s="419"/>
      <c r="AA243" s="419"/>
      <c r="AB243" s="419"/>
      <c r="AC243" s="419"/>
      <c r="AD243" s="419"/>
      <c r="AE243" s="422">
        <v>1.8499729193356462</v>
      </c>
      <c r="AF243" s="421">
        <v>9447942.22490022</v>
      </c>
      <c r="AG243" s="420">
        <v>216</v>
      </c>
      <c r="AH243" s="420">
        <v>1598</v>
      </c>
      <c r="AJ243" s="420">
        <v>29</v>
      </c>
      <c r="AK243" s="420">
        <v>0.007550117156990367</v>
      </c>
      <c r="AM243" s="420">
        <v>0</v>
      </c>
      <c r="AN243" s="420">
        <v>3</v>
      </c>
      <c r="AP243" s="420">
        <v>0</v>
      </c>
      <c r="AQ243" s="420">
        <v>0</v>
      </c>
      <c r="AR243" s="420">
        <v>1465.91</v>
      </c>
      <c r="AU243" s="420">
        <v>129</v>
      </c>
      <c r="AV243" s="420">
        <v>930</v>
      </c>
      <c r="AW243" s="420">
        <v>0.13870967741935483</v>
      </c>
      <c r="AY243" s="420">
        <v>0.2323</v>
      </c>
      <c r="AZ243" s="421">
        <v>1207</v>
      </c>
      <c r="BA243" s="420">
        <v>1418</v>
      </c>
      <c r="BB243" s="420">
        <v>0.8511988716502116</v>
      </c>
      <c r="BD243" s="420">
        <v>0</v>
      </c>
      <c r="BE243" s="420">
        <v>0</v>
      </c>
      <c r="BF243" s="421">
        <v>0</v>
      </c>
      <c r="BG243" s="421">
        <v>0</v>
      </c>
      <c r="BH243" s="419"/>
      <c r="BI243" s="421">
        <v>0</v>
      </c>
      <c r="BJ243" s="419"/>
      <c r="BK243" s="421">
        <v>1382.76</v>
      </c>
      <c r="BL243" s="421">
        <v>204685</v>
      </c>
      <c r="BM243" s="421">
        <v>-79180.565</v>
      </c>
      <c r="BN243" s="419"/>
      <c r="BO243" s="421">
        <v>17535.917514123023</v>
      </c>
      <c r="BP243" s="421">
        <v>462495</v>
      </c>
      <c r="BQ243" s="421">
        <v>137719</v>
      </c>
      <c r="BR243" s="421">
        <v>362954.3737061537</v>
      </c>
      <c r="BS243" s="421">
        <v>19428.27120983442</v>
      </c>
      <c r="BT243" s="421">
        <v>53100.47284489389</v>
      </c>
      <c r="BU243" s="421">
        <v>169435.35904417702</v>
      </c>
      <c r="BV243" s="421">
        <v>237698.85287035187</v>
      </c>
      <c r="BW243" s="421">
        <v>367781.046506204</v>
      </c>
      <c r="BX243" s="421">
        <v>113100.70898919602</v>
      </c>
      <c r="BY243" s="421">
        <v>198358.18347274623</v>
      </c>
      <c r="BZ243" s="419"/>
      <c r="CA243" s="421">
        <v>2934.382422474824</v>
      </c>
      <c r="CB243" s="419"/>
      <c r="CC243" s="419"/>
      <c r="CD243" s="419"/>
      <c r="CE243" s="421">
        <v>273236.6740030008</v>
      </c>
      <c r="CF243" s="421">
        <v>147393.2735660153</v>
      </c>
      <c r="CG243" s="421">
        <v>174996.08493661685</v>
      </c>
      <c r="CH243" s="421">
        <v>-14532.807182318818</v>
      </c>
      <c r="CI243" s="419"/>
      <c r="CJ243" s="421">
        <v>2415842.745929871</v>
      </c>
      <c r="CK243" s="421">
        <v>-113721</v>
      </c>
      <c r="CL243" s="421">
        <v>125197.296</v>
      </c>
      <c r="CM243" s="421">
        <v>93257.08108</v>
      </c>
      <c r="CN243" s="421">
        <v>31940.21492</v>
      </c>
      <c r="CO243" s="419"/>
      <c r="CP243" s="419"/>
      <c r="CQ243" s="419"/>
      <c r="CR243" s="171">
        <v>831</v>
      </c>
    </row>
    <row r="244" spans="1:96" ht="9.75">
      <c r="A244" s="203">
        <v>765</v>
      </c>
      <c r="B244" s="203" t="s">
        <v>299</v>
      </c>
      <c r="C244" s="421">
        <v>10301</v>
      </c>
      <c r="D244" s="419"/>
      <c r="E244" s="419"/>
      <c r="F244" s="419"/>
      <c r="G244" s="419"/>
      <c r="H244" s="500">
        <v>4291.05</v>
      </c>
      <c r="I244" s="419"/>
      <c r="J244" s="419"/>
      <c r="K244" s="419"/>
      <c r="L244" s="419"/>
      <c r="M244" s="419"/>
      <c r="N244" s="419"/>
      <c r="O244" s="419"/>
      <c r="P244" s="419"/>
      <c r="Q244" s="421">
        <v>517</v>
      </c>
      <c r="R244" s="421">
        <v>109</v>
      </c>
      <c r="S244" s="421">
        <v>681</v>
      </c>
      <c r="T244" s="421">
        <v>350</v>
      </c>
      <c r="U244" s="421">
        <v>333</v>
      </c>
      <c r="V244" s="421">
        <v>5515</v>
      </c>
      <c r="W244" s="421">
        <v>1594</v>
      </c>
      <c r="X244" s="421">
        <v>828</v>
      </c>
      <c r="Y244" s="421">
        <v>374</v>
      </c>
      <c r="Z244" s="419"/>
      <c r="AA244" s="419"/>
      <c r="AB244" s="419"/>
      <c r="AC244" s="419"/>
      <c r="AD244" s="419"/>
      <c r="AE244" s="422">
        <v>1.114334285905771</v>
      </c>
      <c r="AF244" s="421">
        <v>15262386.033906918</v>
      </c>
      <c r="AG244" s="420">
        <v>432</v>
      </c>
      <c r="AH244" s="420">
        <v>4650</v>
      </c>
      <c r="AJ244" s="420">
        <v>329</v>
      </c>
      <c r="AK244" s="420">
        <v>0.03193864673332686</v>
      </c>
      <c r="AM244" s="420">
        <v>0</v>
      </c>
      <c r="AN244" s="420">
        <v>16</v>
      </c>
      <c r="AP244" s="420">
        <v>0</v>
      </c>
      <c r="AQ244" s="420">
        <v>0</v>
      </c>
      <c r="AR244" s="420">
        <v>2648.74</v>
      </c>
      <c r="AU244" s="420">
        <v>301</v>
      </c>
      <c r="AV244" s="420">
        <v>2986</v>
      </c>
      <c r="AW244" s="420">
        <v>0.10080375083724046</v>
      </c>
      <c r="AY244" s="420">
        <v>0.4628</v>
      </c>
      <c r="AZ244" s="421">
        <v>4396</v>
      </c>
      <c r="BA244" s="420">
        <v>4269</v>
      </c>
      <c r="BB244" s="420">
        <v>1.0297493558210353</v>
      </c>
      <c r="BD244" s="420">
        <v>0</v>
      </c>
      <c r="BE244" s="420">
        <v>0</v>
      </c>
      <c r="BF244" s="421">
        <v>0</v>
      </c>
      <c r="BG244" s="421">
        <v>0</v>
      </c>
      <c r="BH244" s="419"/>
      <c r="BI244" s="421">
        <v>0</v>
      </c>
      <c r="BJ244" s="419"/>
      <c r="BK244" s="421">
        <v>3708.3599999999997</v>
      </c>
      <c r="BL244" s="421">
        <v>96374</v>
      </c>
      <c r="BM244" s="421">
        <v>-264688.54475</v>
      </c>
      <c r="BN244" s="419"/>
      <c r="BO244" s="421">
        <v>231609.68106403947</v>
      </c>
      <c r="BP244" s="421">
        <v>912888</v>
      </c>
      <c r="BQ244" s="421">
        <v>295616</v>
      </c>
      <c r="BR244" s="421">
        <v>660849.7534606402</v>
      </c>
      <c r="BS244" s="421">
        <v>27703.440061382953</v>
      </c>
      <c r="BT244" s="421">
        <v>87037.29789209824</v>
      </c>
      <c r="BU244" s="421">
        <v>309699.4777221213</v>
      </c>
      <c r="BV244" s="421">
        <v>562001.1400410109</v>
      </c>
      <c r="BW244" s="421">
        <v>866031.8469819147</v>
      </c>
      <c r="BX244" s="421">
        <v>266946.10668236495</v>
      </c>
      <c r="BY244" s="421">
        <v>472543.7359615906</v>
      </c>
      <c r="BZ244" s="419"/>
      <c r="CA244" s="421">
        <v>-40649.81558701109</v>
      </c>
      <c r="CB244" s="419"/>
      <c r="CC244" s="419"/>
      <c r="CD244" s="419"/>
      <c r="CE244" s="421">
        <v>639254.891639248</v>
      </c>
      <c r="CF244" s="421">
        <v>366333.792350272</v>
      </c>
      <c r="CG244" s="421">
        <v>445773.81336988055</v>
      </c>
      <c r="CH244" s="421">
        <v>-43931.90417660154</v>
      </c>
      <c r="CI244" s="419"/>
      <c r="CJ244" s="421">
        <v>4550536.269254729</v>
      </c>
      <c r="CK244" s="421">
        <v>583704</v>
      </c>
      <c r="CL244" s="421">
        <v>187795.94400000002</v>
      </c>
      <c r="CM244" s="421">
        <v>226249.39919999999</v>
      </c>
      <c r="CN244" s="421">
        <v>-38453.45519999997</v>
      </c>
      <c r="CO244" s="419"/>
      <c r="CP244" s="419"/>
      <c r="CQ244" s="419"/>
      <c r="CR244" s="171">
        <v>2770</v>
      </c>
    </row>
    <row r="245" spans="1:96" ht="9.75">
      <c r="A245" s="203">
        <v>768</v>
      </c>
      <c r="B245" s="203" t="s">
        <v>300</v>
      </c>
      <c r="C245" s="421">
        <v>2482</v>
      </c>
      <c r="D245" s="419"/>
      <c r="E245" s="419"/>
      <c r="F245" s="419"/>
      <c r="G245" s="419"/>
      <c r="H245" s="500">
        <v>4291.05</v>
      </c>
      <c r="I245" s="419"/>
      <c r="J245" s="419"/>
      <c r="K245" s="419"/>
      <c r="L245" s="419"/>
      <c r="M245" s="419"/>
      <c r="N245" s="419"/>
      <c r="O245" s="419"/>
      <c r="P245" s="419"/>
      <c r="Q245" s="421">
        <v>62</v>
      </c>
      <c r="R245" s="421">
        <v>16</v>
      </c>
      <c r="S245" s="421">
        <v>91</v>
      </c>
      <c r="T245" s="421">
        <v>54</v>
      </c>
      <c r="U245" s="421">
        <v>72</v>
      </c>
      <c r="V245" s="421">
        <v>1210</v>
      </c>
      <c r="W245" s="421">
        <v>515</v>
      </c>
      <c r="X245" s="421">
        <v>316</v>
      </c>
      <c r="Y245" s="421">
        <v>146</v>
      </c>
      <c r="Z245" s="419"/>
      <c r="AA245" s="419"/>
      <c r="AB245" s="419"/>
      <c r="AC245" s="419"/>
      <c r="AD245" s="419"/>
      <c r="AE245" s="422">
        <v>1.424122524389616</v>
      </c>
      <c r="AF245" s="421">
        <v>4699770.879279363</v>
      </c>
      <c r="AG245" s="420">
        <v>136</v>
      </c>
      <c r="AH245" s="420">
        <v>975</v>
      </c>
      <c r="AJ245" s="420">
        <v>74</v>
      </c>
      <c r="AK245" s="420">
        <v>0.029814665592264304</v>
      </c>
      <c r="AM245" s="420">
        <v>0</v>
      </c>
      <c r="AN245" s="420">
        <v>4</v>
      </c>
      <c r="AP245" s="420">
        <v>1</v>
      </c>
      <c r="AQ245" s="420">
        <v>0</v>
      </c>
      <c r="AR245" s="420">
        <v>584.54</v>
      </c>
      <c r="AU245" s="420">
        <v>82</v>
      </c>
      <c r="AV245" s="420">
        <v>535</v>
      </c>
      <c r="AW245" s="420">
        <v>0.15327102803738318</v>
      </c>
      <c r="AY245" s="420">
        <v>0.682</v>
      </c>
      <c r="AZ245" s="421">
        <v>765</v>
      </c>
      <c r="BA245" s="420">
        <v>831</v>
      </c>
      <c r="BB245" s="420">
        <v>0.9205776173285198</v>
      </c>
      <c r="BD245" s="420">
        <v>0</v>
      </c>
      <c r="BE245" s="420">
        <v>0</v>
      </c>
      <c r="BF245" s="421">
        <v>0</v>
      </c>
      <c r="BG245" s="421">
        <v>0</v>
      </c>
      <c r="BH245" s="419"/>
      <c r="BI245" s="421">
        <v>0</v>
      </c>
      <c r="BJ245" s="419"/>
      <c r="BK245" s="421">
        <v>893.52</v>
      </c>
      <c r="BL245" s="421">
        <v>41103</v>
      </c>
      <c r="BM245" s="421">
        <v>-125415.955</v>
      </c>
      <c r="BN245" s="419"/>
      <c r="BO245" s="421">
        <v>295311.2232803684</v>
      </c>
      <c r="BP245" s="421">
        <v>318438</v>
      </c>
      <c r="BQ245" s="421">
        <v>93179</v>
      </c>
      <c r="BR245" s="421">
        <v>245802.51333843436</v>
      </c>
      <c r="BS245" s="421">
        <v>13843.474499437989</v>
      </c>
      <c r="BT245" s="421">
        <v>41836.60849986856</v>
      </c>
      <c r="BU245" s="421">
        <v>124518.57130691377</v>
      </c>
      <c r="BV245" s="421">
        <v>153944.94648687728</v>
      </c>
      <c r="BW245" s="421">
        <v>236716.76625517706</v>
      </c>
      <c r="BX245" s="421">
        <v>78152.09849280314</v>
      </c>
      <c r="BY245" s="421">
        <v>132344.63119688578</v>
      </c>
      <c r="BZ245" s="419"/>
      <c r="CA245" s="421">
        <v>-13992.294629759628</v>
      </c>
      <c r="CB245" s="419"/>
      <c r="CC245" s="419"/>
      <c r="CD245" s="419"/>
      <c r="CE245" s="421">
        <v>173909.10714909717</v>
      </c>
      <c r="CF245" s="421">
        <v>95428.61129420355</v>
      </c>
      <c r="CG245" s="421">
        <v>114369.85199148358</v>
      </c>
      <c r="CH245" s="421">
        <v>-9531.076322046189</v>
      </c>
      <c r="CI245" s="419"/>
      <c r="CJ245" s="421">
        <v>1824382.15822217</v>
      </c>
      <c r="CK245" s="421">
        <v>332110</v>
      </c>
      <c r="CL245" s="421">
        <v>150609.3662</v>
      </c>
      <c r="CM245" s="421">
        <v>98518.3484</v>
      </c>
      <c r="CN245" s="421">
        <v>52091.01779999999</v>
      </c>
      <c r="CO245" s="419"/>
      <c r="CP245" s="419"/>
      <c r="CQ245" s="419"/>
      <c r="CR245" s="171">
        <v>468</v>
      </c>
    </row>
    <row r="246" spans="1:96" ht="9.75">
      <c r="A246" s="203">
        <v>777</v>
      </c>
      <c r="B246" s="203" t="s">
        <v>301</v>
      </c>
      <c r="C246" s="421">
        <v>7594</v>
      </c>
      <c r="D246" s="419"/>
      <c r="E246" s="419"/>
      <c r="F246" s="419"/>
      <c r="G246" s="419"/>
      <c r="H246" s="500">
        <v>4291.05</v>
      </c>
      <c r="I246" s="419"/>
      <c r="J246" s="419"/>
      <c r="K246" s="419"/>
      <c r="L246" s="419"/>
      <c r="M246" s="419"/>
      <c r="N246" s="419"/>
      <c r="O246" s="419"/>
      <c r="P246" s="419"/>
      <c r="Q246" s="421">
        <v>241</v>
      </c>
      <c r="R246" s="421">
        <v>57</v>
      </c>
      <c r="S246" s="421">
        <v>342</v>
      </c>
      <c r="T246" s="421">
        <v>205</v>
      </c>
      <c r="U246" s="421">
        <v>193</v>
      </c>
      <c r="V246" s="421">
        <v>3680</v>
      </c>
      <c r="W246" s="421">
        <v>1631</v>
      </c>
      <c r="X246" s="421">
        <v>856</v>
      </c>
      <c r="Y246" s="421">
        <v>389</v>
      </c>
      <c r="Z246" s="419"/>
      <c r="AA246" s="419"/>
      <c r="AB246" s="419"/>
      <c r="AC246" s="419"/>
      <c r="AD246" s="419"/>
      <c r="AE246" s="422">
        <v>1.502039692491879</v>
      </c>
      <c r="AF246" s="421">
        <v>15166296.946615417</v>
      </c>
      <c r="AG246" s="420">
        <v>435</v>
      </c>
      <c r="AH246" s="420">
        <v>3121</v>
      </c>
      <c r="AJ246" s="420">
        <v>224</v>
      </c>
      <c r="AK246" s="420">
        <v>0.029496971293126152</v>
      </c>
      <c r="AM246" s="420">
        <v>0</v>
      </c>
      <c r="AN246" s="420">
        <v>8</v>
      </c>
      <c r="AP246" s="420">
        <v>0</v>
      </c>
      <c r="AQ246" s="420">
        <v>0</v>
      </c>
      <c r="AR246" s="420">
        <v>5270.32</v>
      </c>
      <c r="AU246" s="420">
        <v>230</v>
      </c>
      <c r="AV246" s="420">
        <v>1797</v>
      </c>
      <c r="AW246" s="420">
        <v>0.12799109627156371</v>
      </c>
      <c r="AY246" s="420">
        <v>1.4174</v>
      </c>
      <c r="AZ246" s="421">
        <v>2247</v>
      </c>
      <c r="BA246" s="420">
        <v>2507</v>
      </c>
      <c r="BB246" s="420">
        <v>0.8962903869166334</v>
      </c>
      <c r="BD246" s="420">
        <v>0</v>
      </c>
      <c r="BE246" s="420">
        <v>0</v>
      </c>
      <c r="BF246" s="421">
        <v>0</v>
      </c>
      <c r="BG246" s="421">
        <v>0</v>
      </c>
      <c r="BH246" s="419"/>
      <c r="BI246" s="421">
        <v>0</v>
      </c>
      <c r="BJ246" s="419"/>
      <c r="BK246" s="421">
        <v>2733.8399999999997</v>
      </c>
      <c r="BL246" s="421">
        <v>441756</v>
      </c>
      <c r="BM246" s="421">
        <v>-175861.915</v>
      </c>
      <c r="BN246" s="419"/>
      <c r="BO246" s="421">
        <v>227788.47878620028</v>
      </c>
      <c r="BP246" s="421">
        <v>806106</v>
      </c>
      <c r="BQ246" s="421">
        <v>248854</v>
      </c>
      <c r="BR246" s="421">
        <v>595489.9535003655</v>
      </c>
      <c r="BS246" s="421">
        <v>36314.84846337842</v>
      </c>
      <c r="BT246" s="421">
        <v>101867.12397049421</v>
      </c>
      <c r="BU246" s="421">
        <v>342837.98978718405</v>
      </c>
      <c r="BV246" s="421">
        <v>442690.38575004897</v>
      </c>
      <c r="BW246" s="421">
        <v>683870.585123963</v>
      </c>
      <c r="BX246" s="421">
        <v>216263.91625462237</v>
      </c>
      <c r="BY246" s="421">
        <v>378861.3041038285</v>
      </c>
      <c r="BZ246" s="419"/>
      <c r="CA246" s="421">
        <v>-76791.2396861595</v>
      </c>
      <c r="CB246" s="419"/>
      <c r="CC246" s="419"/>
      <c r="CD246" s="419"/>
      <c r="CE246" s="421">
        <v>511573.2304465504</v>
      </c>
      <c r="CF246" s="421">
        <v>274714.9737561154</v>
      </c>
      <c r="CG246" s="421">
        <v>334598.354402075</v>
      </c>
      <c r="CH246" s="421">
        <v>-31424.070590941265</v>
      </c>
      <c r="CI246" s="419"/>
      <c r="CJ246" s="421">
        <v>6021476.576252558</v>
      </c>
      <c r="CK246" s="421">
        <v>-273690</v>
      </c>
      <c r="CL246" s="421">
        <v>178853.28</v>
      </c>
      <c r="CM246" s="421">
        <v>126315.12900000002</v>
      </c>
      <c r="CN246" s="421">
        <v>52538.15099999998</v>
      </c>
      <c r="CO246" s="419"/>
      <c r="CP246" s="419"/>
      <c r="CQ246" s="419"/>
      <c r="CR246" s="171">
        <v>1421</v>
      </c>
    </row>
    <row r="247" spans="1:96" ht="9.75">
      <c r="A247" s="203">
        <v>778</v>
      </c>
      <c r="B247" s="203" t="s">
        <v>302</v>
      </c>
      <c r="C247" s="421">
        <v>6931</v>
      </c>
      <c r="D247" s="419"/>
      <c r="E247" s="419"/>
      <c r="F247" s="419"/>
      <c r="G247" s="419"/>
      <c r="H247" s="500">
        <v>4291.05</v>
      </c>
      <c r="I247" s="419"/>
      <c r="J247" s="419"/>
      <c r="K247" s="419"/>
      <c r="L247" s="419"/>
      <c r="M247" s="419"/>
      <c r="N247" s="419"/>
      <c r="O247" s="419"/>
      <c r="P247" s="419"/>
      <c r="Q247" s="421">
        <v>303</v>
      </c>
      <c r="R247" s="421">
        <v>63</v>
      </c>
      <c r="S247" s="421">
        <v>410</v>
      </c>
      <c r="T247" s="421">
        <v>185</v>
      </c>
      <c r="U247" s="421">
        <v>208</v>
      </c>
      <c r="V247" s="421">
        <v>3502</v>
      </c>
      <c r="W247" s="421">
        <v>1221</v>
      </c>
      <c r="X247" s="421">
        <v>716</v>
      </c>
      <c r="Y247" s="421">
        <v>323</v>
      </c>
      <c r="Z247" s="419"/>
      <c r="AA247" s="419"/>
      <c r="AB247" s="419"/>
      <c r="AC247" s="419"/>
      <c r="AD247" s="419"/>
      <c r="AE247" s="422">
        <v>1.718202760629444</v>
      </c>
      <c r="AF247" s="421">
        <v>15834263.310564812</v>
      </c>
      <c r="AG247" s="420">
        <v>304</v>
      </c>
      <c r="AH247" s="420">
        <v>2870</v>
      </c>
      <c r="AJ247" s="420">
        <v>151</v>
      </c>
      <c r="AK247" s="420">
        <v>0.02178617804068677</v>
      </c>
      <c r="AM247" s="420">
        <v>0</v>
      </c>
      <c r="AN247" s="420">
        <v>4</v>
      </c>
      <c r="AP247" s="420">
        <v>0</v>
      </c>
      <c r="AQ247" s="420">
        <v>0</v>
      </c>
      <c r="AR247" s="420">
        <v>713.56</v>
      </c>
      <c r="AU247" s="420">
        <v>247</v>
      </c>
      <c r="AV247" s="420">
        <v>1880</v>
      </c>
      <c r="AW247" s="420">
        <v>0.13138297872340426</v>
      </c>
      <c r="AY247" s="420">
        <v>0.1671</v>
      </c>
      <c r="AZ247" s="421">
        <v>2408</v>
      </c>
      <c r="BA247" s="420">
        <v>2589</v>
      </c>
      <c r="BB247" s="420">
        <v>0.9300888373889533</v>
      </c>
      <c r="BD247" s="420">
        <v>0</v>
      </c>
      <c r="BE247" s="420">
        <v>0</v>
      </c>
      <c r="BF247" s="421">
        <v>0</v>
      </c>
      <c r="BG247" s="421">
        <v>0</v>
      </c>
      <c r="BH247" s="419"/>
      <c r="BI247" s="421">
        <v>0</v>
      </c>
      <c r="BJ247" s="419"/>
      <c r="BK247" s="421">
        <v>2495.16</v>
      </c>
      <c r="BL247" s="421">
        <v>162668</v>
      </c>
      <c r="BM247" s="421">
        <v>-379676.485</v>
      </c>
      <c r="BN247" s="419"/>
      <c r="BO247" s="421">
        <v>90136.78364054114</v>
      </c>
      <c r="BP247" s="421">
        <v>704270</v>
      </c>
      <c r="BQ247" s="421">
        <v>209751</v>
      </c>
      <c r="BR247" s="421">
        <v>485287.2878394426</v>
      </c>
      <c r="BS247" s="421">
        <v>25695.22304491622</v>
      </c>
      <c r="BT247" s="421">
        <v>43720.77733674577</v>
      </c>
      <c r="BU247" s="421">
        <v>273033.9694706407</v>
      </c>
      <c r="BV247" s="421">
        <v>378602.8976657321</v>
      </c>
      <c r="BW247" s="421">
        <v>648137.3381879628</v>
      </c>
      <c r="BX247" s="421">
        <v>173244.28450334622</v>
      </c>
      <c r="BY247" s="421">
        <v>334603.79920547735</v>
      </c>
      <c r="BZ247" s="419"/>
      <c r="CA247" s="421">
        <v>-9212.686428081506</v>
      </c>
      <c r="CB247" s="419"/>
      <c r="CC247" s="419"/>
      <c r="CD247" s="419"/>
      <c r="CE247" s="421">
        <v>462446.2509646093</v>
      </c>
      <c r="CF247" s="421">
        <v>251961.5887717085</v>
      </c>
      <c r="CG247" s="421">
        <v>308995.66583488084</v>
      </c>
      <c r="CH247" s="421">
        <v>-28113.72191842285</v>
      </c>
      <c r="CI247" s="419"/>
      <c r="CJ247" s="421">
        <v>5620418.638620229</v>
      </c>
      <c r="CK247" s="421">
        <v>-131418</v>
      </c>
      <c r="CL247" s="421">
        <v>259337.25599999996</v>
      </c>
      <c r="CM247" s="421">
        <v>141528.090908</v>
      </c>
      <c r="CN247" s="421">
        <v>117809.16509199995</v>
      </c>
      <c r="CO247" s="419"/>
      <c r="CP247" s="419"/>
      <c r="CQ247" s="419"/>
      <c r="CR247" s="171">
        <v>1655</v>
      </c>
    </row>
    <row r="248" spans="1:96" ht="9.75">
      <c r="A248" s="203">
        <v>781</v>
      </c>
      <c r="B248" s="203" t="s">
        <v>303</v>
      </c>
      <c r="C248" s="421">
        <v>3631</v>
      </c>
      <c r="D248" s="419"/>
      <c r="E248" s="419"/>
      <c r="F248" s="419"/>
      <c r="G248" s="419"/>
      <c r="H248" s="500">
        <v>4291.05</v>
      </c>
      <c r="I248" s="419"/>
      <c r="J248" s="419"/>
      <c r="K248" s="419"/>
      <c r="L248" s="419"/>
      <c r="M248" s="419"/>
      <c r="N248" s="419"/>
      <c r="O248" s="419"/>
      <c r="P248" s="419"/>
      <c r="Q248" s="421">
        <v>104</v>
      </c>
      <c r="R248" s="421">
        <v>20</v>
      </c>
      <c r="S248" s="421">
        <v>129</v>
      </c>
      <c r="T248" s="421">
        <v>84</v>
      </c>
      <c r="U248" s="421">
        <v>90</v>
      </c>
      <c r="V248" s="421">
        <v>1635</v>
      </c>
      <c r="W248" s="421">
        <v>784</v>
      </c>
      <c r="X248" s="421">
        <v>544</v>
      </c>
      <c r="Y248" s="421">
        <v>241</v>
      </c>
      <c r="Z248" s="419"/>
      <c r="AA248" s="419"/>
      <c r="AB248" s="419"/>
      <c r="AC248" s="419"/>
      <c r="AD248" s="419"/>
      <c r="AE248" s="422">
        <v>1.5821047184191948</v>
      </c>
      <c r="AF248" s="421">
        <v>7638164.858732214</v>
      </c>
      <c r="AG248" s="420">
        <v>165</v>
      </c>
      <c r="AH248" s="420">
        <v>1369</v>
      </c>
      <c r="AJ248" s="420">
        <v>71</v>
      </c>
      <c r="AK248" s="420">
        <v>0.01955384191682732</v>
      </c>
      <c r="AM248" s="420">
        <v>0</v>
      </c>
      <c r="AN248" s="420">
        <v>6</v>
      </c>
      <c r="AP248" s="420">
        <v>0</v>
      </c>
      <c r="AQ248" s="420">
        <v>0</v>
      </c>
      <c r="AR248" s="420">
        <v>666.3</v>
      </c>
      <c r="AU248" s="420">
        <v>136</v>
      </c>
      <c r="AV248" s="420">
        <v>755</v>
      </c>
      <c r="AW248" s="420">
        <v>0.18013245033112582</v>
      </c>
      <c r="AY248" s="420">
        <v>0.6158</v>
      </c>
      <c r="AZ248" s="421">
        <v>975</v>
      </c>
      <c r="BA248" s="420">
        <v>1164</v>
      </c>
      <c r="BB248" s="420">
        <v>0.8376288659793815</v>
      </c>
      <c r="BD248" s="420">
        <v>0</v>
      </c>
      <c r="BE248" s="420">
        <v>1</v>
      </c>
      <c r="BF248" s="421">
        <v>0</v>
      </c>
      <c r="BG248" s="421">
        <v>0</v>
      </c>
      <c r="BH248" s="419"/>
      <c r="BI248" s="421">
        <v>0</v>
      </c>
      <c r="BJ248" s="419"/>
      <c r="BK248" s="421">
        <v>1307.1599999999999</v>
      </c>
      <c r="BL248" s="421">
        <v>-24046</v>
      </c>
      <c r="BM248" s="421">
        <v>-102267.285</v>
      </c>
      <c r="BN248" s="419"/>
      <c r="BO248" s="421">
        <v>145472.55402242765</v>
      </c>
      <c r="BP248" s="421">
        <v>463075</v>
      </c>
      <c r="BQ248" s="421">
        <v>135088</v>
      </c>
      <c r="BR248" s="421">
        <v>329559.86847875454</v>
      </c>
      <c r="BS248" s="421">
        <v>18974.214570919707</v>
      </c>
      <c r="BT248" s="421">
        <v>37232.07945562535</v>
      </c>
      <c r="BU248" s="421">
        <v>167524.88728627606</v>
      </c>
      <c r="BV248" s="421">
        <v>215960.8521776721</v>
      </c>
      <c r="BW248" s="421">
        <v>346788.1419258695</v>
      </c>
      <c r="BX248" s="421">
        <v>111657.66664430997</v>
      </c>
      <c r="BY248" s="421">
        <v>184995.47928799695</v>
      </c>
      <c r="BZ248" s="419"/>
      <c r="CA248" s="421">
        <v>-10332.11287490934</v>
      </c>
      <c r="CB248" s="419"/>
      <c r="CC248" s="419"/>
      <c r="CD248" s="419"/>
      <c r="CE248" s="421">
        <v>260927.82515779132</v>
      </c>
      <c r="CF248" s="421">
        <v>138168.93814396282</v>
      </c>
      <c r="CG248" s="421">
        <v>154916.86451974534</v>
      </c>
      <c r="CH248" s="421">
        <v>-13464.364219958989</v>
      </c>
      <c r="CI248" s="419"/>
      <c r="CJ248" s="421">
        <v>2766518.9061582075</v>
      </c>
      <c r="CK248" s="421">
        <v>-360235</v>
      </c>
      <c r="CL248" s="421">
        <v>70050.868</v>
      </c>
      <c r="CM248" s="421">
        <v>119295.13776</v>
      </c>
      <c r="CN248" s="421">
        <v>-49244.269759999996</v>
      </c>
      <c r="CO248" s="419"/>
      <c r="CP248" s="419"/>
      <c r="CQ248" s="419"/>
      <c r="CR248" s="171">
        <v>604</v>
      </c>
    </row>
    <row r="249" spans="1:96" ht="9.75">
      <c r="A249" s="203">
        <v>783</v>
      </c>
      <c r="B249" s="203" t="s">
        <v>304</v>
      </c>
      <c r="C249" s="421">
        <v>6646</v>
      </c>
      <c r="D249" s="419"/>
      <c r="E249" s="419"/>
      <c r="F249" s="419"/>
      <c r="G249" s="419"/>
      <c r="H249" s="500">
        <v>4291.05</v>
      </c>
      <c r="I249" s="419"/>
      <c r="J249" s="419"/>
      <c r="K249" s="419"/>
      <c r="L249" s="419"/>
      <c r="M249" s="419"/>
      <c r="N249" s="419"/>
      <c r="O249" s="419"/>
      <c r="P249" s="419"/>
      <c r="Q249" s="421">
        <v>277</v>
      </c>
      <c r="R249" s="421">
        <v>61</v>
      </c>
      <c r="S249" s="421">
        <v>392</v>
      </c>
      <c r="T249" s="421">
        <v>208</v>
      </c>
      <c r="U249" s="421">
        <v>181</v>
      </c>
      <c r="V249" s="421">
        <v>3413</v>
      </c>
      <c r="W249" s="421">
        <v>1167</v>
      </c>
      <c r="X249" s="421">
        <v>653</v>
      </c>
      <c r="Y249" s="421">
        <v>294</v>
      </c>
      <c r="Z249" s="419"/>
      <c r="AA249" s="419"/>
      <c r="AB249" s="419"/>
      <c r="AC249" s="419"/>
      <c r="AD249" s="419"/>
      <c r="AE249" s="422">
        <v>1.049667502120906</v>
      </c>
      <c r="AF249" s="421">
        <v>9275549.382492047</v>
      </c>
      <c r="AG249" s="420">
        <v>245</v>
      </c>
      <c r="AH249" s="420">
        <v>2989</v>
      </c>
      <c r="AJ249" s="420">
        <v>164</v>
      </c>
      <c r="AK249" s="420">
        <v>0.024676497141137527</v>
      </c>
      <c r="AM249" s="420">
        <v>0</v>
      </c>
      <c r="AN249" s="420">
        <v>15</v>
      </c>
      <c r="AP249" s="420">
        <v>0</v>
      </c>
      <c r="AQ249" s="420">
        <v>0</v>
      </c>
      <c r="AR249" s="420">
        <v>406.89</v>
      </c>
      <c r="AU249" s="420">
        <v>285</v>
      </c>
      <c r="AV249" s="420">
        <v>1821</v>
      </c>
      <c r="AW249" s="420">
        <v>0.15650741350906094</v>
      </c>
      <c r="AY249" s="420">
        <v>0</v>
      </c>
      <c r="AZ249" s="421">
        <v>3292</v>
      </c>
      <c r="BA249" s="420">
        <v>2776</v>
      </c>
      <c r="BB249" s="420">
        <v>1.185878962536023</v>
      </c>
      <c r="BD249" s="420">
        <v>0</v>
      </c>
      <c r="BE249" s="420">
        <v>0</v>
      </c>
      <c r="BF249" s="421">
        <v>0</v>
      </c>
      <c r="BG249" s="421">
        <v>0</v>
      </c>
      <c r="BH249" s="419"/>
      <c r="BI249" s="421">
        <v>0</v>
      </c>
      <c r="BJ249" s="419"/>
      <c r="BK249" s="421">
        <v>2392.56</v>
      </c>
      <c r="BL249" s="421">
        <v>47465</v>
      </c>
      <c r="BM249" s="421">
        <v>-172214.755</v>
      </c>
      <c r="BN249" s="419"/>
      <c r="BO249" s="421">
        <v>-178525.3878174806</v>
      </c>
      <c r="BP249" s="421">
        <v>571140</v>
      </c>
      <c r="BQ249" s="421">
        <v>198708</v>
      </c>
      <c r="BR249" s="421">
        <v>465544.3272727316</v>
      </c>
      <c r="BS249" s="421">
        <v>22979.34661993128</v>
      </c>
      <c r="BT249" s="421">
        <v>42267.12753764469</v>
      </c>
      <c r="BU249" s="421">
        <v>197526.7378012822</v>
      </c>
      <c r="BV249" s="421">
        <v>364442.3635822092</v>
      </c>
      <c r="BW249" s="421">
        <v>669948.5572310707</v>
      </c>
      <c r="BX249" s="421">
        <v>180015.7879197041</v>
      </c>
      <c r="BY249" s="421">
        <v>299742.67337186687</v>
      </c>
      <c r="BZ249" s="419"/>
      <c r="CA249" s="421">
        <v>-52941.95392537101</v>
      </c>
      <c r="CB249" s="419"/>
      <c r="CC249" s="419"/>
      <c r="CD249" s="419"/>
      <c r="CE249" s="421">
        <v>374575.5043739052</v>
      </c>
      <c r="CF249" s="421">
        <v>235039.4751385627</v>
      </c>
      <c r="CG249" s="421">
        <v>294878.154693833</v>
      </c>
      <c r="CH249" s="421">
        <v>-32870.237073642544</v>
      </c>
      <c r="CI249" s="419"/>
      <c r="CJ249" s="421">
        <v>2424447.621443055</v>
      </c>
      <c r="CK249" s="421">
        <v>-294267</v>
      </c>
      <c r="CL249" s="421">
        <v>99934.2702</v>
      </c>
      <c r="CM249" s="421">
        <v>177124.36496</v>
      </c>
      <c r="CN249" s="421">
        <v>-77190.09476</v>
      </c>
      <c r="CO249" s="419"/>
      <c r="CP249" s="419"/>
      <c r="CQ249" s="419"/>
      <c r="CR249" s="171">
        <v>1598</v>
      </c>
    </row>
    <row r="250" spans="1:96" ht="9.75">
      <c r="A250" s="203">
        <v>831</v>
      </c>
      <c r="B250" s="203" t="s">
        <v>305</v>
      </c>
      <c r="C250" s="421">
        <v>4628</v>
      </c>
      <c r="D250" s="419"/>
      <c r="E250" s="419"/>
      <c r="F250" s="419"/>
      <c r="G250" s="419"/>
      <c r="H250" s="500">
        <v>4291.05</v>
      </c>
      <c r="I250" s="419"/>
      <c r="J250" s="419"/>
      <c r="K250" s="419"/>
      <c r="L250" s="419"/>
      <c r="M250" s="419"/>
      <c r="N250" s="419"/>
      <c r="O250" s="419"/>
      <c r="P250" s="419"/>
      <c r="Q250" s="421">
        <v>206</v>
      </c>
      <c r="R250" s="421">
        <v>54</v>
      </c>
      <c r="S250" s="421">
        <v>309</v>
      </c>
      <c r="T250" s="421">
        <v>189</v>
      </c>
      <c r="U250" s="421">
        <v>171</v>
      </c>
      <c r="V250" s="421">
        <v>2478</v>
      </c>
      <c r="W250" s="421">
        <v>729</v>
      </c>
      <c r="X250" s="421">
        <v>364</v>
      </c>
      <c r="Y250" s="421">
        <v>128</v>
      </c>
      <c r="Z250" s="419"/>
      <c r="AA250" s="419"/>
      <c r="AB250" s="419"/>
      <c r="AC250" s="419"/>
      <c r="AD250" s="419"/>
      <c r="AE250" s="422">
        <v>0.8036307705450397</v>
      </c>
      <c r="AF250" s="421">
        <v>4945127.142979148</v>
      </c>
      <c r="AG250" s="420">
        <v>237</v>
      </c>
      <c r="AH250" s="420">
        <v>2174</v>
      </c>
      <c r="AJ250" s="420">
        <v>227</v>
      </c>
      <c r="AK250" s="420">
        <v>0.049049265341400174</v>
      </c>
      <c r="AM250" s="420">
        <v>0</v>
      </c>
      <c r="AN250" s="420">
        <v>9</v>
      </c>
      <c r="AP250" s="420">
        <v>3</v>
      </c>
      <c r="AQ250" s="420">
        <v>2086</v>
      </c>
      <c r="AR250" s="420">
        <v>344.69</v>
      </c>
      <c r="AU250" s="420">
        <v>116</v>
      </c>
      <c r="AV250" s="420">
        <v>1338</v>
      </c>
      <c r="AW250" s="420">
        <v>0.08669656203288491</v>
      </c>
      <c r="AY250" s="420">
        <v>0</v>
      </c>
      <c r="AZ250" s="421">
        <v>794</v>
      </c>
      <c r="BA250" s="420">
        <v>1942</v>
      </c>
      <c r="BB250" s="420">
        <v>0.40885684860968075</v>
      </c>
      <c r="BD250" s="420">
        <v>0</v>
      </c>
      <c r="BE250" s="420">
        <v>0</v>
      </c>
      <c r="BF250" s="421">
        <v>0</v>
      </c>
      <c r="BG250" s="421">
        <v>0</v>
      </c>
      <c r="BH250" s="419"/>
      <c r="BI250" s="421">
        <v>0</v>
      </c>
      <c r="BJ250" s="419"/>
      <c r="BK250" s="421">
        <v>1666.08</v>
      </c>
      <c r="BL250" s="421">
        <v>-95390</v>
      </c>
      <c r="BM250" s="421">
        <v>-94613.35</v>
      </c>
      <c r="BN250" s="419"/>
      <c r="BO250" s="421">
        <v>49043.06950616464</v>
      </c>
      <c r="BP250" s="421">
        <v>361432</v>
      </c>
      <c r="BQ250" s="421">
        <v>117092</v>
      </c>
      <c r="BR250" s="421">
        <v>229111.4160647514</v>
      </c>
      <c r="BS250" s="421">
        <v>6495.438585251213</v>
      </c>
      <c r="BT250" s="421">
        <v>6379.841051341545</v>
      </c>
      <c r="BU250" s="421">
        <v>104989.19278325992</v>
      </c>
      <c r="BV250" s="421">
        <v>209440.9620708233</v>
      </c>
      <c r="BW250" s="421">
        <v>352663.03044384293</v>
      </c>
      <c r="BX250" s="421">
        <v>97291.30030495934</v>
      </c>
      <c r="BY250" s="421">
        <v>174429.34441103344</v>
      </c>
      <c r="BZ250" s="419"/>
      <c r="CA250" s="421">
        <v>13756.608089920519</v>
      </c>
      <c r="CB250" s="419"/>
      <c r="CC250" s="419"/>
      <c r="CD250" s="419"/>
      <c r="CE250" s="421">
        <v>222735.04784467214</v>
      </c>
      <c r="CF250" s="421">
        <v>138668.3123108444</v>
      </c>
      <c r="CG250" s="421">
        <v>167799.87583739252</v>
      </c>
      <c r="CH250" s="421">
        <v>-24018.27423108253</v>
      </c>
      <c r="CI250" s="419"/>
      <c r="CJ250" s="421">
        <v>657585.7765153089</v>
      </c>
      <c r="CK250" s="421">
        <v>-1110649</v>
      </c>
      <c r="CL250" s="421">
        <v>176021.4364</v>
      </c>
      <c r="CM250" s="421">
        <v>367081.45276</v>
      </c>
      <c r="CN250" s="421">
        <v>-191060.01636</v>
      </c>
      <c r="CO250" s="419"/>
      <c r="CP250" s="419"/>
      <c r="CQ250" s="419"/>
      <c r="CR250" s="171">
        <v>1216</v>
      </c>
    </row>
    <row r="251" spans="1:96" ht="9.75">
      <c r="A251" s="203">
        <v>832</v>
      </c>
      <c r="B251" s="203" t="s">
        <v>306</v>
      </c>
      <c r="C251" s="421">
        <v>3916</v>
      </c>
      <c r="D251" s="419"/>
      <c r="E251" s="419"/>
      <c r="F251" s="419"/>
      <c r="G251" s="419"/>
      <c r="H251" s="500">
        <v>4291.05</v>
      </c>
      <c r="I251" s="419"/>
      <c r="J251" s="419"/>
      <c r="K251" s="419"/>
      <c r="L251" s="419"/>
      <c r="M251" s="419"/>
      <c r="N251" s="419"/>
      <c r="O251" s="419"/>
      <c r="P251" s="419"/>
      <c r="Q251" s="421">
        <v>170</v>
      </c>
      <c r="R251" s="421">
        <v>26</v>
      </c>
      <c r="S251" s="421">
        <v>274</v>
      </c>
      <c r="T251" s="421">
        <v>141</v>
      </c>
      <c r="U251" s="421">
        <v>121</v>
      </c>
      <c r="V251" s="421">
        <v>1970</v>
      </c>
      <c r="W251" s="421">
        <v>692</v>
      </c>
      <c r="X251" s="421">
        <v>385</v>
      </c>
      <c r="Y251" s="421">
        <v>137</v>
      </c>
      <c r="Z251" s="419"/>
      <c r="AA251" s="419"/>
      <c r="AB251" s="419"/>
      <c r="AC251" s="419"/>
      <c r="AD251" s="419"/>
      <c r="AE251" s="422">
        <v>1.5191407517378837</v>
      </c>
      <c r="AF251" s="421">
        <v>7909850.021149627</v>
      </c>
      <c r="AG251" s="420">
        <v>254</v>
      </c>
      <c r="AH251" s="420">
        <v>1634</v>
      </c>
      <c r="AJ251" s="420">
        <v>71</v>
      </c>
      <c r="AK251" s="420">
        <v>0.018130745658835545</v>
      </c>
      <c r="AM251" s="420">
        <v>0</v>
      </c>
      <c r="AN251" s="420">
        <v>3</v>
      </c>
      <c r="AP251" s="420">
        <v>0</v>
      </c>
      <c r="AQ251" s="420">
        <v>0</v>
      </c>
      <c r="AR251" s="420">
        <v>2437.79</v>
      </c>
      <c r="AU251" s="420">
        <v>125</v>
      </c>
      <c r="AV251" s="420">
        <v>937</v>
      </c>
      <c r="AW251" s="420">
        <v>0.13340448239060831</v>
      </c>
      <c r="AY251" s="420">
        <v>1.6459</v>
      </c>
      <c r="AZ251" s="421">
        <v>1271</v>
      </c>
      <c r="BA251" s="420">
        <v>1367</v>
      </c>
      <c r="BB251" s="420">
        <v>0.9297732260424286</v>
      </c>
      <c r="BD251" s="420">
        <v>0</v>
      </c>
      <c r="BE251" s="420">
        <v>0</v>
      </c>
      <c r="BF251" s="421">
        <v>0</v>
      </c>
      <c r="BG251" s="421">
        <v>0</v>
      </c>
      <c r="BH251" s="419"/>
      <c r="BI251" s="421">
        <v>0</v>
      </c>
      <c r="BJ251" s="419"/>
      <c r="BK251" s="421">
        <v>1409.76</v>
      </c>
      <c r="BL251" s="421">
        <v>37331</v>
      </c>
      <c r="BM251" s="421">
        <v>-97017.445</v>
      </c>
      <c r="BN251" s="419"/>
      <c r="BO251" s="421">
        <v>-89296.5146976132</v>
      </c>
      <c r="BP251" s="421">
        <v>361995</v>
      </c>
      <c r="BQ251" s="421">
        <v>112886</v>
      </c>
      <c r="BR251" s="421">
        <v>324994.3413430885</v>
      </c>
      <c r="BS251" s="421">
        <v>18626.552320533414</v>
      </c>
      <c r="BT251" s="421">
        <v>62107.23800001433</v>
      </c>
      <c r="BU251" s="421">
        <v>165073.91156183698</v>
      </c>
      <c r="BV251" s="421">
        <v>235712.06253475058</v>
      </c>
      <c r="BW251" s="421">
        <v>331160.83617917163</v>
      </c>
      <c r="BX251" s="421">
        <v>110252.77328683966</v>
      </c>
      <c r="BY251" s="421">
        <v>194718.31910601925</v>
      </c>
      <c r="BZ251" s="419"/>
      <c r="CA251" s="421">
        <v>-2416.779888525016</v>
      </c>
      <c r="CB251" s="419"/>
      <c r="CC251" s="419"/>
      <c r="CD251" s="419"/>
      <c r="CE251" s="421">
        <v>241677.06167460204</v>
      </c>
      <c r="CF251" s="421">
        <v>138281.7594815452</v>
      </c>
      <c r="CG251" s="421">
        <v>176078.59573687662</v>
      </c>
      <c r="CH251" s="421">
        <v>-14155.701174321672</v>
      </c>
      <c r="CI251" s="419"/>
      <c r="CJ251" s="421">
        <v>3603739.501347916</v>
      </c>
      <c r="CK251" s="421">
        <v>-82873</v>
      </c>
      <c r="CL251" s="421">
        <v>14904.44</v>
      </c>
      <c r="CM251" s="421">
        <v>55146.428</v>
      </c>
      <c r="CN251" s="421">
        <v>-40241.988</v>
      </c>
      <c r="CO251" s="419"/>
      <c r="CP251" s="419"/>
      <c r="CQ251" s="419"/>
      <c r="CR251" s="171">
        <v>1029</v>
      </c>
    </row>
    <row r="252" spans="1:96" ht="9.75">
      <c r="A252" s="203">
        <v>833</v>
      </c>
      <c r="B252" s="203" t="s">
        <v>307</v>
      </c>
      <c r="C252" s="421">
        <v>1659</v>
      </c>
      <c r="D252" s="419"/>
      <c r="E252" s="419"/>
      <c r="F252" s="419"/>
      <c r="G252" s="419"/>
      <c r="H252" s="500">
        <v>4291.05</v>
      </c>
      <c r="I252" s="419"/>
      <c r="J252" s="419"/>
      <c r="K252" s="419"/>
      <c r="L252" s="419"/>
      <c r="M252" s="419"/>
      <c r="N252" s="419"/>
      <c r="O252" s="419"/>
      <c r="P252" s="419"/>
      <c r="Q252" s="421">
        <v>74</v>
      </c>
      <c r="R252" s="421">
        <v>20</v>
      </c>
      <c r="S252" s="421">
        <v>102</v>
      </c>
      <c r="T252" s="421">
        <v>42</v>
      </c>
      <c r="U252" s="421">
        <v>37</v>
      </c>
      <c r="V252" s="421">
        <v>820</v>
      </c>
      <c r="W252" s="421">
        <v>305</v>
      </c>
      <c r="X252" s="421">
        <v>168</v>
      </c>
      <c r="Y252" s="421">
        <v>91</v>
      </c>
      <c r="Z252" s="419"/>
      <c r="AA252" s="419"/>
      <c r="AB252" s="419"/>
      <c r="AC252" s="419"/>
      <c r="AD252" s="419"/>
      <c r="AE252" s="422">
        <v>1.2115389624182111</v>
      </c>
      <c r="AF252" s="421">
        <v>2672460.6820296417</v>
      </c>
      <c r="AG252" s="420">
        <v>69</v>
      </c>
      <c r="AH252" s="420">
        <v>717</v>
      </c>
      <c r="AJ252" s="420">
        <v>83</v>
      </c>
      <c r="AK252" s="420">
        <v>0.050030138637733576</v>
      </c>
      <c r="AM252" s="420">
        <v>0</v>
      </c>
      <c r="AN252" s="420">
        <v>12</v>
      </c>
      <c r="AP252" s="420">
        <v>3</v>
      </c>
      <c r="AQ252" s="420">
        <v>184</v>
      </c>
      <c r="AR252" s="420">
        <v>140.33</v>
      </c>
      <c r="AU252" s="420">
        <v>86</v>
      </c>
      <c r="AV252" s="420">
        <v>448</v>
      </c>
      <c r="AW252" s="420">
        <v>0.19196428571428573</v>
      </c>
      <c r="AY252" s="420">
        <v>0</v>
      </c>
      <c r="AZ252" s="421">
        <v>446</v>
      </c>
      <c r="BA252" s="420">
        <v>617</v>
      </c>
      <c r="BB252" s="420">
        <v>0.7228525121555915</v>
      </c>
      <c r="BD252" s="420">
        <v>0</v>
      </c>
      <c r="BE252" s="420">
        <v>0</v>
      </c>
      <c r="BF252" s="421">
        <v>0</v>
      </c>
      <c r="BG252" s="421">
        <v>0</v>
      </c>
      <c r="BH252" s="419"/>
      <c r="BI252" s="421">
        <v>0</v>
      </c>
      <c r="BJ252" s="419"/>
      <c r="BK252" s="421">
        <v>597.24</v>
      </c>
      <c r="BL252" s="421">
        <v>-6620</v>
      </c>
      <c r="BM252" s="421">
        <v>-26778.13</v>
      </c>
      <c r="BN252" s="419"/>
      <c r="BO252" s="421">
        <v>52289.58244882431</v>
      </c>
      <c r="BP252" s="421">
        <v>179163</v>
      </c>
      <c r="BQ252" s="421">
        <v>58959</v>
      </c>
      <c r="BR252" s="421">
        <v>133706.72651570296</v>
      </c>
      <c r="BS252" s="421">
        <v>7469.867713464751</v>
      </c>
      <c r="BT252" s="421">
        <v>-41419.51178332987</v>
      </c>
      <c r="BU252" s="421">
        <v>51137.76790523142</v>
      </c>
      <c r="BV252" s="421">
        <v>93433.40022518885</v>
      </c>
      <c r="BW252" s="421">
        <v>177756.64269015155</v>
      </c>
      <c r="BX252" s="421">
        <v>50812.74648137167</v>
      </c>
      <c r="BY252" s="421">
        <v>79672.920883548</v>
      </c>
      <c r="BZ252" s="419"/>
      <c r="CA252" s="421">
        <v>-208.244891938617</v>
      </c>
      <c r="CB252" s="419"/>
      <c r="CC252" s="419"/>
      <c r="CD252" s="419"/>
      <c r="CE252" s="421">
        <v>106192.5947882616</v>
      </c>
      <c r="CF252" s="421">
        <v>61372.94988568841</v>
      </c>
      <c r="CG252" s="421">
        <v>76032.80783842117</v>
      </c>
      <c r="CH252" s="421">
        <v>-7833.687926005601</v>
      </c>
      <c r="CI252" s="419"/>
      <c r="CJ252" s="421">
        <v>823998.6498289867</v>
      </c>
      <c r="CK252" s="421">
        <v>-377556</v>
      </c>
      <c r="CL252" s="421">
        <v>183399.13420000003</v>
      </c>
      <c r="CM252" s="421">
        <v>16469.4062</v>
      </c>
      <c r="CN252" s="421">
        <v>166929.72800000003</v>
      </c>
      <c r="CO252" s="419"/>
      <c r="CP252" s="419"/>
      <c r="CQ252" s="419"/>
      <c r="CR252" s="171">
        <v>346</v>
      </c>
    </row>
    <row r="253" spans="1:96" ht="9.75">
      <c r="A253" s="203">
        <v>834</v>
      </c>
      <c r="B253" s="203" t="s">
        <v>308</v>
      </c>
      <c r="C253" s="421">
        <v>6016</v>
      </c>
      <c r="D253" s="419"/>
      <c r="E253" s="419"/>
      <c r="F253" s="419"/>
      <c r="G253" s="419"/>
      <c r="H253" s="500">
        <v>4291.05</v>
      </c>
      <c r="I253" s="419"/>
      <c r="J253" s="419"/>
      <c r="K253" s="419"/>
      <c r="L253" s="419"/>
      <c r="M253" s="419"/>
      <c r="N253" s="419"/>
      <c r="O253" s="419"/>
      <c r="P253" s="419"/>
      <c r="Q253" s="421">
        <v>275</v>
      </c>
      <c r="R253" s="421">
        <v>55</v>
      </c>
      <c r="S253" s="421">
        <v>396</v>
      </c>
      <c r="T253" s="421">
        <v>242</v>
      </c>
      <c r="U253" s="421">
        <v>222</v>
      </c>
      <c r="V253" s="421">
        <v>3163</v>
      </c>
      <c r="W253" s="421">
        <v>951</v>
      </c>
      <c r="X253" s="421">
        <v>476</v>
      </c>
      <c r="Y253" s="421">
        <v>236</v>
      </c>
      <c r="Z253" s="419"/>
      <c r="AA253" s="419"/>
      <c r="AB253" s="419"/>
      <c r="AC253" s="419"/>
      <c r="AD253" s="419"/>
      <c r="AE253" s="422">
        <v>1.0410719709146183</v>
      </c>
      <c r="AF253" s="421">
        <v>8327528.653657918</v>
      </c>
      <c r="AG253" s="420">
        <v>241</v>
      </c>
      <c r="AH253" s="420">
        <v>2783</v>
      </c>
      <c r="AJ253" s="420">
        <v>106</v>
      </c>
      <c r="AK253" s="420">
        <v>0.01761968085106383</v>
      </c>
      <c r="AM253" s="420">
        <v>0</v>
      </c>
      <c r="AN253" s="420">
        <v>21</v>
      </c>
      <c r="AP253" s="420">
        <v>0</v>
      </c>
      <c r="AQ253" s="420">
        <v>0</v>
      </c>
      <c r="AR253" s="420">
        <v>640.58</v>
      </c>
      <c r="AU253" s="420">
        <v>212</v>
      </c>
      <c r="AV253" s="420">
        <v>1693</v>
      </c>
      <c r="AW253" s="420">
        <v>0.12522150029533372</v>
      </c>
      <c r="AY253" s="420">
        <v>0</v>
      </c>
      <c r="AZ253" s="421">
        <v>1619</v>
      </c>
      <c r="BA253" s="420">
        <v>2526</v>
      </c>
      <c r="BB253" s="420">
        <v>0.6409342834520981</v>
      </c>
      <c r="BD253" s="420">
        <v>0</v>
      </c>
      <c r="BE253" s="420">
        <v>0</v>
      </c>
      <c r="BF253" s="421">
        <v>0</v>
      </c>
      <c r="BG253" s="421">
        <v>0</v>
      </c>
      <c r="BH253" s="419"/>
      <c r="BI253" s="421">
        <v>0</v>
      </c>
      <c r="BJ253" s="419"/>
      <c r="BK253" s="421">
        <v>2165.7599999999998</v>
      </c>
      <c r="BL253" s="421">
        <v>13353</v>
      </c>
      <c r="BM253" s="421">
        <v>-170494.8</v>
      </c>
      <c r="BN253" s="419"/>
      <c r="BO253" s="421">
        <v>-58251.34680543095</v>
      </c>
      <c r="BP253" s="421">
        <v>558257</v>
      </c>
      <c r="BQ253" s="421">
        <v>177901</v>
      </c>
      <c r="BR253" s="421">
        <v>413684.24193292833</v>
      </c>
      <c r="BS253" s="421">
        <v>17550.324334889014</v>
      </c>
      <c r="BT253" s="421">
        <v>43093.9583576853</v>
      </c>
      <c r="BU253" s="421">
        <v>174923.7953146916</v>
      </c>
      <c r="BV253" s="421">
        <v>338841.11797299766</v>
      </c>
      <c r="BW253" s="421">
        <v>514769.599567066</v>
      </c>
      <c r="BX253" s="421">
        <v>156363.00208356997</v>
      </c>
      <c r="BY253" s="421">
        <v>274141.72661984514</v>
      </c>
      <c r="BZ253" s="419"/>
      <c r="CA253" s="421">
        <v>1270.2943352398797</v>
      </c>
      <c r="CB253" s="419"/>
      <c r="CC253" s="419"/>
      <c r="CD253" s="419"/>
      <c r="CE253" s="421">
        <v>360291.8938472043</v>
      </c>
      <c r="CF253" s="421">
        <v>209819.56429018817</v>
      </c>
      <c r="CG253" s="421">
        <v>266892.5813999292</v>
      </c>
      <c r="CH253" s="421">
        <v>-25933.185494355246</v>
      </c>
      <c r="CI253" s="419"/>
      <c r="CJ253" s="421">
        <v>2959112.8986967886</v>
      </c>
      <c r="CK253" s="421">
        <v>-1432150</v>
      </c>
      <c r="CL253" s="421">
        <v>74745.7666</v>
      </c>
      <c r="CM253" s="421">
        <v>500282.43304000003</v>
      </c>
      <c r="CN253" s="421">
        <v>-425536.66644000006</v>
      </c>
      <c r="CO253" s="419"/>
      <c r="CP253" s="419"/>
      <c r="CQ253" s="419"/>
      <c r="CR253" s="171">
        <v>1618</v>
      </c>
    </row>
    <row r="254" spans="1:96" ht="9.75">
      <c r="A254" s="203">
        <v>837</v>
      </c>
      <c r="B254" s="203" t="s">
        <v>309</v>
      </c>
      <c r="C254" s="421">
        <v>241009</v>
      </c>
      <c r="D254" s="419"/>
      <c r="E254" s="419"/>
      <c r="F254" s="419"/>
      <c r="G254" s="419"/>
      <c r="H254" s="500">
        <v>4291.05</v>
      </c>
      <c r="I254" s="419"/>
      <c r="J254" s="419"/>
      <c r="K254" s="419"/>
      <c r="L254" s="419"/>
      <c r="M254" s="419"/>
      <c r="N254" s="419"/>
      <c r="O254" s="419"/>
      <c r="P254" s="419"/>
      <c r="Q254" s="421">
        <v>12486</v>
      </c>
      <c r="R254" s="421">
        <v>2177</v>
      </c>
      <c r="S254" s="421">
        <v>13264</v>
      </c>
      <c r="T254" s="421">
        <v>6136</v>
      </c>
      <c r="U254" s="421">
        <v>6305</v>
      </c>
      <c r="V254" s="421">
        <v>154364</v>
      </c>
      <c r="W254" s="421">
        <v>25289</v>
      </c>
      <c r="X254" s="421">
        <v>14872</v>
      </c>
      <c r="Y254" s="421">
        <v>6116</v>
      </c>
      <c r="Z254" s="419"/>
      <c r="AA254" s="419"/>
      <c r="AB254" s="419"/>
      <c r="AC254" s="419"/>
      <c r="AD254" s="419"/>
      <c r="AE254" s="422">
        <v>0.9074190654986235</v>
      </c>
      <c r="AF254" s="421">
        <v>290782799.60758835</v>
      </c>
      <c r="AG254" s="420">
        <v>18474</v>
      </c>
      <c r="AH254" s="420">
        <v>118501</v>
      </c>
      <c r="AJ254" s="420">
        <v>19576</v>
      </c>
      <c r="AK254" s="420">
        <v>0.08122518246206573</v>
      </c>
      <c r="AM254" s="420">
        <v>0</v>
      </c>
      <c r="AN254" s="420">
        <v>1276</v>
      </c>
      <c r="AP254" s="420">
        <v>0</v>
      </c>
      <c r="AQ254" s="420">
        <v>0</v>
      </c>
      <c r="AR254" s="420">
        <v>524.94</v>
      </c>
      <c r="AU254" s="420">
        <v>8551</v>
      </c>
      <c r="AV254" s="420">
        <v>77800</v>
      </c>
      <c r="AW254" s="420">
        <v>0.10991002570694088</v>
      </c>
      <c r="AY254" s="420">
        <v>0</v>
      </c>
      <c r="AZ254" s="421">
        <v>126687</v>
      </c>
      <c r="BA254" s="420">
        <v>106186</v>
      </c>
      <c r="BB254" s="420">
        <v>1.193066882639896</v>
      </c>
      <c r="BD254" s="420">
        <v>0</v>
      </c>
      <c r="BE254" s="420">
        <v>16</v>
      </c>
      <c r="BF254" s="421">
        <v>0</v>
      </c>
      <c r="BG254" s="421">
        <v>0</v>
      </c>
      <c r="BH254" s="419"/>
      <c r="BI254" s="421">
        <v>0</v>
      </c>
      <c r="BJ254" s="419"/>
      <c r="BK254" s="421">
        <v>86763.23999999999</v>
      </c>
      <c r="BL254" s="421">
        <v>4140309</v>
      </c>
      <c r="BM254" s="421">
        <v>-25509081.92735</v>
      </c>
      <c r="BN254" s="419"/>
      <c r="BO254" s="421">
        <v>-219126.7658828497</v>
      </c>
      <c r="BP254" s="421">
        <v>13723734</v>
      </c>
      <c r="BQ254" s="421">
        <v>5251644</v>
      </c>
      <c r="BR254" s="421">
        <v>13128326.768248945</v>
      </c>
      <c r="BS254" s="421">
        <v>597364.1453218474</v>
      </c>
      <c r="BT254" s="421">
        <v>244723.63482833534</v>
      </c>
      <c r="BU254" s="421">
        <v>5254837.725761974</v>
      </c>
      <c r="BV254" s="421">
        <v>11750199.094894685</v>
      </c>
      <c r="BW254" s="421">
        <v>15523180.842289694</v>
      </c>
      <c r="BX254" s="421">
        <v>6514338.402027659</v>
      </c>
      <c r="BY254" s="421">
        <v>10327022.863926157</v>
      </c>
      <c r="BZ254" s="419"/>
      <c r="CA254" s="421">
        <v>2292041.1347244014</v>
      </c>
      <c r="CB254" s="419"/>
      <c r="CC254" s="419"/>
      <c r="CD254" s="419"/>
      <c r="CE254" s="421">
        <v>13531107.23636808</v>
      </c>
      <c r="CF254" s="421">
        <v>8488137.888861855</v>
      </c>
      <c r="CG254" s="421">
        <v>10624372.138400536</v>
      </c>
      <c r="CH254" s="421">
        <v>-1179539.055069465</v>
      </c>
      <c r="CI254" s="419"/>
      <c r="CJ254" s="421">
        <v>9844761.858163726</v>
      </c>
      <c r="CK254" s="421">
        <v>72471777</v>
      </c>
      <c r="CL254" s="421">
        <v>5208878.213400001</v>
      </c>
      <c r="CM254" s="421">
        <v>16143335.804343993</v>
      </c>
      <c r="CN254" s="421">
        <v>-10934457.590943992</v>
      </c>
      <c r="CO254" s="419"/>
      <c r="CP254" s="419"/>
      <c r="CQ254" s="419"/>
      <c r="CR254" s="171">
        <v>86447</v>
      </c>
    </row>
    <row r="255" spans="1:96" ht="9.75">
      <c r="A255" s="203">
        <v>844</v>
      </c>
      <c r="B255" s="203" t="s">
        <v>310</v>
      </c>
      <c r="C255" s="421">
        <v>1503</v>
      </c>
      <c r="D255" s="419"/>
      <c r="E255" s="419"/>
      <c r="F255" s="419"/>
      <c r="G255" s="419"/>
      <c r="H255" s="500">
        <v>4291.05</v>
      </c>
      <c r="I255" s="419"/>
      <c r="J255" s="419"/>
      <c r="K255" s="419"/>
      <c r="L255" s="419"/>
      <c r="M255" s="419"/>
      <c r="N255" s="419"/>
      <c r="O255" s="419"/>
      <c r="P255" s="419"/>
      <c r="Q255" s="421">
        <v>57</v>
      </c>
      <c r="R255" s="421">
        <v>6</v>
      </c>
      <c r="S255" s="421">
        <v>60</v>
      </c>
      <c r="T255" s="421">
        <v>26</v>
      </c>
      <c r="U255" s="421">
        <v>29</v>
      </c>
      <c r="V255" s="421">
        <v>736</v>
      </c>
      <c r="W255" s="421">
        <v>338</v>
      </c>
      <c r="X255" s="421">
        <v>149</v>
      </c>
      <c r="Y255" s="421">
        <v>102</v>
      </c>
      <c r="Z255" s="419"/>
      <c r="AA255" s="419"/>
      <c r="AB255" s="419"/>
      <c r="AC255" s="419"/>
      <c r="AD255" s="419"/>
      <c r="AE255" s="422">
        <v>1.841091694741316</v>
      </c>
      <c r="AF255" s="421">
        <v>3679272.481067742</v>
      </c>
      <c r="AG255" s="420">
        <v>68</v>
      </c>
      <c r="AH255" s="420">
        <v>611</v>
      </c>
      <c r="AJ255" s="420">
        <v>24</v>
      </c>
      <c r="AK255" s="420">
        <v>0.015968063872255488</v>
      </c>
      <c r="AM255" s="420">
        <v>0</v>
      </c>
      <c r="AN255" s="420">
        <v>2</v>
      </c>
      <c r="AP255" s="420">
        <v>3</v>
      </c>
      <c r="AQ255" s="420">
        <v>173</v>
      </c>
      <c r="AR255" s="420">
        <v>347.75</v>
      </c>
      <c r="AU255" s="420">
        <v>46</v>
      </c>
      <c r="AV255" s="420">
        <v>338</v>
      </c>
      <c r="AW255" s="420">
        <v>0.13609467455621302</v>
      </c>
      <c r="AY255" s="420">
        <v>0.5603</v>
      </c>
      <c r="AZ255" s="421">
        <v>366</v>
      </c>
      <c r="BA255" s="420">
        <v>534</v>
      </c>
      <c r="BB255" s="420">
        <v>0.6853932584269663</v>
      </c>
      <c r="BD255" s="420">
        <v>0</v>
      </c>
      <c r="BE255" s="420">
        <v>0</v>
      </c>
      <c r="BF255" s="421">
        <v>0</v>
      </c>
      <c r="BG255" s="421">
        <v>0</v>
      </c>
      <c r="BH255" s="419"/>
      <c r="BI255" s="421">
        <v>0</v>
      </c>
      <c r="BJ255" s="419"/>
      <c r="BK255" s="421">
        <v>541.0799999999999</v>
      </c>
      <c r="BL255" s="421">
        <v>-222</v>
      </c>
      <c r="BM255" s="421">
        <v>-29616.24</v>
      </c>
      <c r="BN255" s="419"/>
      <c r="BO255" s="421">
        <v>18330.843079575337</v>
      </c>
      <c r="BP255" s="421">
        <v>196111</v>
      </c>
      <c r="BQ255" s="421">
        <v>61656</v>
      </c>
      <c r="BR255" s="421">
        <v>159282.21211564902</v>
      </c>
      <c r="BS255" s="421">
        <v>9219.493380649346</v>
      </c>
      <c r="BT255" s="421">
        <v>30583.410181686584</v>
      </c>
      <c r="BU255" s="421">
        <v>62866.85584053083</v>
      </c>
      <c r="BV255" s="421">
        <v>102437.71402169217</v>
      </c>
      <c r="BW255" s="421">
        <v>138290.7594471471</v>
      </c>
      <c r="BX255" s="421">
        <v>50346.87433976962</v>
      </c>
      <c r="BY255" s="421">
        <v>83779.51160038504</v>
      </c>
      <c r="BZ255" s="419"/>
      <c r="CA255" s="421">
        <v>-2806.740913561651</v>
      </c>
      <c r="CB255" s="419"/>
      <c r="CC255" s="419"/>
      <c r="CD255" s="419"/>
      <c r="CE255" s="421">
        <v>114209.05125423992</v>
      </c>
      <c r="CF255" s="421">
        <v>61334.31628604911</v>
      </c>
      <c r="CG255" s="421">
        <v>74276.74494913904</v>
      </c>
      <c r="CH255" s="421">
        <v>-5364.096264732877</v>
      </c>
      <c r="CI255" s="419"/>
      <c r="CJ255" s="421">
        <v>1511486.2428385809</v>
      </c>
      <c r="CK255" s="421">
        <v>-322421</v>
      </c>
      <c r="CL255" s="421">
        <v>11998.0742</v>
      </c>
      <c r="CM255" s="421">
        <v>86445.75200000001</v>
      </c>
      <c r="CN255" s="421">
        <v>-74447.6778</v>
      </c>
      <c r="CO255" s="419"/>
      <c r="CP255" s="419"/>
      <c r="CQ255" s="419"/>
      <c r="CR255" s="171">
        <v>261</v>
      </c>
    </row>
    <row r="256" spans="1:96" ht="9.75">
      <c r="A256" s="203">
        <v>845</v>
      </c>
      <c r="B256" s="203" t="s">
        <v>311</v>
      </c>
      <c r="C256" s="421">
        <v>2925</v>
      </c>
      <c r="D256" s="419"/>
      <c r="E256" s="419"/>
      <c r="F256" s="419"/>
      <c r="G256" s="419"/>
      <c r="H256" s="500">
        <v>4291.05</v>
      </c>
      <c r="I256" s="419"/>
      <c r="J256" s="419"/>
      <c r="K256" s="419"/>
      <c r="L256" s="419"/>
      <c r="M256" s="419"/>
      <c r="N256" s="419"/>
      <c r="O256" s="419"/>
      <c r="P256" s="419"/>
      <c r="Q256" s="421">
        <v>165</v>
      </c>
      <c r="R256" s="421">
        <v>32</v>
      </c>
      <c r="S256" s="421">
        <v>193</v>
      </c>
      <c r="T256" s="421">
        <v>94</v>
      </c>
      <c r="U256" s="421">
        <v>101</v>
      </c>
      <c r="V256" s="421">
        <v>1473</v>
      </c>
      <c r="W256" s="421">
        <v>429</v>
      </c>
      <c r="X256" s="421">
        <v>303</v>
      </c>
      <c r="Y256" s="421">
        <v>135</v>
      </c>
      <c r="Z256" s="419"/>
      <c r="AA256" s="419"/>
      <c r="AB256" s="419"/>
      <c r="AC256" s="419"/>
      <c r="AD256" s="419"/>
      <c r="AE256" s="422">
        <v>1.265110399719605</v>
      </c>
      <c r="AF256" s="421">
        <v>4920189.723772434</v>
      </c>
      <c r="AG256" s="420">
        <v>161</v>
      </c>
      <c r="AH256" s="420">
        <v>1261</v>
      </c>
      <c r="AJ256" s="420">
        <v>44</v>
      </c>
      <c r="AK256" s="420">
        <v>0.015042735042735043</v>
      </c>
      <c r="AM256" s="420">
        <v>0</v>
      </c>
      <c r="AN256" s="420">
        <v>3</v>
      </c>
      <c r="AP256" s="420">
        <v>0</v>
      </c>
      <c r="AQ256" s="420">
        <v>0</v>
      </c>
      <c r="AR256" s="420">
        <v>1559.86</v>
      </c>
      <c r="AU256" s="420">
        <v>85</v>
      </c>
      <c r="AV256" s="420">
        <v>691</v>
      </c>
      <c r="AW256" s="420">
        <v>0.12301013024602026</v>
      </c>
      <c r="AY256" s="420">
        <v>0.747</v>
      </c>
      <c r="AZ256" s="421">
        <v>959</v>
      </c>
      <c r="BA256" s="420">
        <v>1100</v>
      </c>
      <c r="BB256" s="420">
        <v>0.8718181818181818</v>
      </c>
      <c r="BD256" s="420">
        <v>0</v>
      </c>
      <c r="BE256" s="420">
        <v>2</v>
      </c>
      <c r="BF256" s="421">
        <v>0</v>
      </c>
      <c r="BG256" s="421">
        <v>0</v>
      </c>
      <c r="BH256" s="419"/>
      <c r="BI256" s="421">
        <v>0</v>
      </c>
      <c r="BJ256" s="419"/>
      <c r="BK256" s="421">
        <v>1053</v>
      </c>
      <c r="BL256" s="421">
        <v>111673</v>
      </c>
      <c r="BM256" s="421">
        <v>-71645.645</v>
      </c>
      <c r="BN256" s="419"/>
      <c r="BO256" s="421">
        <v>88313.80101642758</v>
      </c>
      <c r="BP256" s="421">
        <v>301511</v>
      </c>
      <c r="BQ256" s="421">
        <v>94788</v>
      </c>
      <c r="BR256" s="421">
        <v>235943.08993165064</v>
      </c>
      <c r="BS256" s="421">
        <v>13005.778783737596</v>
      </c>
      <c r="BT256" s="421">
        <v>42326.72978797646</v>
      </c>
      <c r="BU256" s="421">
        <v>107710.18747200553</v>
      </c>
      <c r="BV256" s="421">
        <v>159813.91595180737</v>
      </c>
      <c r="BW256" s="421">
        <v>251861.8474837622</v>
      </c>
      <c r="BX256" s="421">
        <v>69629.61609329381</v>
      </c>
      <c r="BY256" s="421">
        <v>122234.69291125509</v>
      </c>
      <c r="BZ256" s="419"/>
      <c r="CA256" s="421">
        <v>-4169.778077655308</v>
      </c>
      <c r="CB256" s="419"/>
      <c r="CC256" s="419"/>
      <c r="CD256" s="419"/>
      <c r="CE256" s="421">
        <v>169781.64477668764</v>
      </c>
      <c r="CF256" s="421">
        <v>100291.51295642542</v>
      </c>
      <c r="CG256" s="421">
        <v>120646.05757866777</v>
      </c>
      <c r="CH256" s="421">
        <v>-13744.569694077207</v>
      </c>
      <c r="CI256" s="419"/>
      <c r="CJ256" s="421">
        <v>2351102.2456055703</v>
      </c>
      <c r="CK256" s="421">
        <v>-107289</v>
      </c>
      <c r="CL256" s="421">
        <v>68560.424</v>
      </c>
      <c r="CM256" s="421">
        <v>70185.00796</v>
      </c>
      <c r="CN256" s="421">
        <v>-1624.5839600000036</v>
      </c>
      <c r="CO256" s="419"/>
      <c r="CP256" s="419"/>
      <c r="CQ256" s="419"/>
      <c r="CR256" s="171">
        <v>805</v>
      </c>
    </row>
    <row r="257" spans="1:96" ht="9.75">
      <c r="A257" s="203">
        <v>846</v>
      </c>
      <c r="B257" s="203" t="s">
        <v>312</v>
      </c>
      <c r="C257" s="421">
        <v>4994</v>
      </c>
      <c r="D257" s="419"/>
      <c r="E257" s="419"/>
      <c r="F257" s="419"/>
      <c r="G257" s="419"/>
      <c r="H257" s="500">
        <v>4291.05</v>
      </c>
      <c r="I257" s="419"/>
      <c r="J257" s="419"/>
      <c r="K257" s="419"/>
      <c r="L257" s="419"/>
      <c r="M257" s="419"/>
      <c r="N257" s="419"/>
      <c r="O257" s="419"/>
      <c r="P257" s="419"/>
      <c r="Q257" s="421">
        <v>218</v>
      </c>
      <c r="R257" s="421">
        <v>56</v>
      </c>
      <c r="S257" s="421">
        <v>329</v>
      </c>
      <c r="T257" s="421">
        <v>150</v>
      </c>
      <c r="U257" s="421">
        <v>169</v>
      </c>
      <c r="V257" s="421">
        <v>2360</v>
      </c>
      <c r="W257" s="421">
        <v>897</v>
      </c>
      <c r="X257" s="421">
        <v>534</v>
      </c>
      <c r="Y257" s="421">
        <v>281</v>
      </c>
      <c r="Z257" s="419"/>
      <c r="AA257" s="419"/>
      <c r="AB257" s="419"/>
      <c r="AC257" s="419"/>
      <c r="AD257" s="419"/>
      <c r="AE257" s="422">
        <v>1.4967222045969741</v>
      </c>
      <c r="AF257" s="421">
        <v>9938418.756629962</v>
      </c>
      <c r="AG257" s="420">
        <v>191</v>
      </c>
      <c r="AH257" s="420">
        <v>2024</v>
      </c>
      <c r="AJ257" s="420">
        <v>69</v>
      </c>
      <c r="AK257" s="420">
        <v>0.01381657989587505</v>
      </c>
      <c r="AM257" s="420">
        <v>0</v>
      </c>
      <c r="AN257" s="420">
        <v>37</v>
      </c>
      <c r="AP257" s="420">
        <v>0</v>
      </c>
      <c r="AQ257" s="420">
        <v>0</v>
      </c>
      <c r="AR257" s="420">
        <v>554.67</v>
      </c>
      <c r="AU257" s="420">
        <v>179</v>
      </c>
      <c r="AV257" s="420">
        <v>1205</v>
      </c>
      <c r="AW257" s="420">
        <v>0.14854771784232365</v>
      </c>
      <c r="AY257" s="420">
        <v>0</v>
      </c>
      <c r="AZ257" s="421">
        <v>1658</v>
      </c>
      <c r="BA257" s="420">
        <v>1871</v>
      </c>
      <c r="BB257" s="420">
        <v>0.8861571352218065</v>
      </c>
      <c r="BD257" s="420">
        <v>0</v>
      </c>
      <c r="BE257" s="420">
        <v>0</v>
      </c>
      <c r="BF257" s="421">
        <v>0</v>
      </c>
      <c r="BG257" s="421">
        <v>0</v>
      </c>
      <c r="BH257" s="419"/>
      <c r="BI257" s="421">
        <v>0</v>
      </c>
      <c r="BJ257" s="419"/>
      <c r="BK257" s="421">
        <v>1797.84</v>
      </c>
      <c r="BL257" s="421">
        <v>-115215</v>
      </c>
      <c r="BM257" s="421">
        <v>-115105.12</v>
      </c>
      <c r="BN257" s="419"/>
      <c r="BO257" s="421">
        <v>62084.1270564124</v>
      </c>
      <c r="BP257" s="421">
        <v>576996</v>
      </c>
      <c r="BQ257" s="421">
        <v>180373</v>
      </c>
      <c r="BR257" s="421">
        <v>473410.9224047523</v>
      </c>
      <c r="BS257" s="421">
        <v>25183.388047769105</v>
      </c>
      <c r="BT257" s="421">
        <v>43857.31872270107</v>
      </c>
      <c r="BU257" s="421">
        <v>222955.8629928093</v>
      </c>
      <c r="BV257" s="421">
        <v>317312.53966913937</v>
      </c>
      <c r="BW257" s="421">
        <v>515527.2529931522</v>
      </c>
      <c r="BX257" s="421">
        <v>144626.5101105741</v>
      </c>
      <c r="BY257" s="421">
        <v>273798.9291505118</v>
      </c>
      <c r="BZ257" s="419"/>
      <c r="CA257" s="421">
        <v>2892.911402402562</v>
      </c>
      <c r="CB257" s="419"/>
      <c r="CC257" s="419"/>
      <c r="CD257" s="419"/>
      <c r="CE257" s="421">
        <v>377557.975283884</v>
      </c>
      <c r="CF257" s="421">
        <v>198869.4112700792</v>
      </c>
      <c r="CG257" s="421">
        <v>239615.19113637487</v>
      </c>
      <c r="CH257" s="421">
        <v>-19141.986477904764</v>
      </c>
      <c r="CI257" s="419"/>
      <c r="CJ257" s="421">
        <v>5051591.768566338</v>
      </c>
      <c r="CK257" s="421">
        <v>-451698</v>
      </c>
      <c r="CL257" s="421">
        <v>159477.508</v>
      </c>
      <c r="CM257" s="421">
        <v>224758.9552</v>
      </c>
      <c r="CN257" s="421">
        <v>-65281.447199999995</v>
      </c>
      <c r="CO257" s="419"/>
      <c r="CP257" s="419"/>
      <c r="CQ257" s="419"/>
      <c r="CR257" s="171">
        <v>1253</v>
      </c>
    </row>
    <row r="258" spans="1:96" ht="9.75">
      <c r="A258" s="203">
        <v>848</v>
      </c>
      <c r="B258" s="203" t="s">
        <v>313</v>
      </c>
      <c r="C258" s="421">
        <v>4307</v>
      </c>
      <c r="D258" s="419"/>
      <c r="E258" s="419"/>
      <c r="F258" s="419"/>
      <c r="G258" s="419"/>
      <c r="H258" s="500">
        <v>4291.05</v>
      </c>
      <c r="I258" s="419"/>
      <c r="J258" s="419"/>
      <c r="K258" s="419"/>
      <c r="L258" s="419"/>
      <c r="M258" s="419"/>
      <c r="N258" s="419"/>
      <c r="O258" s="419"/>
      <c r="P258" s="419"/>
      <c r="Q258" s="421">
        <v>184</v>
      </c>
      <c r="R258" s="421">
        <v>42</v>
      </c>
      <c r="S258" s="421">
        <v>252</v>
      </c>
      <c r="T258" s="421">
        <v>119</v>
      </c>
      <c r="U258" s="421">
        <v>107</v>
      </c>
      <c r="V258" s="421">
        <v>2165</v>
      </c>
      <c r="W258" s="421">
        <v>829</v>
      </c>
      <c r="X258" s="421">
        <v>443</v>
      </c>
      <c r="Y258" s="421">
        <v>166</v>
      </c>
      <c r="Z258" s="419"/>
      <c r="AA258" s="419"/>
      <c r="AB258" s="419"/>
      <c r="AC258" s="419"/>
      <c r="AD258" s="419"/>
      <c r="AE258" s="422">
        <v>1.5691194017647814</v>
      </c>
      <c r="AF258" s="421">
        <v>8985834.523573916</v>
      </c>
      <c r="AG258" s="420">
        <v>316</v>
      </c>
      <c r="AH258" s="420">
        <v>1827</v>
      </c>
      <c r="AJ258" s="420">
        <v>216</v>
      </c>
      <c r="AK258" s="420">
        <v>0.05015091711167866</v>
      </c>
      <c r="AM258" s="420">
        <v>0</v>
      </c>
      <c r="AN258" s="420">
        <v>5</v>
      </c>
      <c r="AP258" s="420">
        <v>0</v>
      </c>
      <c r="AQ258" s="420">
        <v>0</v>
      </c>
      <c r="AR258" s="420">
        <v>837.75</v>
      </c>
      <c r="AU258" s="420">
        <v>168</v>
      </c>
      <c r="AV258" s="420">
        <v>1114</v>
      </c>
      <c r="AW258" s="420">
        <v>0.15080789946140036</v>
      </c>
      <c r="AY258" s="420">
        <v>0.2483</v>
      </c>
      <c r="AZ258" s="421">
        <v>1251</v>
      </c>
      <c r="BA258" s="420">
        <v>1460</v>
      </c>
      <c r="BB258" s="420">
        <v>0.8568493150684932</v>
      </c>
      <c r="BD258" s="420">
        <v>0</v>
      </c>
      <c r="BE258" s="420">
        <v>1</v>
      </c>
      <c r="BF258" s="421">
        <v>0</v>
      </c>
      <c r="BG258" s="421">
        <v>0</v>
      </c>
      <c r="BH258" s="419"/>
      <c r="BI258" s="421">
        <v>0</v>
      </c>
      <c r="BJ258" s="419"/>
      <c r="BK258" s="421">
        <v>1550.52</v>
      </c>
      <c r="BL258" s="421">
        <v>296673</v>
      </c>
      <c r="BM258" s="421">
        <v>-120147.025</v>
      </c>
      <c r="BN258" s="419"/>
      <c r="BO258" s="421">
        <v>146059.5290362984</v>
      </c>
      <c r="BP258" s="421">
        <v>488924</v>
      </c>
      <c r="BQ258" s="421">
        <v>151458</v>
      </c>
      <c r="BR258" s="421">
        <v>407823.27488089685</v>
      </c>
      <c r="BS258" s="421">
        <v>23600.248029461156</v>
      </c>
      <c r="BT258" s="421">
        <v>70179.89737688669</v>
      </c>
      <c r="BU258" s="421">
        <v>178361.8782136875</v>
      </c>
      <c r="BV258" s="421">
        <v>258633.18425387493</v>
      </c>
      <c r="BW258" s="421">
        <v>426043.25547438674</v>
      </c>
      <c r="BX258" s="421">
        <v>124023.69196412733</v>
      </c>
      <c r="BY258" s="421">
        <v>230735.16298174483</v>
      </c>
      <c r="BZ258" s="419"/>
      <c r="CA258" s="421">
        <v>78219.85477344132</v>
      </c>
      <c r="CB258" s="419"/>
      <c r="CC258" s="419"/>
      <c r="CD258" s="419"/>
      <c r="CE258" s="421">
        <v>316051.9923646566</v>
      </c>
      <c r="CF258" s="421">
        <v>164166.54059831458</v>
      </c>
      <c r="CG258" s="421">
        <v>187360.58264022658</v>
      </c>
      <c r="CH258" s="421">
        <v>-15782.74039941592</v>
      </c>
      <c r="CI258" s="419"/>
      <c r="CJ258" s="421">
        <v>4504388.271493912</v>
      </c>
      <c r="CK258" s="421">
        <v>547289</v>
      </c>
      <c r="CL258" s="421">
        <v>280203.472</v>
      </c>
      <c r="CM258" s="421">
        <v>172056.85536000002</v>
      </c>
      <c r="CN258" s="421">
        <v>108146.61664</v>
      </c>
      <c r="CO258" s="419"/>
      <c r="CP258" s="419"/>
      <c r="CQ258" s="419"/>
      <c r="CR258" s="171">
        <v>945</v>
      </c>
    </row>
    <row r="259" spans="1:96" ht="9.75">
      <c r="A259" s="203">
        <v>849</v>
      </c>
      <c r="B259" s="203" t="s">
        <v>314</v>
      </c>
      <c r="C259" s="421">
        <v>2966</v>
      </c>
      <c r="D259" s="419"/>
      <c r="E259" s="419"/>
      <c r="F259" s="419"/>
      <c r="G259" s="419"/>
      <c r="H259" s="500">
        <v>4291.05</v>
      </c>
      <c r="I259" s="419"/>
      <c r="J259" s="419"/>
      <c r="K259" s="419"/>
      <c r="L259" s="419"/>
      <c r="M259" s="419"/>
      <c r="N259" s="419"/>
      <c r="O259" s="419"/>
      <c r="P259" s="419"/>
      <c r="Q259" s="421">
        <v>166</v>
      </c>
      <c r="R259" s="421">
        <v>37</v>
      </c>
      <c r="S259" s="421">
        <v>254</v>
      </c>
      <c r="T259" s="421">
        <v>137</v>
      </c>
      <c r="U259" s="421">
        <v>127</v>
      </c>
      <c r="V259" s="421">
        <v>1413</v>
      </c>
      <c r="W259" s="421">
        <v>446</v>
      </c>
      <c r="X259" s="421">
        <v>278</v>
      </c>
      <c r="Y259" s="421">
        <v>108</v>
      </c>
      <c r="Z259" s="419"/>
      <c r="AA259" s="419"/>
      <c r="AB259" s="419"/>
      <c r="AC259" s="419"/>
      <c r="AD259" s="419"/>
      <c r="AE259" s="422">
        <v>1.197040991779906</v>
      </c>
      <c r="AF259" s="421">
        <v>4720714.3536776025</v>
      </c>
      <c r="AG259" s="420">
        <v>117</v>
      </c>
      <c r="AH259" s="420">
        <v>1252</v>
      </c>
      <c r="AJ259" s="420">
        <v>47</v>
      </c>
      <c r="AK259" s="420">
        <v>0.015846257585974376</v>
      </c>
      <c r="AM259" s="420">
        <v>0</v>
      </c>
      <c r="AN259" s="420">
        <v>5</v>
      </c>
      <c r="AP259" s="420">
        <v>0</v>
      </c>
      <c r="AQ259" s="420">
        <v>0</v>
      </c>
      <c r="AR259" s="420">
        <v>608.99</v>
      </c>
      <c r="AU259" s="420">
        <v>87</v>
      </c>
      <c r="AV259" s="420">
        <v>747</v>
      </c>
      <c r="AW259" s="420">
        <v>0.11646586345381527</v>
      </c>
      <c r="AY259" s="420">
        <v>0.1427</v>
      </c>
      <c r="AZ259" s="421">
        <v>1015</v>
      </c>
      <c r="BA259" s="420">
        <v>1111</v>
      </c>
      <c r="BB259" s="420">
        <v>0.9135913591359136</v>
      </c>
      <c r="BD259" s="420">
        <v>0</v>
      </c>
      <c r="BE259" s="420">
        <v>0</v>
      </c>
      <c r="BF259" s="421">
        <v>0</v>
      </c>
      <c r="BG259" s="421">
        <v>0</v>
      </c>
      <c r="BH259" s="419"/>
      <c r="BI259" s="421">
        <v>0</v>
      </c>
      <c r="BJ259" s="419"/>
      <c r="BK259" s="421">
        <v>1067.76</v>
      </c>
      <c r="BL259" s="421">
        <v>-35286</v>
      </c>
      <c r="BM259" s="421">
        <v>-60211.4725</v>
      </c>
      <c r="BN259" s="419"/>
      <c r="BO259" s="421">
        <v>23437.54527264461</v>
      </c>
      <c r="BP259" s="421">
        <v>314226</v>
      </c>
      <c r="BQ259" s="421">
        <v>100168</v>
      </c>
      <c r="BR259" s="421">
        <v>257451.3146865465</v>
      </c>
      <c r="BS259" s="421">
        <v>12554.810613471816</v>
      </c>
      <c r="BT259" s="421">
        <v>41698.33530034056</v>
      </c>
      <c r="BU259" s="421">
        <v>129523.2545463595</v>
      </c>
      <c r="BV259" s="421">
        <v>173125.70093132294</v>
      </c>
      <c r="BW259" s="421">
        <v>339131.47494841396</v>
      </c>
      <c r="BX259" s="421">
        <v>83990.13880289915</v>
      </c>
      <c r="BY259" s="421">
        <v>153250.83389795406</v>
      </c>
      <c r="BZ259" s="419"/>
      <c r="CA259" s="421">
        <v>-8268.06647281082</v>
      </c>
      <c r="CB259" s="419"/>
      <c r="CC259" s="419"/>
      <c r="CD259" s="419"/>
      <c r="CE259" s="421">
        <v>233364.93913772432</v>
      </c>
      <c r="CF259" s="421">
        <v>118854.40025056378</v>
      </c>
      <c r="CG259" s="421">
        <v>130178.92169338309</v>
      </c>
      <c r="CH259" s="421">
        <v>-10762.425337694689</v>
      </c>
      <c r="CI259" s="419"/>
      <c r="CJ259" s="421">
        <v>3136693.4823447755</v>
      </c>
      <c r="CK259" s="421">
        <v>247305</v>
      </c>
      <c r="CL259" s="421">
        <v>314483.68400000007</v>
      </c>
      <c r="CM259" s="421">
        <v>11923.552000000001</v>
      </c>
      <c r="CN259" s="421">
        <v>302560.13200000004</v>
      </c>
      <c r="CO259" s="419"/>
      <c r="CP259" s="419"/>
      <c r="CQ259" s="419"/>
      <c r="CR259" s="171">
        <v>921</v>
      </c>
    </row>
    <row r="260" spans="1:96" ht="9.75">
      <c r="A260" s="203">
        <v>850</v>
      </c>
      <c r="B260" s="203" t="s">
        <v>315</v>
      </c>
      <c r="C260" s="421">
        <v>2401</v>
      </c>
      <c r="D260" s="419"/>
      <c r="E260" s="419"/>
      <c r="F260" s="419"/>
      <c r="G260" s="419"/>
      <c r="H260" s="500">
        <v>4291.05</v>
      </c>
      <c r="I260" s="419"/>
      <c r="J260" s="419"/>
      <c r="K260" s="419"/>
      <c r="L260" s="419"/>
      <c r="M260" s="419"/>
      <c r="N260" s="419"/>
      <c r="O260" s="419"/>
      <c r="P260" s="419"/>
      <c r="Q260" s="421">
        <v>132</v>
      </c>
      <c r="R260" s="421">
        <v>27</v>
      </c>
      <c r="S260" s="421">
        <v>228</v>
      </c>
      <c r="T260" s="421">
        <v>92</v>
      </c>
      <c r="U260" s="421">
        <v>71</v>
      </c>
      <c r="V260" s="421">
        <v>1173</v>
      </c>
      <c r="W260" s="421">
        <v>389</v>
      </c>
      <c r="X260" s="421">
        <v>209</v>
      </c>
      <c r="Y260" s="421">
        <v>80</v>
      </c>
      <c r="Z260" s="419"/>
      <c r="AA260" s="419"/>
      <c r="AB260" s="419"/>
      <c r="AC260" s="419"/>
      <c r="AD260" s="419"/>
      <c r="AE260" s="422">
        <v>1.1135718632408265</v>
      </c>
      <c r="AF260" s="421">
        <v>3554986.5534415445</v>
      </c>
      <c r="AG260" s="420">
        <v>110</v>
      </c>
      <c r="AH260" s="420">
        <v>1036</v>
      </c>
      <c r="AJ260" s="420">
        <v>24</v>
      </c>
      <c r="AK260" s="420">
        <v>0.009995835068721367</v>
      </c>
      <c r="AM260" s="420">
        <v>0</v>
      </c>
      <c r="AN260" s="420">
        <v>1</v>
      </c>
      <c r="AP260" s="420">
        <v>0</v>
      </c>
      <c r="AQ260" s="420">
        <v>0</v>
      </c>
      <c r="AR260" s="420">
        <v>361.45</v>
      </c>
      <c r="AU260" s="420">
        <v>73</v>
      </c>
      <c r="AV260" s="420">
        <v>697</v>
      </c>
      <c r="AW260" s="420">
        <v>0.10473457675753228</v>
      </c>
      <c r="AY260" s="420">
        <v>0</v>
      </c>
      <c r="AZ260" s="421">
        <v>548</v>
      </c>
      <c r="BA260" s="420">
        <v>901</v>
      </c>
      <c r="BB260" s="420">
        <v>0.6082130965593785</v>
      </c>
      <c r="BD260" s="420">
        <v>0</v>
      </c>
      <c r="BE260" s="420">
        <v>0</v>
      </c>
      <c r="BF260" s="421">
        <v>0</v>
      </c>
      <c r="BG260" s="421">
        <v>0</v>
      </c>
      <c r="BH260" s="419"/>
      <c r="BI260" s="421">
        <v>0</v>
      </c>
      <c r="BJ260" s="419"/>
      <c r="BK260" s="421">
        <v>864.36</v>
      </c>
      <c r="BL260" s="421">
        <v>37010</v>
      </c>
      <c r="BM260" s="421">
        <v>-58275.4725</v>
      </c>
      <c r="BN260" s="419"/>
      <c r="BO260" s="421">
        <v>129204.97141114902</v>
      </c>
      <c r="BP260" s="421">
        <v>217595</v>
      </c>
      <c r="BQ260" s="421">
        <v>70121</v>
      </c>
      <c r="BR260" s="421">
        <v>157566.65010776315</v>
      </c>
      <c r="BS260" s="421">
        <v>6018.4220331636425</v>
      </c>
      <c r="BT260" s="421">
        <v>16014.904402014883</v>
      </c>
      <c r="BU260" s="421">
        <v>71238.97880583534</v>
      </c>
      <c r="BV260" s="421">
        <v>131906.43722749897</v>
      </c>
      <c r="BW260" s="421">
        <v>199318.96465986373</v>
      </c>
      <c r="BX260" s="421">
        <v>52076.235371586336</v>
      </c>
      <c r="BY260" s="421">
        <v>106125.74955900428</v>
      </c>
      <c r="BZ260" s="419"/>
      <c r="CA260" s="421">
        <v>16542.449057719383</v>
      </c>
      <c r="CB260" s="419"/>
      <c r="CC260" s="419"/>
      <c r="CD260" s="419"/>
      <c r="CE260" s="421">
        <v>123292.86229175363</v>
      </c>
      <c r="CF260" s="421">
        <v>80249.6931886574</v>
      </c>
      <c r="CG260" s="421">
        <v>98463.98410355189</v>
      </c>
      <c r="CH260" s="421">
        <v>-9840.14165842197</v>
      </c>
      <c r="CI260" s="419"/>
      <c r="CJ260" s="421">
        <v>1658243.207396557</v>
      </c>
      <c r="CK260" s="421">
        <v>-478735</v>
      </c>
      <c r="CL260" s="421">
        <v>320669.0266</v>
      </c>
      <c r="CM260" s="421">
        <v>145348.09888</v>
      </c>
      <c r="CN260" s="421">
        <v>175320.92771999998</v>
      </c>
      <c r="CO260" s="419"/>
      <c r="CP260" s="419"/>
      <c r="CQ260" s="419"/>
      <c r="CR260" s="171">
        <v>656</v>
      </c>
    </row>
    <row r="261" spans="1:96" ht="9.75">
      <c r="A261" s="203">
        <v>851</v>
      </c>
      <c r="B261" s="203" t="s">
        <v>316</v>
      </c>
      <c r="C261" s="421">
        <v>21467</v>
      </c>
      <c r="D261" s="419"/>
      <c r="E261" s="419"/>
      <c r="F261" s="419"/>
      <c r="G261" s="419"/>
      <c r="H261" s="500">
        <v>4291.05</v>
      </c>
      <c r="I261" s="419"/>
      <c r="J261" s="419"/>
      <c r="K261" s="419"/>
      <c r="L261" s="419"/>
      <c r="M261" s="419"/>
      <c r="N261" s="419"/>
      <c r="O261" s="419"/>
      <c r="P261" s="419"/>
      <c r="Q261" s="421">
        <v>1244</v>
      </c>
      <c r="R261" s="421">
        <v>213</v>
      </c>
      <c r="S261" s="421">
        <v>1637</v>
      </c>
      <c r="T261" s="421">
        <v>800</v>
      </c>
      <c r="U261" s="421">
        <v>797</v>
      </c>
      <c r="V261" s="421">
        <v>11571</v>
      </c>
      <c r="W261" s="421">
        <v>3202</v>
      </c>
      <c r="X261" s="421">
        <v>1417</v>
      </c>
      <c r="Y261" s="421">
        <v>586</v>
      </c>
      <c r="Z261" s="419"/>
      <c r="AA261" s="419"/>
      <c r="AB261" s="419"/>
      <c r="AC261" s="419"/>
      <c r="AD261" s="419"/>
      <c r="AE261" s="422">
        <v>1.012807178359132</v>
      </c>
      <c r="AF261" s="421">
        <v>28908508.15528549</v>
      </c>
      <c r="AG261" s="420">
        <v>1181</v>
      </c>
      <c r="AH261" s="420">
        <v>9826</v>
      </c>
      <c r="AJ261" s="420">
        <v>550</v>
      </c>
      <c r="AK261" s="420">
        <v>0.02562072017515256</v>
      </c>
      <c r="AM261" s="420">
        <v>0</v>
      </c>
      <c r="AN261" s="420">
        <v>113</v>
      </c>
      <c r="AP261" s="420">
        <v>0</v>
      </c>
      <c r="AQ261" s="420">
        <v>0</v>
      </c>
      <c r="AR261" s="420">
        <v>1188.78</v>
      </c>
      <c r="AU261" s="420">
        <v>678</v>
      </c>
      <c r="AV261" s="420">
        <v>6121</v>
      </c>
      <c r="AW261" s="420">
        <v>0.11076621467080543</v>
      </c>
      <c r="AY261" s="420">
        <v>0.0863</v>
      </c>
      <c r="AZ261" s="421">
        <v>8697</v>
      </c>
      <c r="BA261" s="420">
        <v>8670</v>
      </c>
      <c r="BB261" s="420">
        <v>1.003114186851211</v>
      </c>
      <c r="BD261" s="420">
        <v>0</v>
      </c>
      <c r="BE261" s="420">
        <v>13</v>
      </c>
      <c r="BF261" s="421">
        <v>0</v>
      </c>
      <c r="BG261" s="421">
        <v>0</v>
      </c>
      <c r="BH261" s="419"/>
      <c r="BI261" s="421">
        <v>0</v>
      </c>
      <c r="BJ261" s="419"/>
      <c r="BK261" s="421">
        <v>7728.12</v>
      </c>
      <c r="BL261" s="421">
        <v>-14349</v>
      </c>
      <c r="BM261" s="421">
        <v>-910016.825</v>
      </c>
      <c r="BN261" s="419"/>
      <c r="BO261" s="421">
        <v>-580763.6914084479</v>
      </c>
      <c r="BP261" s="421">
        <v>1689783</v>
      </c>
      <c r="BQ261" s="421">
        <v>512361</v>
      </c>
      <c r="BR261" s="421">
        <v>1252194.124183459</v>
      </c>
      <c r="BS261" s="421">
        <v>40707.48580701725</v>
      </c>
      <c r="BT261" s="421">
        <v>63350.42689183841</v>
      </c>
      <c r="BU261" s="421">
        <v>564846.7675050591</v>
      </c>
      <c r="BV261" s="421">
        <v>986831.8784667774</v>
      </c>
      <c r="BW261" s="421">
        <v>1548331.791137923</v>
      </c>
      <c r="BX261" s="421">
        <v>440767.03542465175</v>
      </c>
      <c r="BY261" s="421">
        <v>832994.803787737</v>
      </c>
      <c r="BZ261" s="419"/>
      <c r="CA261" s="421">
        <v>188538.65800846156</v>
      </c>
      <c r="CB261" s="419"/>
      <c r="CC261" s="419"/>
      <c r="CD261" s="419"/>
      <c r="CE261" s="421">
        <v>1076653.2994578972</v>
      </c>
      <c r="CF261" s="421">
        <v>647992.9435410384</v>
      </c>
      <c r="CG261" s="421">
        <v>796725.6543422757</v>
      </c>
      <c r="CH261" s="421">
        <v>-102398.41906777649</v>
      </c>
      <c r="CI261" s="419"/>
      <c r="CJ261" s="421">
        <v>8475232.928769588</v>
      </c>
      <c r="CK261" s="421">
        <v>-328591</v>
      </c>
      <c r="CL261" s="421">
        <v>420305.208</v>
      </c>
      <c r="CM261" s="421">
        <v>308879.61456</v>
      </c>
      <c r="CN261" s="421">
        <v>111425.59343999997</v>
      </c>
      <c r="CO261" s="419"/>
      <c r="CP261" s="419"/>
      <c r="CQ261" s="419"/>
      <c r="CR261" s="171">
        <v>6928</v>
      </c>
    </row>
    <row r="262" spans="1:96" ht="9.75">
      <c r="A262" s="203">
        <v>853</v>
      </c>
      <c r="B262" s="203" t="s">
        <v>317</v>
      </c>
      <c r="C262" s="421">
        <v>194391</v>
      </c>
      <c r="D262" s="419"/>
      <c r="E262" s="419"/>
      <c r="F262" s="419"/>
      <c r="G262" s="419"/>
      <c r="H262" s="500">
        <v>4291.05</v>
      </c>
      <c r="I262" s="419"/>
      <c r="J262" s="419"/>
      <c r="K262" s="419"/>
      <c r="L262" s="419"/>
      <c r="M262" s="419"/>
      <c r="N262" s="419"/>
      <c r="O262" s="419"/>
      <c r="P262" s="419"/>
      <c r="Q262" s="421">
        <v>9758</v>
      </c>
      <c r="R262" s="421">
        <v>1706</v>
      </c>
      <c r="S262" s="421">
        <v>9871</v>
      </c>
      <c r="T262" s="421">
        <v>4567</v>
      </c>
      <c r="U262" s="421">
        <v>4907</v>
      </c>
      <c r="V262" s="421">
        <v>122937</v>
      </c>
      <c r="W262" s="421">
        <v>21877</v>
      </c>
      <c r="X262" s="421">
        <v>13124</v>
      </c>
      <c r="Y262" s="421">
        <v>5644</v>
      </c>
      <c r="Z262" s="419"/>
      <c r="AA262" s="419"/>
      <c r="AB262" s="419"/>
      <c r="AC262" s="419"/>
      <c r="AD262" s="419"/>
      <c r="AE262" s="422">
        <v>0.9125151210889625</v>
      </c>
      <c r="AF262" s="421">
        <v>235854287.84583986</v>
      </c>
      <c r="AG262" s="420">
        <v>14706</v>
      </c>
      <c r="AH262" s="420">
        <v>95342</v>
      </c>
      <c r="AJ262" s="420">
        <v>23910</v>
      </c>
      <c r="AK262" s="420">
        <v>0.12299952158278933</v>
      </c>
      <c r="AM262" s="420">
        <v>1</v>
      </c>
      <c r="AN262" s="420">
        <v>10657</v>
      </c>
      <c r="AP262" s="420">
        <v>0</v>
      </c>
      <c r="AQ262" s="420">
        <v>0</v>
      </c>
      <c r="AR262" s="420">
        <v>245.66</v>
      </c>
      <c r="AU262" s="420">
        <v>8936</v>
      </c>
      <c r="AV262" s="420">
        <v>60225</v>
      </c>
      <c r="AW262" s="420">
        <v>0.1483769198837692</v>
      </c>
      <c r="AY262" s="420">
        <v>0</v>
      </c>
      <c r="AZ262" s="421">
        <v>105364</v>
      </c>
      <c r="BA262" s="420">
        <v>85171</v>
      </c>
      <c r="BB262" s="420">
        <v>1.2370877411325452</v>
      </c>
      <c r="BD262" s="420">
        <v>0</v>
      </c>
      <c r="BE262" s="420">
        <v>12</v>
      </c>
      <c r="BF262" s="421">
        <v>0</v>
      </c>
      <c r="BG262" s="421">
        <v>0</v>
      </c>
      <c r="BH262" s="419"/>
      <c r="BI262" s="421">
        <v>0</v>
      </c>
      <c r="BJ262" s="419"/>
      <c r="BK262" s="421">
        <v>69980.76</v>
      </c>
      <c r="BL262" s="421">
        <v>491739</v>
      </c>
      <c r="BM262" s="421">
        <v>-15904959.08155</v>
      </c>
      <c r="BN262" s="419"/>
      <c r="BO262" s="421">
        <v>497689.7856930196</v>
      </c>
      <c r="BP262" s="421">
        <v>12023956</v>
      </c>
      <c r="BQ262" s="421">
        <v>4740530</v>
      </c>
      <c r="BR262" s="421">
        <v>11427222.350982357</v>
      </c>
      <c r="BS262" s="421">
        <v>564913.7235415687</v>
      </c>
      <c r="BT262" s="421">
        <v>366930.12714489934</v>
      </c>
      <c r="BU262" s="421">
        <v>4587595.647429567</v>
      </c>
      <c r="BV262" s="421">
        <v>9653934.222865572</v>
      </c>
      <c r="BW262" s="421">
        <v>13341231.3378736</v>
      </c>
      <c r="BX262" s="421">
        <v>5854496.715964283</v>
      </c>
      <c r="BY262" s="421">
        <v>9081982.03379936</v>
      </c>
      <c r="BZ262" s="419"/>
      <c r="CA262" s="421">
        <v>199025.50970257632</v>
      </c>
      <c r="CB262" s="419"/>
      <c r="CC262" s="419"/>
      <c r="CD262" s="419"/>
      <c r="CE262" s="421">
        <v>11413161.413686223</v>
      </c>
      <c r="CF262" s="421">
        <v>7215064.856757295</v>
      </c>
      <c r="CG262" s="421">
        <v>9157811.867972754</v>
      </c>
      <c r="CH262" s="421">
        <v>-901956.7410823638</v>
      </c>
      <c r="CI262" s="419"/>
      <c r="CJ262" s="421">
        <v>-2924989.1475486923</v>
      </c>
      <c r="CK262" s="421">
        <v>42244049</v>
      </c>
      <c r="CL262" s="421">
        <v>7235062.309200003</v>
      </c>
      <c r="CM262" s="421">
        <v>9870355.097144006</v>
      </c>
      <c r="CN262" s="421">
        <v>-2635292.787944003</v>
      </c>
      <c r="CO262" s="419"/>
      <c r="CP262" s="419"/>
      <c r="CQ262" s="419"/>
      <c r="CR262" s="171">
        <v>68722</v>
      </c>
    </row>
    <row r="263" spans="1:96" ht="9.75">
      <c r="A263" s="203">
        <v>857</v>
      </c>
      <c r="B263" s="203" t="s">
        <v>318</v>
      </c>
      <c r="C263" s="421">
        <v>2433</v>
      </c>
      <c r="D263" s="419"/>
      <c r="E263" s="419"/>
      <c r="F263" s="419"/>
      <c r="G263" s="419"/>
      <c r="H263" s="500">
        <v>4291.05</v>
      </c>
      <c r="I263" s="419"/>
      <c r="J263" s="419"/>
      <c r="K263" s="419"/>
      <c r="L263" s="419"/>
      <c r="M263" s="419"/>
      <c r="N263" s="419"/>
      <c r="O263" s="419"/>
      <c r="P263" s="419"/>
      <c r="Q263" s="421">
        <v>68</v>
      </c>
      <c r="R263" s="421">
        <v>21</v>
      </c>
      <c r="S263" s="421">
        <v>115</v>
      </c>
      <c r="T263" s="421">
        <v>69</v>
      </c>
      <c r="U263" s="421">
        <v>50</v>
      </c>
      <c r="V263" s="421">
        <v>1220</v>
      </c>
      <c r="W263" s="421">
        <v>519</v>
      </c>
      <c r="X263" s="421">
        <v>270</v>
      </c>
      <c r="Y263" s="421">
        <v>101</v>
      </c>
      <c r="Z263" s="419"/>
      <c r="AA263" s="419"/>
      <c r="AB263" s="419"/>
      <c r="AC263" s="419"/>
      <c r="AD263" s="419"/>
      <c r="AE263" s="422">
        <v>1.9440045291312436</v>
      </c>
      <c r="AF263" s="421">
        <v>6288787.707352716</v>
      </c>
      <c r="AG263" s="420">
        <v>136</v>
      </c>
      <c r="AH263" s="420">
        <v>962</v>
      </c>
      <c r="AJ263" s="420">
        <v>47</v>
      </c>
      <c r="AK263" s="420">
        <v>0.019317714755445952</v>
      </c>
      <c r="AM263" s="420">
        <v>0</v>
      </c>
      <c r="AN263" s="420">
        <v>2</v>
      </c>
      <c r="AP263" s="420">
        <v>0</v>
      </c>
      <c r="AQ263" s="420">
        <v>0</v>
      </c>
      <c r="AR263" s="420">
        <v>543.18</v>
      </c>
      <c r="AU263" s="420">
        <v>107</v>
      </c>
      <c r="AV263" s="420">
        <v>577</v>
      </c>
      <c r="AW263" s="420">
        <v>0.1854419410745234</v>
      </c>
      <c r="AY263" s="420">
        <v>0.4081</v>
      </c>
      <c r="AZ263" s="421">
        <v>611</v>
      </c>
      <c r="BA263" s="420">
        <v>798</v>
      </c>
      <c r="BB263" s="420">
        <v>0.7656641604010025</v>
      </c>
      <c r="BD263" s="420">
        <v>0</v>
      </c>
      <c r="BE263" s="420">
        <v>1</v>
      </c>
      <c r="BF263" s="421">
        <v>0</v>
      </c>
      <c r="BG263" s="421">
        <v>0</v>
      </c>
      <c r="BH263" s="419"/>
      <c r="BI263" s="421">
        <v>0</v>
      </c>
      <c r="BJ263" s="419"/>
      <c r="BK263" s="421">
        <v>875.88</v>
      </c>
      <c r="BL263" s="421">
        <v>106862</v>
      </c>
      <c r="BM263" s="421">
        <v>-85040.125</v>
      </c>
      <c r="BN263" s="419"/>
      <c r="BO263" s="421">
        <v>24017.81958437711</v>
      </c>
      <c r="BP263" s="421">
        <v>300356</v>
      </c>
      <c r="BQ263" s="421">
        <v>87021</v>
      </c>
      <c r="BR263" s="421">
        <v>228750.0569633556</v>
      </c>
      <c r="BS263" s="421">
        <v>10969.57630153163</v>
      </c>
      <c r="BT263" s="421">
        <v>17385.613345586495</v>
      </c>
      <c r="BU263" s="421">
        <v>111786.84419278541</v>
      </c>
      <c r="BV263" s="421">
        <v>148155.05428529167</v>
      </c>
      <c r="BW263" s="421">
        <v>234119.64364674693</v>
      </c>
      <c r="BX263" s="421">
        <v>62099.270575895694</v>
      </c>
      <c r="BY263" s="421">
        <v>126183.83449558614</v>
      </c>
      <c r="BZ263" s="419"/>
      <c r="CA263" s="421">
        <v>-9427.326948806465</v>
      </c>
      <c r="CB263" s="419"/>
      <c r="CC263" s="419"/>
      <c r="CD263" s="419"/>
      <c r="CE263" s="421">
        <v>179387.14097000952</v>
      </c>
      <c r="CF263" s="421">
        <v>92668.33821693074</v>
      </c>
      <c r="CG263" s="421">
        <v>107342.71177076669</v>
      </c>
      <c r="CH263" s="421">
        <v>-9418.69800448215</v>
      </c>
      <c r="CI263" s="419"/>
      <c r="CJ263" s="421">
        <v>2376115.340474617</v>
      </c>
      <c r="CK263" s="421">
        <v>201316</v>
      </c>
      <c r="CL263" s="421">
        <v>1024084.0724000002</v>
      </c>
      <c r="CM263" s="421">
        <v>102199.74508000001</v>
      </c>
      <c r="CN263" s="421">
        <v>921884.3273200002</v>
      </c>
      <c r="CO263" s="419"/>
      <c r="CP263" s="419"/>
      <c r="CQ263" s="419"/>
      <c r="CR263" s="171">
        <v>430</v>
      </c>
    </row>
    <row r="264" spans="1:96" ht="9.75">
      <c r="A264" s="203">
        <v>858</v>
      </c>
      <c r="B264" s="203" t="s">
        <v>319</v>
      </c>
      <c r="C264" s="421">
        <v>38783</v>
      </c>
      <c r="D264" s="419"/>
      <c r="E264" s="419"/>
      <c r="F264" s="419"/>
      <c r="G264" s="419"/>
      <c r="H264" s="500">
        <v>4291.05</v>
      </c>
      <c r="I264" s="419"/>
      <c r="J264" s="419"/>
      <c r="K264" s="419"/>
      <c r="L264" s="419"/>
      <c r="M264" s="419"/>
      <c r="N264" s="419"/>
      <c r="O264" s="419"/>
      <c r="P264" s="419"/>
      <c r="Q264" s="421">
        <v>2175</v>
      </c>
      <c r="R264" s="421">
        <v>476</v>
      </c>
      <c r="S264" s="421">
        <v>3270</v>
      </c>
      <c r="T264" s="421">
        <v>1649</v>
      </c>
      <c r="U264" s="421">
        <v>1711</v>
      </c>
      <c r="V264" s="421">
        <v>22301</v>
      </c>
      <c r="W264" s="421">
        <v>4338</v>
      </c>
      <c r="X264" s="421">
        <v>2212</v>
      </c>
      <c r="Y264" s="421">
        <v>651</v>
      </c>
      <c r="Z264" s="419"/>
      <c r="AA264" s="419"/>
      <c r="AB264" s="419"/>
      <c r="AC264" s="419"/>
      <c r="AD264" s="419"/>
      <c r="AE264" s="422">
        <v>0.8212317029924517</v>
      </c>
      <c r="AF264" s="421">
        <v>42348171.235927925</v>
      </c>
      <c r="AG264" s="420">
        <v>1976</v>
      </c>
      <c r="AH264" s="420">
        <v>19713</v>
      </c>
      <c r="AJ264" s="420">
        <v>2454</v>
      </c>
      <c r="AK264" s="420">
        <v>0.06327514632699895</v>
      </c>
      <c r="AM264" s="420">
        <v>0</v>
      </c>
      <c r="AN264" s="420">
        <v>578</v>
      </c>
      <c r="AP264" s="420">
        <v>0</v>
      </c>
      <c r="AQ264" s="420">
        <v>0</v>
      </c>
      <c r="AR264" s="420">
        <v>219.54</v>
      </c>
      <c r="AU264" s="420">
        <v>1993</v>
      </c>
      <c r="AV264" s="420">
        <v>13731</v>
      </c>
      <c r="AW264" s="420">
        <v>0.1451460199548467</v>
      </c>
      <c r="AY264" s="420">
        <v>0</v>
      </c>
      <c r="AZ264" s="421">
        <v>14847</v>
      </c>
      <c r="BA264" s="420">
        <v>18419</v>
      </c>
      <c r="BB264" s="420">
        <v>0.8060698192084261</v>
      </c>
      <c r="BD264" s="420">
        <v>0</v>
      </c>
      <c r="BE264" s="420">
        <v>2</v>
      </c>
      <c r="BF264" s="421">
        <v>0</v>
      </c>
      <c r="BG264" s="421">
        <v>0</v>
      </c>
      <c r="BH264" s="419"/>
      <c r="BI264" s="421">
        <v>0</v>
      </c>
      <c r="BJ264" s="419"/>
      <c r="BK264" s="421">
        <v>13961.88</v>
      </c>
      <c r="BL264" s="421">
        <v>-232623</v>
      </c>
      <c r="BM264" s="421">
        <v>-1437373.72895</v>
      </c>
      <c r="BN264" s="419"/>
      <c r="BO264" s="421">
        <v>-666280.6096984223</v>
      </c>
      <c r="BP264" s="421">
        <v>2156396</v>
      </c>
      <c r="BQ264" s="421">
        <v>706861</v>
      </c>
      <c r="BR264" s="421">
        <v>1272093.3355424232</v>
      </c>
      <c r="BS264" s="421">
        <v>-2336.5735773642828</v>
      </c>
      <c r="BT264" s="421">
        <v>-229590.6980856142</v>
      </c>
      <c r="BU264" s="421">
        <v>469797.265750496</v>
      </c>
      <c r="BV264" s="421">
        <v>1509083.9554884597</v>
      </c>
      <c r="BW264" s="421">
        <v>2468625.2045464953</v>
      </c>
      <c r="BX264" s="421">
        <v>720069.4034586762</v>
      </c>
      <c r="BY264" s="421">
        <v>1223552.7957060828</v>
      </c>
      <c r="BZ264" s="419"/>
      <c r="CA264" s="421">
        <v>-116473.72768283144</v>
      </c>
      <c r="CB264" s="419"/>
      <c r="CC264" s="419"/>
      <c r="CD264" s="419"/>
      <c r="CE264" s="421">
        <v>1381577.1134986852</v>
      </c>
      <c r="CF264" s="421">
        <v>1050930.9416858195</v>
      </c>
      <c r="CG264" s="421">
        <v>1371215.2929260745</v>
      </c>
      <c r="CH264" s="421">
        <v>-217828.04099221298</v>
      </c>
      <c r="CI264" s="419"/>
      <c r="CJ264" s="421">
        <v>-10001673.075137716</v>
      </c>
      <c r="CK264" s="421">
        <v>-3001162</v>
      </c>
      <c r="CL264" s="421">
        <v>3679161.014</v>
      </c>
      <c r="CM264" s="421">
        <v>1433921.8921880003</v>
      </c>
      <c r="CN264" s="421">
        <v>2245239.121812</v>
      </c>
      <c r="CO264" s="419"/>
      <c r="CP264" s="419"/>
      <c r="CQ264" s="419"/>
      <c r="CR264" s="171">
        <v>12291</v>
      </c>
    </row>
    <row r="265" spans="1:96" ht="9.75">
      <c r="A265" s="203">
        <v>859</v>
      </c>
      <c r="B265" s="203" t="s">
        <v>320</v>
      </c>
      <c r="C265" s="421">
        <v>6603</v>
      </c>
      <c r="D265" s="419"/>
      <c r="E265" s="419"/>
      <c r="F265" s="419"/>
      <c r="G265" s="419"/>
      <c r="H265" s="500">
        <v>4291.05</v>
      </c>
      <c r="I265" s="419"/>
      <c r="J265" s="419"/>
      <c r="K265" s="419"/>
      <c r="L265" s="419"/>
      <c r="M265" s="419"/>
      <c r="N265" s="419"/>
      <c r="O265" s="419"/>
      <c r="P265" s="419"/>
      <c r="Q265" s="421">
        <v>632</v>
      </c>
      <c r="R265" s="421">
        <v>146</v>
      </c>
      <c r="S265" s="421">
        <v>963</v>
      </c>
      <c r="T265" s="421">
        <v>419</v>
      </c>
      <c r="U265" s="421">
        <v>307</v>
      </c>
      <c r="V265" s="421">
        <v>3227</v>
      </c>
      <c r="W265" s="421">
        <v>530</v>
      </c>
      <c r="X265" s="421">
        <v>267</v>
      </c>
      <c r="Y265" s="421">
        <v>112</v>
      </c>
      <c r="Z265" s="419"/>
      <c r="AA265" s="419"/>
      <c r="AB265" s="419"/>
      <c r="AC265" s="419"/>
      <c r="AD265" s="419"/>
      <c r="AE265" s="422">
        <v>0.8652623964207175</v>
      </c>
      <c r="AF265" s="421">
        <v>7596554.890924768</v>
      </c>
      <c r="AG265" s="420">
        <v>283</v>
      </c>
      <c r="AH265" s="420">
        <v>2826</v>
      </c>
      <c r="AJ265" s="420">
        <v>44</v>
      </c>
      <c r="AK265" s="420">
        <v>0.0066636377404210205</v>
      </c>
      <c r="AM265" s="420">
        <v>0</v>
      </c>
      <c r="AN265" s="420">
        <v>15</v>
      </c>
      <c r="AP265" s="420">
        <v>0</v>
      </c>
      <c r="AQ265" s="420">
        <v>0</v>
      </c>
      <c r="AR265" s="420">
        <v>491.81</v>
      </c>
      <c r="AU265" s="420">
        <v>156</v>
      </c>
      <c r="AV265" s="420">
        <v>1972</v>
      </c>
      <c r="AW265" s="420">
        <v>0.07910750507099391</v>
      </c>
      <c r="AY265" s="420">
        <v>0</v>
      </c>
      <c r="AZ265" s="421">
        <v>1386</v>
      </c>
      <c r="BA265" s="420">
        <v>2522</v>
      </c>
      <c r="BB265" s="420">
        <v>0.5495638382236321</v>
      </c>
      <c r="BD265" s="420">
        <v>0</v>
      </c>
      <c r="BE265" s="420">
        <v>1</v>
      </c>
      <c r="BF265" s="421">
        <v>0</v>
      </c>
      <c r="BG265" s="421">
        <v>0</v>
      </c>
      <c r="BH265" s="419"/>
      <c r="BI265" s="421">
        <v>0</v>
      </c>
      <c r="BJ265" s="419"/>
      <c r="BK265" s="421">
        <v>2377.08</v>
      </c>
      <c r="BL265" s="421">
        <v>-10589</v>
      </c>
      <c r="BM265" s="421">
        <v>-97439.765</v>
      </c>
      <c r="BN265" s="419"/>
      <c r="BO265" s="421">
        <v>-6601.024326741695</v>
      </c>
      <c r="BP265" s="421">
        <v>489868</v>
      </c>
      <c r="BQ265" s="421">
        <v>141649</v>
      </c>
      <c r="BR265" s="421">
        <v>325883.5747392184</v>
      </c>
      <c r="BS265" s="421">
        <v>7037.667965960214</v>
      </c>
      <c r="BT265" s="421">
        <v>-6387.871083132727</v>
      </c>
      <c r="BU265" s="421">
        <v>174419.49186866794</v>
      </c>
      <c r="BV265" s="421">
        <v>324994.10975018487</v>
      </c>
      <c r="BW265" s="421">
        <v>462236.31468592345</v>
      </c>
      <c r="BX265" s="421">
        <v>96271.69736819995</v>
      </c>
      <c r="BY265" s="421">
        <v>248500.20910079058</v>
      </c>
      <c r="BZ265" s="419"/>
      <c r="CA265" s="421">
        <v>25509.634904605024</v>
      </c>
      <c r="CB265" s="419"/>
      <c r="CC265" s="419"/>
      <c r="CD265" s="419"/>
      <c r="CE265" s="421">
        <v>336167.9636952991</v>
      </c>
      <c r="CF265" s="421">
        <v>210277.09483203545</v>
      </c>
      <c r="CG265" s="421">
        <v>259727.31323837303</v>
      </c>
      <c r="CH265" s="421">
        <v>-24143.186192052173</v>
      </c>
      <c r="CI265" s="419"/>
      <c r="CJ265" s="421">
        <v>7287994.27958484</v>
      </c>
      <c r="CK265" s="421">
        <v>-1015472</v>
      </c>
      <c r="CL265" s="421">
        <v>211792.09240000002</v>
      </c>
      <c r="CM265" s="421">
        <v>199153.12728000002</v>
      </c>
      <c r="CN265" s="421">
        <v>12638.965120000008</v>
      </c>
      <c r="CO265" s="419"/>
      <c r="CP265" s="419"/>
      <c r="CQ265" s="419"/>
      <c r="CR265" s="171">
        <v>2940</v>
      </c>
    </row>
    <row r="266" spans="1:96" ht="9.75">
      <c r="A266" s="203">
        <v>886</v>
      </c>
      <c r="B266" s="203" t="s">
        <v>321</v>
      </c>
      <c r="C266" s="421">
        <v>12735</v>
      </c>
      <c r="D266" s="419"/>
      <c r="E266" s="419"/>
      <c r="F266" s="419"/>
      <c r="G266" s="419"/>
      <c r="H266" s="500">
        <v>4291.05</v>
      </c>
      <c r="I266" s="419"/>
      <c r="J266" s="419"/>
      <c r="K266" s="419"/>
      <c r="L266" s="419"/>
      <c r="M266" s="419"/>
      <c r="N266" s="419"/>
      <c r="O266" s="419"/>
      <c r="P266" s="419"/>
      <c r="Q266" s="421">
        <v>651</v>
      </c>
      <c r="R266" s="421">
        <v>153</v>
      </c>
      <c r="S266" s="421">
        <v>991</v>
      </c>
      <c r="T266" s="421">
        <v>451</v>
      </c>
      <c r="U266" s="421">
        <v>452</v>
      </c>
      <c r="V266" s="421">
        <v>6626</v>
      </c>
      <c r="W266" s="421">
        <v>1908</v>
      </c>
      <c r="X266" s="421">
        <v>1148</v>
      </c>
      <c r="Y266" s="421">
        <v>355</v>
      </c>
      <c r="Z266" s="419"/>
      <c r="AA266" s="419"/>
      <c r="AB266" s="419"/>
      <c r="AC266" s="419"/>
      <c r="AD266" s="419"/>
      <c r="AE266" s="422">
        <v>0.9362212734320249</v>
      </c>
      <c r="AF266" s="421">
        <v>15852764.532257052</v>
      </c>
      <c r="AG266" s="420">
        <v>670</v>
      </c>
      <c r="AH266" s="420">
        <v>5855</v>
      </c>
      <c r="AJ266" s="420">
        <v>230</v>
      </c>
      <c r="AK266" s="420">
        <v>0.018060463290145268</v>
      </c>
      <c r="AM266" s="420">
        <v>0</v>
      </c>
      <c r="AN266" s="420">
        <v>33</v>
      </c>
      <c r="AP266" s="420">
        <v>0</v>
      </c>
      <c r="AQ266" s="420">
        <v>0</v>
      </c>
      <c r="AR266" s="420">
        <v>400.63</v>
      </c>
      <c r="AU266" s="420">
        <v>327</v>
      </c>
      <c r="AV266" s="420">
        <v>3801</v>
      </c>
      <c r="AW266" s="420">
        <v>0.08602999210734018</v>
      </c>
      <c r="AY266" s="420">
        <v>0</v>
      </c>
      <c r="AZ266" s="421">
        <v>3915</v>
      </c>
      <c r="BA266" s="420">
        <v>5248</v>
      </c>
      <c r="BB266" s="420">
        <v>0.7459984756097561</v>
      </c>
      <c r="BD266" s="420">
        <v>0</v>
      </c>
      <c r="BE266" s="420">
        <v>1</v>
      </c>
      <c r="BF266" s="421">
        <v>0</v>
      </c>
      <c r="BG266" s="421">
        <v>0</v>
      </c>
      <c r="BH266" s="419"/>
      <c r="BI266" s="421">
        <v>0</v>
      </c>
      <c r="BJ266" s="419"/>
      <c r="BK266" s="421">
        <v>4584.599999999999</v>
      </c>
      <c r="BL266" s="421">
        <v>74126</v>
      </c>
      <c r="BM266" s="421">
        <v>-399152.975</v>
      </c>
      <c r="BN266" s="419"/>
      <c r="BO266" s="421">
        <v>-4173.156892091036</v>
      </c>
      <c r="BP266" s="421">
        <v>922593</v>
      </c>
      <c r="BQ266" s="421">
        <v>300996</v>
      </c>
      <c r="BR266" s="421">
        <v>649118.2912190023</v>
      </c>
      <c r="BS266" s="421">
        <v>22538.759750654543</v>
      </c>
      <c r="BT266" s="421">
        <v>21797.099511807362</v>
      </c>
      <c r="BU266" s="421">
        <v>348972.57152508094</v>
      </c>
      <c r="BV266" s="421">
        <v>597647.8459807622</v>
      </c>
      <c r="BW266" s="421">
        <v>1026851.5923281434</v>
      </c>
      <c r="BX266" s="421">
        <v>254610.187741525</v>
      </c>
      <c r="BY266" s="421">
        <v>505369.26222574525</v>
      </c>
      <c r="BZ266" s="419"/>
      <c r="CA266" s="421">
        <v>58794.594794029035</v>
      </c>
      <c r="CB266" s="419"/>
      <c r="CC266" s="419"/>
      <c r="CD266" s="419"/>
      <c r="CE266" s="421">
        <v>649038.9705319596</v>
      </c>
      <c r="CF266" s="421">
        <v>398335.93234782724</v>
      </c>
      <c r="CG266" s="421">
        <v>514991.6113927207</v>
      </c>
      <c r="CH266" s="421">
        <v>-61049.51436450537</v>
      </c>
      <c r="CI266" s="419"/>
      <c r="CJ266" s="421">
        <v>4902384.613765869</v>
      </c>
      <c r="CK266" s="421">
        <v>-171841</v>
      </c>
      <c r="CL266" s="421">
        <v>751407.3426000002</v>
      </c>
      <c r="CM266" s="421">
        <v>620056.003324</v>
      </c>
      <c r="CN266" s="421">
        <v>131351.33927600016</v>
      </c>
      <c r="CO266" s="419"/>
      <c r="CP266" s="419"/>
      <c r="CQ266" s="419"/>
      <c r="CR266" s="171">
        <v>3644</v>
      </c>
    </row>
    <row r="267" spans="1:96" ht="9.75">
      <c r="A267" s="203">
        <v>887</v>
      </c>
      <c r="B267" s="203" t="s">
        <v>322</v>
      </c>
      <c r="C267" s="421">
        <v>4644</v>
      </c>
      <c r="D267" s="419"/>
      <c r="E267" s="419"/>
      <c r="F267" s="419"/>
      <c r="G267" s="419"/>
      <c r="H267" s="500">
        <v>4291.05</v>
      </c>
      <c r="I267" s="419"/>
      <c r="J267" s="419"/>
      <c r="K267" s="419"/>
      <c r="L267" s="419"/>
      <c r="M267" s="419"/>
      <c r="N267" s="419"/>
      <c r="O267" s="419"/>
      <c r="P267" s="419"/>
      <c r="Q267" s="421">
        <v>197</v>
      </c>
      <c r="R267" s="421">
        <v>44</v>
      </c>
      <c r="S267" s="421">
        <v>255</v>
      </c>
      <c r="T267" s="421">
        <v>157</v>
      </c>
      <c r="U267" s="421">
        <v>118</v>
      </c>
      <c r="V267" s="421">
        <v>2336</v>
      </c>
      <c r="W267" s="421">
        <v>834</v>
      </c>
      <c r="X267" s="421">
        <v>491</v>
      </c>
      <c r="Y267" s="421">
        <v>212</v>
      </c>
      <c r="Z267" s="419"/>
      <c r="AA267" s="419"/>
      <c r="AB267" s="419"/>
      <c r="AC267" s="419"/>
      <c r="AD267" s="419"/>
      <c r="AE267" s="422">
        <v>1.2203046791747978</v>
      </c>
      <c r="AF267" s="421">
        <v>7535083.009390062</v>
      </c>
      <c r="AG267" s="420">
        <v>237</v>
      </c>
      <c r="AH267" s="420">
        <v>1967</v>
      </c>
      <c r="AJ267" s="420">
        <v>122</v>
      </c>
      <c r="AK267" s="420">
        <v>0.02627045650301464</v>
      </c>
      <c r="AM267" s="420">
        <v>0</v>
      </c>
      <c r="AN267" s="420">
        <v>12</v>
      </c>
      <c r="AP267" s="420">
        <v>0</v>
      </c>
      <c r="AQ267" s="420">
        <v>0</v>
      </c>
      <c r="AR267" s="420">
        <v>475.41</v>
      </c>
      <c r="AU267" s="420">
        <v>226</v>
      </c>
      <c r="AV267" s="420">
        <v>1288</v>
      </c>
      <c r="AW267" s="420">
        <v>0.17546583850931677</v>
      </c>
      <c r="AY267" s="420">
        <v>0</v>
      </c>
      <c r="AZ267" s="421">
        <v>1455</v>
      </c>
      <c r="BA267" s="420">
        <v>1753</v>
      </c>
      <c r="BB267" s="420">
        <v>0.8300057045065602</v>
      </c>
      <c r="BD267" s="420">
        <v>0</v>
      </c>
      <c r="BE267" s="420">
        <v>0</v>
      </c>
      <c r="BF267" s="421">
        <v>0</v>
      </c>
      <c r="BG267" s="421">
        <v>0</v>
      </c>
      <c r="BH267" s="419"/>
      <c r="BI267" s="421">
        <v>0</v>
      </c>
      <c r="BJ267" s="419"/>
      <c r="BK267" s="421">
        <v>1671.84</v>
      </c>
      <c r="BL267" s="421">
        <v>52063</v>
      </c>
      <c r="BM267" s="421">
        <v>-237526.7</v>
      </c>
      <c r="BN267" s="419"/>
      <c r="BO267" s="421">
        <v>15813.88045085594</v>
      </c>
      <c r="BP267" s="421">
        <v>549175</v>
      </c>
      <c r="BQ267" s="421">
        <v>163385</v>
      </c>
      <c r="BR267" s="421">
        <v>401924.0422769373</v>
      </c>
      <c r="BS267" s="421">
        <v>19645.457703307464</v>
      </c>
      <c r="BT267" s="421">
        <v>75344.32793068762</v>
      </c>
      <c r="BU267" s="421">
        <v>180286.47575446786</v>
      </c>
      <c r="BV267" s="421">
        <v>280776.1027136017</v>
      </c>
      <c r="BW267" s="421">
        <v>474953.86153675884</v>
      </c>
      <c r="BX267" s="421">
        <v>133064.05355624924</v>
      </c>
      <c r="BY267" s="421">
        <v>233376.78067092708</v>
      </c>
      <c r="BZ267" s="419"/>
      <c r="CA267" s="421">
        <v>24462.031734294018</v>
      </c>
      <c r="CB267" s="419"/>
      <c r="CC267" s="419"/>
      <c r="CD267" s="419"/>
      <c r="CE267" s="421">
        <v>330544.0754745422</v>
      </c>
      <c r="CF267" s="421">
        <v>184634.29064513603</v>
      </c>
      <c r="CG267" s="421">
        <v>218889.6711097644</v>
      </c>
      <c r="CH267" s="421">
        <v>-19118.512442750678</v>
      </c>
      <c r="CI267" s="419"/>
      <c r="CJ267" s="421">
        <v>4361657.958249054</v>
      </c>
      <c r="CK267" s="421">
        <v>-287146</v>
      </c>
      <c r="CL267" s="421">
        <v>651398.5502</v>
      </c>
      <c r="CM267" s="421">
        <v>349047.08035999996</v>
      </c>
      <c r="CN267" s="421">
        <v>302351.4698400001</v>
      </c>
      <c r="CO267" s="419"/>
      <c r="CP267" s="419"/>
      <c r="CQ267" s="419"/>
      <c r="CR267" s="171">
        <v>1056</v>
      </c>
    </row>
    <row r="268" spans="1:96" ht="9.75">
      <c r="A268" s="203">
        <v>889</v>
      </c>
      <c r="B268" s="203" t="s">
        <v>323</v>
      </c>
      <c r="C268" s="421">
        <v>2619</v>
      </c>
      <c r="D268" s="419"/>
      <c r="E268" s="419"/>
      <c r="F268" s="419"/>
      <c r="G268" s="419"/>
      <c r="H268" s="500">
        <v>4291.05</v>
      </c>
      <c r="I268" s="419"/>
      <c r="J268" s="419"/>
      <c r="K268" s="419"/>
      <c r="L268" s="419"/>
      <c r="M268" s="419"/>
      <c r="N268" s="419"/>
      <c r="O268" s="419"/>
      <c r="P268" s="419"/>
      <c r="Q268" s="421">
        <v>103</v>
      </c>
      <c r="R268" s="421">
        <v>28</v>
      </c>
      <c r="S268" s="421">
        <v>177</v>
      </c>
      <c r="T268" s="421">
        <v>109</v>
      </c>
      <c r="U268" s="421">
        <v>106</v>
      </c>
      <c r="V268" s="421">
        <v>1263</v>
      </c>
      <c r="W268" s="421">
        <v>468</v>
      </c>
      <c r="X268" s="421">
        <v>232</v>
      </c>
      <c r="Y268" s="421">
        <v>133</v>
      </c>
      <c r="Z268" s="419"/>
      <c r="AA268" s="419"/>
      <c r="AB268" s="419"/>
      <c r="AC268" s="419"/>
      <c r="AD268" s="419"/>
      <c r="AE268" s="422">
        <v>1.5665790017838206</v>
      </c>
      <c r="AF268" s="421">
        <v>5455258.719180206</v>
      </c>
      <c r="AG268" s="420">
        <v>131</v>
      </c>
      <c r="AH268" s="420">
        <v>1037</v>
      </c>
      <c r="AJ268" s="420">
        <v>48</v>
      </c>
      <c r="AK268" s="420">
        <v>0.018327605956471937</v>
      </c>
      <c r="AM268" s="420">
        <v>0</v>
      </c>
      <c r="AN268" s="420">
        <v>0</v>
      </c>
      <c r="AP268" s="420">
        <v>0</v>
      </c>
      <c r="AQ268" s="420">
        <v>0</v>
      </c>
      <c r="AR268" s="420">
        <v>1671.72</v>
      </c>
      <c r="AU268" s="420">
        <v>73</v>
      </c>
      <c r="AV268" s="420">
        <v>616</v>
      </c>
      <c r="AW268" s="420">
        <v>0.1185064935064935</v>
      </c>
      <c r="AY268" s="420">
        <v>0.436</v>
      </c>
      <c r="AZ268" s="421">
        <v>831</v>
      </c>
      <c r="BA268" s="420">
        <v>885</v>
      </c>
      <c r="BB268" s="420">
        <v>0.9389830508474576</v>
      </c>
      <c r="BD268" s="420">
        <v>0</v>
      </c>
      <c r="BE268" s="420">
        <v>0</v>
      </c>
      <c r="BF268" s="421">
        <v>0</v>
      </c>
      <c r="BG268" s="421">
        <v>0</v>
      </c>
      <c r="BH268" s="419"/>
      <c r="BI268" s="421">
        <v>0</v>
      </c>
      <c r="BJ268" s="419"/>
      <c r="BK268" s="421">
        <v>942.8399999999999</v>
      </c>
      <c r="BL268" s="421">
        <v>-7310</v>
      </c>
      <c r="BM268" s="421">
        <v>-50335.9</v>
      </c>
      <c r="BN268" s="419"/>
      <c r="BO268" s="421">
        <v>-2570.9969102814794</v>
      </c>
      <c r="BP268" s="421">
        <v>304094</v>
      </c>
      <c r="BQ268" s="421">
        <v>86201</v>
      </c>
      <c r="BR268" s="421">
        <v>209049.50168991182</v>
      </c>
      <c r="BS268" s="421">
        <v>11733.723567627167</v>
      </c>
      <c r="BT268" s="421">
        <v>30010.95659348567</v>
      </c>
      <c r="BU268" s="421">
        <v>107001.43628257842</v>
      </c>
      <c r="BV268" s="421">
        <v>164155.83698869185</v>
      </c>
      <c r="BW268" s="421">
        <v>240348.33304669717</v>
      </c>
      <c r="BX268" s="421">
        <v>59483.150294640654</v>
      </c>
      <c r="BY268" s="421">
        <v>130808.43734629493</v>
      </c>
      <c r="BZ268" s="419"/>
      <c r="CA268" s="421">
        <v>-33440.505037031864</v>
      </c>
      <c r="CB268" s="419"/>
      <c r="CC268" s="419"/>
      <c r="CD268" s="419"/>
      <c r="CE268" s="421">
        <v>171836.31249603935</v>
      </c>
      <c r="CF268" s="421">
        <v>93849.40427144855</v>
      </c>
      <c r="CG268" s="421">
        <v>112519.70617480345</v>
      </c>
      <c r="CH268" s="421">
        <v>-11536.213560572985</v>
      </c>
      <c r="CI268" s="419"/>
      <c r="CJ268" s="421">
        <v>2489877.3229778665</v>
      </c>
      <c r="CK268" s="421">
        <v>303421</v>
      </c>
      <c r="CL268" s="421">
        <v>229826.4648</v>
      </c>
      <c r="CM268" s="421">
        <v>56070.503280000004</v>
      </c>
      <c r="CN268" s="421">
        <v>173755.96151999998</v>
      </c>
      <c r="CO268" s="419"/>
      <c r="CP268" s="419"/>
      <c r="CQ268" s="419"/>
      <c r="CR268" s="171">
        <v>691</v>
      </c>
    </row>
    <row r="269" spans="1:96" ht="9.75">
      <c r="A269" s="203">
        <v>890</v>
      </c>
      <c r="B269" s="203" t="s">
        <v>324</v>
      </c>
      <c r="C269" s="421">
        <v>1219</v>
      </c>
      <c r="D269" s="419"/>
      <c r="E269" s="419"/>
      <c r="F269" s="419"/>
      <c r="G269" s="419"/>
      <c r="H269" s="500">
        <v>4291.05</v>
      </c>
      <c r="I269" s="419"/>
      <c r="J269" s="419"/>
      <c r="K269" s="419"/>
      <c r="L269" s="419"/>
      <c r="M269" s="419"/>
      <c r="N269" s="419"/>
      <c r="O269" s="419"/>
      <c r="P269" s="419"/>
      <c r="Q269" s="421">
        <v>57</v>
      </c>
      <c r="R269" s="421">
        <v>2</v>
      </c>
      <c r="S269" s="421">
        <v>65</v>
      </c>
      <c r="T269" s="421">
        <v>47</v>
      </c>
      <c r="U269" s="421">
        <v>32</v>
      </c>
      <c r="V269" s="421">
        <v>639</v>
      </c>
      <c r="W269" s="421">
        <v>222</v>
      </c>
      <c r="X269" s="421">
        <v>107</v>
      </c>
      <c r="Y269" s="421">
        <v>48</v>
      </c>
      <c r="Z269" s="419"/>
      <c r="AA269" s="419"/>
      <c r="AB269" s="419"/>
      <c r="AC269" s="419"/>
      <c r="AD269" s="419"/>
      <c r="AE269" s="422">
        <v>0.9374565438124588</v>
      </c>
      <c r="AF269" s="421">
        <v>1519435.9685802155</v>
      </c>
      <c r="AG269" s="420">
        <v>64</v>
      </c>
      <c r="AH269" s="420">
        <v>527</v>
      </c>
      <c r="AJ269" s="420">
        <v>54</v>
      </c>
      <c r="AK269" s="420">
        <v>0.044298605414273995</v>
      </c>
      <c r="AM269" s="420">
        <v>0</v>
      </c>
      <c r="AN269" s="420">
        <v>2</v>
      </c>
      <c r="AP269" s="420">
        <v>0</v>
      </c>
      <c r="AQ269" s="420">
        <v>0</v>
      </c>
      <c r="AR269" s="420">
        <v>5145.98</v>
      </c>
      <c r="AU269" s="420">
        <v>67</v>
      </c>
      <c r="AV269" s="420">
        <v>343</v>
      </c>
      <c r="AW269" s="420">
        <v>0.19533527696793002</v>
      </c>
      <c r="AY269" s="420">
        <v>1.9467</v>
      </c>
      <c r="AZ269" s="421">
        <v>474</v>
      </c>
      <c r="BA269" s="420">
        <v>502</v>
      </c>
      <c r="BB269" s="420">
        <v>0.9442231075697212</v>
      </c>
      <c r="BD269" s="420">
        <v>1</v>
      </c>
      <c r="BE269" s="420">
        <v>511</v>
      </c>
      <c r="BF269" s="421">
        <v>0</v>
      </c>
      <c r="BG269" s="421">
        <v>0</v>
      </c>
      <c r="BH269" s="419"/>
      <c r="BI269" s="421">
        <v>0</v>
      </c>
      <c r="BJ269" s="419"/>
      <c r="BK269" s="421">
        <v>438.84</v>
      </c>
      <c r="BL269" s="421">
        <v>32233</v>
      </c>
      <c r="BM269" s="421">
        <v>-26304.62</v>
      </c>
      <c r="BN269" s="419"/>
      <c r="BO269" s="421">
        <v>295977.30180672323</v>
      </c>
      <c r="BP269" s="421">
        <v>114134</v>
      </c>
      <c r="BQ269" s="421">
        <v>37115</v>
      </c>
      <c r="BR269" s="421">
        <v>107131.66346656052</v>
      </c>
      <c r="BS269" s="421">
        <v>5615.056836758378</v>
      </c>
      <c r="BT269" s="421">
        <v>13408.48778940565</v>
      </c>
      <c r="BU269" s="421">
        <v>38983.78110031201</v>
      </c>
      <c r="BV269" s="421">
        <v>70506.5568337633</v>
      </c>
      <c r="BW269" s="421">
        <v>98486.0367708824</v>
      </c>
      <c r="BX269" s="421">
        <v>37722.66417145874</v>
      </c>
      <c r="BY269" s="421">
        <v>57139.295304500825</v>
      </c>
      <c r="BZ269" s="419"/>
      <c r="CA269" s="421">
        <v>10935.00820648672</v>
      </c>
      <c r="CB269" s="419"/>
      <c r="CC269" s="419"/>
      <c r="CD269" s="419"/>
      <c r="CE269" s="421">
        <v>79861.96357632018</v>
      </c>
      <c r="CF269" s="421">
        <v>40449.21798140427</v>
      </c>
      <c r="CG269" s="421">
        <v>49798.3714659828</v>
      </c>
      <c r="CH269" s="421">
        <v>-5710.888891496874</v>
      </c>
      <c r="CI269" s="419"/>
      <c r="CJ269" s="421">
        <v>828504.4524861794</v>
      </c>
      <c r="CK269" s="421">
        <v>409504</v>
      </c>
      <c r="CL269" s="421">
        <v>77503.088</v>
      </c>
      <c r="CM269" s="421">
        <v>14904.44</v>
      </c>
      <c r="CN269" s="421">
        <v>62598.648</v>
      </c>
      <c r="CO269" s="419"/>
      <c r="CP269" s="419"/>
      <c r="CQ269" s="419"/>
      <c r="CR269" s="171">
        <v>292</v>
      </c>
    </row>
    <row r="270" spans="1:96" ht="9.75">
      <c r="A270" s="203">
        <v>892</v>
      </c>
      <c r="B270" s="203" t="s">
        <v>325</v>
      </c>
      <c r="C270" s="421">
        <v>3646</v>
      </c>
      <c r="D270" s="419"/>
      <c r="E270" s="419"/>
      <c r="F270" s="419"/>
      <c r="G270" s="419"/>
      <c r="H270" s="500">
        <v>4291.05</v>
      </c>
      <c r="I270" s="419"/>
      <c r="J270" s="419"/>
      <c r="K270" s="419"/>
      <c r="L270" s="419"/>
      <c r="M270" s="419"/>
      <c r="N270" s="419"/>
      <c r="O270" s="419"/>
      <c r="P270" s="419"/>
      <c r="Q270" s="421">
        <v>318</v>
      </c>
      <c r="R270" s="421">
        <v>56</v>
      </c>
      <c r="S270" s="421">
        <v>436</v>
      </c>
      <c r="T270" s="421">
        <v>173</v>
      </c>
      <c r="U270" s="421">
        <v>130</v>
      </c>
      <c r="V270" s="421">
        <v>1798</v>
      </c>
      <c r="W270" s="421">
        <v>446</v>
      </c>
      <c r="X270" s="421">
        <v>219</v>
      </c>
      <c r="Y270" s="421">
        <v>70</v>
      </c>
      <c r="Z270" s="419"/>
      <c r="AA270" s="419"/>
      <c r="AB270" s="419"/>
      <c r="AC270" s="419"/>
      <c r="AD270" s="419"/>
      <c r="AE270" s="422">
        <v>0.851462870774302</v>
      </c>
      <c r="AF270" s="421">
        <v>4127717.178400028</v>
      </c>
      <c r="AG270" s="420">
        <v>192</v>
      </c>
      <c r="AH270" s="420">
        <v>1618</v>
      </c>
      <c r="AJ270" s="420">
        <v>41</v>
      </c>
      <c r="AK270" s="420">
        <v>0.011245200219418541</v>
      </c>
      <c r="AM270" s="420">
        <v>0</v>
      </c>
      <c r="AN270" s="420">
        <v>5</v>
      </c>
      <c r="AP270" s="420">
        <v>0</v>
      </c>
      <c r="AQ270" s="420">
        <v>0</v>
      </c>
      <c r="AR270" s="420">
        <v>347.98</v>
      </c>
      <c r="AU270" s="420">
        <v>104</v>
      </c>
      <c r="AV270" s="420">
        <v>1145</v>
      </c>
      <c r="AW270" s="420">
        <v>0.09082969432314411</v>
      </c>
      <c r="AY270" s="420">
        <v>0</v>
      </c>
      <c r="AZ270" s="421">
        <v>845</v>
      </c>
      <c r="BA270" s="420">
        <v>1388</v>
      </c>
      <c r="BB270" s="420">
        <v>0.6087896253602305</v>
      </c>
      <c r="BD270" s="420">
        <v>0</v>
      </c>
      <c r="BE270" s="420">
        <v>0</v>
      </c>
      <c r="BF270" s="421">
        <v>0</v>
      </c>
      <c r="BG270" s="421">
        <v>0</v>
      </c>
      <c r="BH270" s="419"/>
      <c r="BI270" s="421">
        <v>0</v>
      </c>
      <c r="BJ270" s="419"/>
      <c r="BK270" s="421">
        <v>1312.56</v>
      </c>
      <c r="BL270" s="421">
        <v>67444</v>
      </c>
      <c r="BM270" s="421">
        <v>-89598.935</v>
      </c>
      <c r="BN270" s="419"/>
      <c r="BO270" s="421">
        <v>63468.46938453615</v>
      </c>
      <c r="BP270" s="421">
        <v>285316</v>
      </c>
      <c r="BQ270" s="421">
        <v>92849</v>
      </c>
      <c r="BR270" s="421">
        <v>221767.09672598483</v>
      </c>
      <c r="BS270" s="421">
        <v>8071.591759540226</v>
      </c>
      <c r="BT270" s="421">
        <v>27328.93024877923</v>
      </c>
      <c r="BU270" s="421">
        <v>100574.92665356949</v>
      </c>
      <c r="BV270" s="421">
        <v>184187.12894500932</v>
      </c>
      <c r="BW270" s="421">
        <v>273073.42582165677</v>
      </c>
      <c r="BX270" s="421">
        <v>69107.0166599702</v>
      </c>
      <c r="BY270" s="421">
        <v>146158.3446623623</v>
      </c>
      <c r="BZ270" s="419"/>
      <c r="CA270" s="421">
        <v>12574.74461285055</v>
      </c>
      <c r="CB270" s="419"/>
      <c r="CC270" s="419"/>
      <c r="CD270" s="419"/>
      <c r="CE270" s="421">
        <v>193114.12923133516</v>
      </c>
      <c r="CF270" s="421">
        <v>121137.91733610042</v>
      </c>
      <c r="CG270" s="421">
        <v>143826.62994434894</v>
      </c>
      <c r="CH270" s="421">
        <v>-14098.435944132369</v>
      </c>
      <c r="CI270" s="419"/>
      <c r="CJ270" s="421">
        <v>3550559.617901456</v>
      </c>
      <c r="CK270" s="421">
        <v>-623488</v>
      </c>
      <c r="CL270" s="421">
        <v>76087.1662</v>
      </c>
      <c r="CM270" s="421">
        <v>62151.514800000004</v>
      </c>
      <c r="CN270" s="421">
        <v>13935.651400000002</v>
      </c>
      <c r="CO270" s="419"/>
      <c r="CP270" s="419"/>
      <c r="CQ270" s="419"/>
      <c r="CR270" s="171">
        <v>1317</v>
      </c>
    </row>
    <row r="271" spans="1:96" ht="9.75">
      <c r="A271" s="203">
        <v>893</v>
      </c>
      <c r="B271" s="203" t="s">
        <v>326</v>
      </c>
      <c r="C271" s="421">
        <v>7479</v>
      </c>
      <c r="D271" s="419"/>
      <c r="E271" s="419"/>
      <c r="F271" s="419"/>
      <c r="G271" s="419"/>
      <c r="H271" s="500">
        <v>4291.05</v>
      </c>
      <c r="I271" s="419"/>
      <c r="J271" s="419"/>
      <c r="K271" s="419"/>
      <c r="L271" s="419"/>
      <c r="M271" s="419"/>
      <c r="N271" s="419"/>
      <c r="O271" s="419"/>
      <c r="P271" s="419"/>
      <c r="Q271" s="421">
        <v>486</v>
      </c>
      <c r="R271" s="421">
        <v>98</v>
      </c>
      <c r="S271" s="421">
        <v>583</v>
      </c>
      <c r="T271" s="421">
        <v>278</v>
      </c>
      <c r="U271" s="421">
        <v>242</v>
      </c>
      <c r="V271" s="421">
        <v>3871</v>
      </c>
      <c r="W271" s="421">
        <v>1000</v>
      </c>
      <c r="X271" s="421">
        <v>633</v>
      </c>
      <c r="Y271" s="421">
        <v>288</v>
      </c>
      <c r="Z271" s="419"/>
      <c r="AA271" s="419"/>
      <c r="AB271" s="419"/>
      <c r="AC271" s="419"/>
      <c r="AD271" s="419"/>
      <c r="AE271" s="422">
        <v>0.9186633407916249</v>
      </c>
      <c r="AF271" s="421">
        <v>9135397.994952744</v>
      </c>
      <c r="AG271" s="420">
        <v>222</v>
      </c>
      <c r="AH271" s="420">
        <v>3444</v>
      </c>
      <c r="AJ271" s="420">
        <v>587</v>
      </c>
      <c r="AK271" s="420">
        <v>0.07848642866693409</v>
      </c>
      <c r="AM271" s="420">
        <v>3</v>
      </c>
      <c r="AN271" s="420">
        <v>6399</v>
      </c>
      <c r="AP271" s="420">
        <v>0</v>
      </c>
      <c r="AQ271" s="420">
        <v>0</v>
      </c>
      <c r="AR271" s="420">
        <v>732.7</v>
      </c>
      <c r="AU271" s="420">
        <v>347</v>
      </c>
      <c r="AV271" s="420">
        <v>2253</v>
      </c>
      <c r="AW271" s="420">
        <v>0.15401686640035508</v>
      </c>
      <c r="AY271" s="420">
        <v>0</v>
      </c>
      <c r="AZ271" s="421">
        <v>3306</v>
      </c>
      <c r="BA271" s="420">
        <v>3269</v>
      </c>
      <c r="BB271" s="420">
        <v>1.0113184460079534</v>
      </c>
      <c r="BD271" s="420">
        <v>0</v>
      </c>
      <c r="BE271" s="420">
        <v>0</v>
      </c>
      <c r="BF271" s="421">
        <v>0</v>
      </c>
      <c r="BG271" s="421">
        <v>0</v>
      </c>
      <c r="BH271" s="419"/>
      <c r="BI271" s="421">
        <v>0</v>
      </c>
      <c r="BJ271" s="419"/>
      <c r="BK271" s="421">
        <v>2692.44</v>
      </c>
      <c r="BL271" s="421">
        <v>-69710</v>
      </c>
      <c r="BM271" s="421">
        <v>-90791.175</v>
      </c>
      <c r="BN271" s="419"/>
      <c r="BO271" s="421">
        <v>113972.07233760692</v>
      </c>
      <c r="BP271" s="421">
        <v>659086</v>
      </c>
      <c r="BQ271" s="421">
        <v>245210</v>
      </c>
      <c r="BR271" s="421">
        <v>624224.0978398636</v>
      </c>
      <c r="BS271" s="421">
        <v>31886.17452603681</v>
      </c>
      <c r="BT271" s="421">
        <v>51936.5584288604</v>
      </c>
      <c r="BU271" s="421">
        <v>220299.48727579231</v>
      </c>
      <c r="BV271" s="421">
        <v>462578.72966419393</v>
      </c>
      <c r="BW271" s="421">
        <v>711571.955157124</v>
      </c>
      <c r="BX271" s="421">
        <v>227956.0897390783</v>
      </c>
      <c r="BY271" s="421">
        <v>371049.7601439036</v>
      </c>
      <c r="BZ271" s="419"/>
      <c r="CA271" s="421">
        <v>-162023.92617344484</v>
      </c>
      <c r="CB271" s="419"/>
      <c r="CC271" s="419"/>
      <c r="CD271" s="419"/>
      <c r="CE271" s="421">
        <v>509650.7039329666</v>
      </c>
      <c r="CF271" s="421">
        <v>290235.61251873686</v>
      </c>
      <c r="CG271" s="421">
        <v>358976.28362566663</v>
      </c>
      <c r="CH271" s="421">
        <v>-30949.164183900084</v>
      </c>
      <c r="CI271" s="419"/>
      <c r="CJ271" s="421">
        <v>5070307.985960275</v>
      </c>
      <c r="CK271" s="421">
        <v>-368958</v>
      </c>
      <c r="CL271" s="421">
        <v>147553.956</v>
      </c>
      <c r="CM271" s="421">
        <v>254865.92400000003</v>
      </c>
      <c r="CN271" s="421">
        <v>-107311.96800000002</v>
      </c>
      <c r="CO271" s="419"/>
      <c r="CP271" s="419"/>
      <c r="CQ271" s="419"/>
      <c r="CR271" s="171">
        <v>2353</v>
      </c>
    </row>
    <row r="272" spans="1:96" ht="9.75">
      <c r="A272" s="203">
        <v>895</v>
      </c>
      <c r="B272" s="203" t="s">
        <v>327</v>
      </c>
      <c r="C272" s="421">
        <v>15378</v>
      </c>
      <c r="D272" s="419"/>
      <c r="E272" s="419"/>
      <c r="F272" s="419"/>
      <c r="G272" s="419"/>
      <c r="H272" s="500">
        <v>4291.05</v>
      </c>
      <c r="I272" s="419"/>
      <c r="J272" s="419"/>
      <c r="K272" s="419"/>
      <c r="L272" s="419"/>
      <c r="M272" s="419"/>
      <c r="N272" s="419"/>
      <c r="O272" s="419"/>
      <c r="P272" s="419"/>
      <c r="Q272" s="421">
        <v>690</v>
      </c>
      <c r="R272" s="421">
        <v>152</v>
      </c>
      <c r="S272" s="421">
        <v>894</v>
      </c>
      <c r="T272" s="421">
        <v>456</v>
      </c>
      <c r="U272" s="421">
        <v>417</v>
      </c>
      <c r="V272" s="421">
        <v>8262</v>
      </c>
      <c r="W272" s="421">
        <v>2551</v>
      </c>
      <c r="X272" s="421">
        <v>1434</v>
      </c>
      <c r="Y272" s="421">
        <v>522</v>
      </c>
      <c r="Z272" s="419"/>
      <c r="AA272" s="419"/>
      <c r="AB272" s="419"/>
      <c r="AC272" s="419"/>
      <c r="AD272" s="419"/>
      <c r="AE272" s="422">
        <v>1.1655495837146426</v>
      </c>
      <c r="AF272" s="421">
        <v>23831872.265621148</v>
      </c>
      <c r="AG272" s="420">
        <v>888</v>
      </c>
      <c r="AH272" s="420">
        <v>7437</v>
      </c>
      <c r="AJ272" s="420">
        <v>1012</v>
      </c>
      <c r="AK272" s="420">
        <v>0.06580829756795423</v>
      </c>
      <c r="AM272" s="420">
        <v>0</v>
      </c>
      <c r="AN272" s="420">
        <v>60</v>
      </c>
      <c r="AP272" s="420">
        <v>3</v>
      </c>
      <c r="AQ272" s="420">
        <v>661</v>
      </c>
      <c r="AR272" s="420">
        <v>502.93</v>
      </c>
      <c r="AU272" s="420">
        <v>710</v>
      </c>
      <c r="AV272" s="420">
        <v>4439</v>
      </c>
      <c r="AW272" s="420">
        <v>0.15994593376886687</v>
      </c>
      <c r="AY272" s="420">
        <v>0</v>
      </c>
      <c r="AZ272" s="421">
        <v>7359</v>
      </c>
      <c r="BA272" s="420">
        <v>6108</v>
      </c>
      <c r="BB272" s="420">
        <v>1.2048133595284873</v>
      </c>
      <c r="BD272" s="420">
        <v>0</v>
      </c>
      <c r="BE272" s="420">
        <v>1</v>
      </c>
      <c r="BF272" s="421">
        <v>0</v>
      </c>
      <c r="BG272" s="421">
        <v>0</v>
      </c>
      <c r="BH272" s="419"/>
      <c r="BI272" s="421">
        <v>0</v>
      </c>
      <c r="BJ272" s="419"/>
      <c r="BK272" s="421">
        <v>5536.08</v>
      </c>
      <c r="BL272" s="421">
        <v>166575</v>
      </c>
      <c r="BM272" s="421">
        <v>-560099.31015</v>
      </c>
      <c r="BN272" s="419"/>
      <c r="BO272" s="421">
        <v>-127042.48566932231</v>
      </c>
      <c r="BP272" s="421">
        <v>1109415</v>
      </c>
      <c r="BQ272" s="421">
        <v>399076</v>
      </c>
      <c r="BR272" s="421">
        <v>905475.307138261</v>
      </c>
      <c r="BS272" s="421">
        <v>41384.80129070485</v>
      </c>
      <c r="BT272" s="421">
        <v>80168.54506648163</v>
      </c>
      <c r="BU272" s="421">
        <v>432683.95358545834</v>
      </c>
      <c r="BV272" s="421">
        <v>714318.2047305912</v>
      </c>
      <c r="BW272" s="421">
        <v>1333112.8678891251</v>
      </c>
      <c r="BX272" s="421">
        <v>405710.0888038961</v>
      </c>
      <c r="BY272" s="421">
        <v>650287.3567031103</v>
      </c>
      <c r="BZ272" s="419"/>
      <c r="CA272" s="421">
        <v>-91472.68700469522</v>
      </c>
      <c r="CB272" s="419"/>
      <c r="CC272" s="419"/>
      <c r="CD272" s="419"/>
      <c r="CE272" s="421">
        <v>850005.0122777857</v>
      </c>
      <c r="CF272" s="421">
        <v>546874.3549347755</v>
      </c>
      <c r="CG272" s="421">
        <v>700637.5510475808</v>
      </c>
      <c r="CH272" s="421">
        <v>-75541.3989351366</v>
      </c>
      <c r="CI272" s="419"/>
      <c r="CJ272" s="421">
        <v>3589945.4557751114</v>
      </c>
      <c r="CK272" s="421">
        <v>-1740885</v>
      </c>
      <c r="CL272" s="421">
        <v>314558.2062000001</v>
      </c>
      <c r="CM272" s="421">
        <v>229528.37600000002</v>
      </c>
      <c r="CN272" s="421">
        <v>85029.83020000005</v>
      </c>
      <c r="CO272" s="419"/>
      <c r="CP272" s="419"/>
      <c r="CQ272" s="419"/>
      <c r="CR272" s="171">
        <v>3984</v>
      </c>
    </row>
    <row r="273" spans="1:96" ht="9.75">
      <c r="A273" s="203">
        <v>785</v>
      </c>
      <c r="B273" s="203" t="s">
        <v>328</v>
      </c>
      <c r="C273" s="421">
        <v>2737</v>
      </c>
      <c r="D273" s="419"/>
      <c r="E273" s="419"/>
      <c r="F273" s="419"/>
      <c r="G273" s="419"/>
      <c r="H273" s="500">
        <v>4291.05</v>
      </c>
      <c r="I273" s="419"/>
      <c r="J273" s="419"/>
      <c r="K273" s="419"/>
      <c r="L273" s="419"/>
      <c r="M273" s="419"/>
      <c r="N273" s="419"/>
      <c r="O273" s="419"/>
      <c r="P273" s="419"/>
      <c r="Q273" s="421">
        <v>102</v>
      </c>
      <c r="R273" s="421">
        <v>21</v>
      </c>
      <c r="S273" s="421">
        <v>131</v>
      </c>
      <c r="T273" s="421">
        <v>83</v>
      </c>
      <c r="U273" s="421">
        <v>88</v>
      </c>
      <c r="V273" s="421">
        <v>1287</v>
      </c>
      <c r="W273" s="421">
        <v>570</v>
      </c>
      <c r="X273" s="421">
        <v>329</v>
      </c>
      <c r="Y273" s="421">
        <v>126</v>
      </c>
      <c r="Z273" s="419"/>
      <c r="AA273" s="419"/>
      <c r="AB273" s="419"/>
      <c r="AC273" s="419"/>
      <c r="AD273" s="419"/>
      <c r="AE273" s="422">
        <v>1.7342661103754284</v>
      </c>
      <c r="AF273" s="421">
        <v>6311289.295668567</v>
      </c>
      <c r="AG273" s="420">
        <v>164</v>
      </c>
      <c r="AH273" s="420">
        <v>1058</v>
      </c>
      <c r="AJ273" s="420">
        <v>25</v>
      </c>
      <c r="AK273" s="420">
        <v>0.009134088417975887</v>
      </c>
      <c r="AM273" s="420">
        <v>0</v>
      </c>
      <c r="AN273" s="420">
        <v>1</v>
      </c>
      <c r="AP273" s="420">
        <v>3</v>
      </c>
      <c r="AQ273" s="420">
        <v>83</v>
      </c>
      <c r="AR273" s="420">
        <v>1302.38</v>
      </c>
      <c r="AU273" s="420">
        <v>64</v>
      </c>
      <c r="AV273" s="420">
        <v>583</v>
      </c>
      <c r="AW273" s="420">
        <v>0.1097770154373928</v>
      </c>
      <c r="AY273" s="420">
        <v>1.5075</v>
      </c>
      <c r="AZ273" s="421">
        <v>836</v>
      </c>
      <c r="BA273" s="420">
        <v>846</v>
      </c>
      <c r="BB273" s="420">
        <v>0.9881796690307328</v>
      </c>
      <c r="BD273" s="420">
        <v>0</v>
      </c>
      <c r="BE273" s="420">
        <v>0</v>
      </c>
      <c r="BF273" s="421">
        <v>0</v>
      </c>
      <c r="BG273" s="421">
        <v>0</v>
      </c>
      <c r="BH273" s="419"/>
      <c r="BI273" s="421">
        <v>0</v>
      </c>
      <c r="BJ273" s="419"/>
      <c r="BK273" s="421">
        <v>985.3199999999999</v>
      </c>
      <c r="BL273" s="421">
        <v>87467</v>
      </c>
      <c r="BM273" s="421">
        <v>-97250.74</v>
      </c>
      <c r="BN273" s="419"/>
      <c r="BO273" s="421">
        <v>-70951.2395362258</v>
      </c>
      <c r="BP273" s="421">
        <v>310888</v>
      </c>
      <c r="BQ273" s="421">
        <v>92189</v>
      </c>
      <c r="BR273" s="421">
        <v>250966.4378107918</v>
      </c>
      <c r="BS273" s="421">
        <v>15001.394378429974</v>
      </c>
      <c r="BT273" s="421">
        <v>44539.947269726195</v>
      </c>
      <c r="BU273" s="421">
        <v>126757.85397782503</v>
      </c>
      <c r="BV273" s="421">
        <v>154052.91971320764</v>
      </c>
      <c r="BW273" s="421">
        <v>270595.83848855575</v>
      </c>
      <c r="BX273" s="421">
        <v>75512.61194520385</v>
      </c>
      <c r="BY273" s="421">
        <v>145181.5206986564</v>
      </c>
      <c r="BZ273" s="419"/>
      <c r="CA273" s="421">
        <v>703.881111150291</v>
      </c>
      <c r="CB273" s="419"/>
      <c r="CC273" s="419"/>
      <c r="CD273" s="419"/>
      <c r="CE273" s="421">
        <v>186903.6427671945</v>
      </c>
      <c r="CF273" s="421">
        <v>97959.4309925268</v>
      </c>
      <c r="CG273" s="421">
        <v>114712.17453550686</v>
      </c>
      <c r="CH273" s="421">
        <v>-12877.240530084217</v>
      </c>
      <c r="CI273" s="419"/>
      <c r="CJ273" s="421">
        <v>2661956.1371458564</v>
      </c>
      <c r="CK273" s="421">
        <v>113631</v>
      </c>
      <c r="CL273" s="421">
        <v>23847.104000000003</v>
      </c>
      <c r="CM273" s="421">
        <v>62673.1702</v>
      </c>
      <c r="CN273" s="421">
        <v>-38826.0662</v>
      </c>
      <c r="CO273" s="419"/>
      <c r="CP273" s="419"/>
      <c r="CQ273" s="419"/>
      <c r="CR273" s="171">
        <v>592</v>
      </c>
    </row>
    <row r="274" spans="1:96" ht="9.75">
      <c r="A274" s="203">
        <v>905</v>
      </c>
      <c r="B274" s="203" t="s">
        <v>329</v>
      </c>
      <c r="C274" s="421">
        <v>67551</v>
      </c>
      <c r="D274" s="419"/>
      <c r="E274" s="419"/>
      <c r="F274" s="419"/>
      <c r="G274" s="419"/>
      <c r="H274" s="500">
        <v>4291.05</v>
      </c>
      <c r="I274" s="419"/>
      <c r="J274" s="419"/>
      <c r="K274" s="419"/>
      <c r="L274" s="419"/>
      <c r="M274" s="419"/>
      <c r="N274" s="419"/>
      <c r="O274" s="419"/>
      <c r="P274" s="419"/>
      <c r="Q274" s="421">
        <v>3653</v>
      </c>
      <c r="R274" s="421">
        <v>695</v>
      </c>
      <c r="S274" s="421">
        <v>4339</v>
      </c>
      <c r="T274" s="421">
        <v>2172</v>
      </c>
      <c r="U274" s="421">
        <v>2212</v>
      </c>
      <c r="V274" s="421">
        <v>40549</v>
      </c>
      <c r="W274" s="421">
        <v>7528</v>
      </c>
      <c r="X274" s="421">
        <v>4490</v>
      </c>
      <c r="Y274" s="421">
        <v>1913</v>
      </c>
      <c r="Z274" s="419"/>
      <c r="AA274" s="419"/>
      <c r="AB274" s="419"/>
      <c r="AC274" s="419"/>
      <c r="AD274" s="419"/>
      <c r="AE274" s="422">
        <v>0.8904587368800305</v>
      </c>
      <c r="AF274" s="421">
        <v>79978477.98464699</v>
      </c>
      <c r="AG274" s="420">
        <v>4174</v>
      </c>
      <c r="AH274" s="420">
        <v>32821</v>
      </c>
      <c r="AJ274" s="420">
        <v>6261</v>
      </c>
      <c r="AK274" s="420">
        <v>0.09268552649109561</v>
      </c>
      <c r="AM274" s="420">
        <v>1</v>
      </c>
      <c r="AN274" s="420">
        <v>15799</v>
      </c>
      <c r="AP274" s="420">
        <v>0</v>
      </c>
      <c r="AQ274" s="420">
        <v>0</v>
      </c>
      <c r="AR274" s="420">
        <v>364.72</v>
      </c>
      <c r="AU274" s="420">
        <v>2343</v>
      </c>
      <c r="AV274" s="420">
        <v>20601</v>
      </c>
      <c r="AW274" s="420">
        <v>0.11373234309014126</v>
      </c>
      <c r="AY274" s="420">
        <v>0</v>
      </c>
      <c r="AZ274" s="421">
        <v>37070</v>
      </c>
      <c r="BA274" s="420">
        <v>29899</v>
      </c>
      <c r="BB274" s="420">
        <v>1.2398407973510819</v>
      </c>
      <c r="BD274" s="420">
        <v>0</v>
      </c>
      <c r="BE274" s="420">
        <v>5</v>
      </c>
      <c r="BF274" s="421">
        <v>0</v>
      </c>
      <c r="BG274" s="421">
        <v>0</v>
      </c>
      <c r="BH274" s="419"/>
      <c r="BI274" s="421">
        <v>0</v>
      </c>
      <c r="BJ274" s="419"/>
      <c r="BK274" s="421">
        <v>24318.36</v>
      </c>
      <c r="BL274" s="421">
        <v>-766334</v>
      </c>
      <c r="BM274" s="421">
        <v>-4086212.08535</v>
      </c>
      <c r="BN274" s="419"/>
      <c r="BO274" s="421">
        <v>274345.0710465126</v>
      </c>
      <c r="BP274" s="421">
        <v>4274447</v>
      </c>
      <c r="BQ274" s="421">
        <v>1565331</v>
      </c>
      <c r="BR274" s="421">
        <v>3626619.6572058755</v>
      </c>
      <c r="BS274" s="421">
        <v>138381.79957621533</v>
      </c>
      <c r="BT274" s="421">
        <v>123045.09646081526</v>
      </c>
      <c r="BU274" s="421">
        <v>1613817.4548447337</v>
      </c>
      <c r="BV274" s="421">
        <v>3371237.1497896183</v>
      </c>
      <c r="BW274" s="421">
        <v>4725068.448890915</v>
      </c>
      <c r="BX274" s="421">
        <v>1837727.4642141988</v>
      </c>
      <c r="BY274" s="421">
        <v>2936288.512976931</v>
      </c>
      <c r="BZ274" s="419"/>
      <c r="CA274" s="421">
        <v>-840885.2810073787</v>
      </c>
      <c r="CB274" s="419"/>
      <c r="CC274" s="419"/>
      <c r="CD274" s="419"/>
      <c r="CE274" s="421">
        <v>3823606.4028757033</v>
      </c>
      <c r="CF274" s="421">
        <v>2350331.8286576266</v>
      </c>
      <c r="CG274" s="421">
        <v>2964883.4782255073</v>
      </c>
      <c r="CH274" s="421">
        <v>-343505.37383962306</v>
      </c>
      <c r="CI274" s="419"/>
      <c r="CJ274" s="421">
        <v>4899518.937866378</v>
      </c>
      <c r="CK274" s="421">
        <v>26585586</v>
      </c>
      <c r="CL274" s="421">
        <v>1393714.1843999994</v>
      </c>
      <c r="CM274" s="421">
        <v>7141454.97378</v>
      </c>
      <c r="CN274" s="421">
        <v>-5747740.78938</v>
      </c>
      <c r="CO274" s="419"/>
      <c r="CP274" s="419"/>
      <c r="CQ274" s="419"/>
      <c r="CR274" s="171">
        <v>24677</v>
      </c>
    </row>
    <row r="275" spans="1:96" ht="9.75">
      <c r="A275" s="203">
        <v>908</v>
      </c>
      <c r="B275" s="203" t="s">
        <v>330</v>
      </c>
      <c r="C275" s="421">
        <v>20765</v>
      </c>
      <c r="D275" s="419"/>
      <c r="E275" s="419"/>
      <c r="F275" s="419"/>
      <c r="G275" s="419"/>
      <c r="H275" s="500">
        <v>4291.05</v>
      </c>
      <c r="I275" s="419"/>
      <c r="J275" s="419"/>
      <c r="K275" s="419"/>
      <c r="L275" s="419"/>
      <c r="M275" s="419"/>
      <c r="N275" s="419"/>
      <c r="O275" s="419"/>
      <c r="P275" s="419"/>
      <c r="Q275" s="421">
        <v>995</v>
      </c>
      <c r="R275" s="421">
        <v>240</v>
      </c>
      <c r="S275" s="421">
        <v>1498</v>
      </c>
      <c r="T275" s="421">
        <v>738</v>
      </c>
      <c r="U275" s="421">
        <v>686</v>
      </c>
      <c r="V275" s="421">
        <v>10858</v>
      </c>
      <c r="W275" s="421">
        <v>3207</v>
      </c>
      <c r="X275" s="421">
        <v>1826</v>
      </c>
      <c r="Y275" s="421">
        <v>717</v>
      </c>
      <c r="Z275" s="419"/>
      <c r="AA275" s="419"/>
      <c r="AB275" s="419"/>
      <c r="AC275" s="419"/>
      <c r="AD275" s="419"/>
      <c r="AE275" s="422">
        <v>1.0990755150443916</v>
      </c>
      <c r="AF275" s="421">
        <v>30344991.57780376</v>
      </c>
      <c r="AG275" s="420">
        <v>1135</v>
      </c>
      <c r="AH275" s="420">
        <v>9075</v>
      </c>
      <c r="AJ275" s="420">
        <v>702</v>
      </c>
      <c r="AK275" s="420">
        <v>0.03380688658800867</v>
      </c>
      <c r="AM275" s="420">
        <v>0</v>
      </c>
      <c r="AN275" s="420">
        <v>40</v>
      </c>
      <c r="AP275" s="420">
        <v>0</v>
      </c>
      <c r="AQ275" s="420">
        <v>0</v>
      </c>
      <c r="AR275" s="420">
        <v>272.05</v>
      </c>
      <c r="AU275" s="420">
        <v>584</v>
      </c>
      <c r="AV275" s="420">
        <v>6278</v>
      </c>
      <c r="AW275" s="420">
        <v>0.09302325581395349</v>
      </c>
      <c r="AY275" s="420">
        <v>0</v>
      </c>
      <c r="AZ275" s="421">
        <v>6716</v>
      </c>
      <c r="BA275" s="420">
        <v>8172</v>
      </c>
      <c r="BB275" s="420">
        <v>0.8218306412139011</v>
      </c>
      <c r="BD275" s="420">
        <v>0</v>
      </c>
      <c r="BE275" s="420">
        <v>2</v>
      </c>
      <c r="BF275" s="421">
        <v>0</v>
      </c>
      <c r="BG275" s="421">
        <v>0</v>
      </c>
      <c r="BH275" s="419"/>
      <c r="BI275" s="421">
        <v>0</v>
      </c>
      <c r="BJ275" s="419"/>
      <c r="BK275" s="421">
        <v>7475.4</v>
      </c>
      <c r="BL275" s="421">
        <v>606941</v>
      </c>
      <c r="BM275" s="421">
        <v>-980007.21125</v>
      </c>
      <c r="BN275" s="419"/>
      <c r="BO275" s="421">
        <v>29654.960622604936</v>
      </c>
      <c r="BP275" s="421">
        <v>1300662</v>
      </c>
      <c r="BQ275" s="421">
        <v>441444</v>
      </c>
      <c r="BR275" s="421">
        <v>804355.6399916415</v>
      </c>
      <c r="BS275" s="421">
        <v>27221.020783908443</v>
      </c>
      <c r="BT275" s="421">
        <v>143785.4359805037</v>
      </c>
      <c r="BU275" s="421">
        <v>492082.1333048082</v>
      </c>
      <c r="BV275" s="421">
        <v>907246.1630341989</v>
      </c>
      <c r="BW275" s="421">
        <v>1486362.2494838221</v>
      </c>
      <c r="BX275" s="421">
        <v>409666.72623455676</v>
      </c>
      <c r="BY275" s="421">
        <v>765592.4018031876</v>
      </c>
      <c r="BZ275" s="419"/>
      <c r="CA275" s="421">
        <v>113355.31144835742</v>
      </c>
      <c r="CB275" s="419"/>
      <c r="CC275" s="419"/>
      <c r="CD275" s="419"/>
      <c r="CE275" s="421">
        <v>907560.136237351</v>
      </c>
      <c r="CF275" s="421">
        <v>608028.120322808</v>
      </c>
      <c r="CG275" s="421">
        <v>796648.9826690862</v>
      </c>
      <c r="CH275" s="421">
        <v>-99297.92905006536</v>
      </c>
      <c r="CI275" s="419"/>
      <c r="CJ275" s="421">
        <v>4212433.148926671</v>
      </c>
      <c r="CK275" s="421">
        <v>883573</v>
      </c>
      <c r="CL275" s="421">
        <v>503919.11640000006</v>
      </c>
      <c r="CM275" s="421">
        <v>733462.3968400001</v>
      </c>
      <c r="CN275" s="421">
        <v>-229543.28044</v>
      </c>
      <c r="CO275" s="419"/>
      <c r="CP275" s="419"/>
      <c r="CQ275" s="419"/>
      <c r="CR275" s="171">
        <v>5952</v>
      </c>
    </row>
    <row r="276" spans="1:96" ht="9.75">
      <c r="A276" s="203">
        <v>92</v>
      </c>
      <c r="B276" s="203" t="s">
        <v>331</v>
      </c>
      <c r="C276" s="421">
        <v>237231</v>
      </c>
      <c r="D276" s="419"/>
      <c r="E276" s="419"/>
      <c r="F276" s="419"/>
      <c r="G276" s="419"/>
      <c r="H276" s="500">
        <v>4291.05</v>
      </c>
      <c r="I276" s="419"/>
      <c r="J276" s="419"/>
      <c r="K276" s="419"/>
      <c r="L276" s="419"/>
      <c r="M276" s="419"/>
      <c r="N276" s="419"/>
      <c r="O276" s="419"/>
      <c r="P276" s="419"/>
      <c r="Q276" s="421">
        <v>15661</v>
      </c>
      <c r="R276" s="421">
        <v>2810</v>
      </c>
      <c r="S276" s="421">
        <v>16793</v>
      </c>
      <c r="T276" s="421">
        <v>8055</v>
      </c>
      <c r="U276" s="421">
        <v>7816</v>
      </c>
      <c r="V276" s="421">
        <v>149297</v>
      </c>
      <c r="W276" s="421">
        <v>21670</v>
      </c>
      <c r="X276" s="421">
        <v>11713</v>
      </c>
      <c r="Y276" s="421">
        <v>3416</v>
      </c>
      <c r="Z276" s="419"/>
      <c r="AA276" s="419"/>
      <c r="AB276" s="419"/>
      <c r="AC276" s="419"/>
      <c r="AD276" s="419"/>
      <c r="AE276" s="422">
        <v>0.7027204841295287</v>
      </c>
      <c r="AF276" s="421">
        <v>221657079.23323366</v>
      </c>
      <c r="AG276" s="420">
        <v>17624</v>
      </c>
      <c r="AH276" s="420">
        <v>121688</v>
      </c>
      <c r="AJ276" s="420">
        <v>51160</v>
      </c>
      <c r="AK276" s="420">
        <v>0.21565478373399766</v>
      </c>
      <c r="AM276" s="420">
        <v>1</v>
      </c>
      <c r="AN276" s="420">
        <v>5579</v>
      </c>
      <c r="AP276" s="420">
        <v>0</v>
      </c>
      <c r="AQ276" s="420">
        <v>0</v>
      </c>
      <c r="AR276" s="420">
        <v>238.37</v>
      </c>
      <c r="AU276" s="420">
        <v>19162</v>
      </c>
      <c r="AV276" s="420">
        <v>85895</v>
      </c>
      <c r="AW276" s="420">
        <v>0.22308632632865708</v>
      </c>
      <c r="AY276" s="420">
        <v>0</v>
      </c>
      <c r="AZ276" s="421">
        <v>122871</v>
      </c>
      <c r="BA276" s="420">
        <v>114973</v>
      </c>
      <c r="BB276" s="420">
        <v>1.068694389117445</v>
      </c>
      <c r="BD276" s="420">
        <v>0</v>
      </c>
      <c r="BE276" s="420">
        <v>21</v>
      </c>
      <c r="BF276" s="421">
        <v>0</v>
      </c>
      <c r="BG276" s="421">
        <v>0</v>
      </c>
      <c r="BH276" s="419"/>
      <c r="BI276" s="421">
        <v>0</v>
      </c>
      <c r="BJ276" s="419"/>
      <c r="BK276" s="421">
        <v>85403.16</v>
      </c>
      <c r="BL276" s="421">
        <v>-3024032</v>
      </c>
      <c r="BM276" s="421">
        <v>-26140290.3419</v>
      </c>
      <c r="BN276" s="419"/>
      <c r="BO276" s="421">
        <v>-133128.08959154785</v>
      </c>
      <c r="BP276" s="421">
        <v>10598953</v>
      </c>
      <c r="BQ276" s="421">
        <v>4100799</v>
      </c>
      <c r="BR276" s="421">
        <v>9211292.593758624</v>
      </c>
      <c r="BS276" s="421">
        <v>227178.49044565213</v>
      </c>
      <c r="BT276" s="421">
        <v>82298.47186307986</v>
      </c>
      <c r="BU276" s="421">
        <v>3932399.72004996</v>
      </c>
      <c r="BV276" s="421">
        <v>9755745.8127085</v>
      </c>
      <c r="BW276" s="421">
        <v>13693210.390970083</v>
      </c>
      <c r="BX276" s="421">
        <v>4847253.448079878</v>
      </c>
      <c r="BY276" s="421">
        <v>8400914.958768297</v>
      </c>
      <c r="BZ276" s="419"/>
      <c r="CA276" s="421">
        <v>-536734.7048054747</v>
      </c>
      <c r="CB276" s="419"/>
      <c r="CC276" s="419"/>
      <c r="CD276" s="419"/>
      <c r="CE276" s="421">
        <v>11551527.935120055</v>
      </c>
      <c r="CF276" s="421">
        <v>7717434.096803196</v>
      </c>
      <c r="CG276" s="421">
        <v>9814136.559795648</v>
      </c>
      <c r="CH276" s="421">
        <v>-1217074.8887401246</v>
      </c>
      <c r="CI276" s="419"/>
      <c r="CJ276" s="421">
        <v>-31600824.160850286</v>
      </c>
      <c r="CK276" s="421">
        <v>21742057</v>
      </c>
      <c r="CL276" s="421">
        <v>3890580.4954000013</v>
      </c>
      <c r="CM276" s="421">
        <v>10947993.803352004</v>
      </c>
      <c r="CN276" s="421">
        <v>-7057413.307952003</v>
      </c>
      <c r="CO276" s="419"/>
      <c r="CP276" s="419"/>
      <c r="CQ276" s="419"/>
      <c r="CR276" s="171">
        <v>83418</v>
      </c>
    </row>
    <row r="277" spans="1:96" ht="9.75">
      <c r="A277" s="203">
        <v>915</v>
      </c>
      <c r="B277" s="203" t="s">
        <v>332</v>
      </c>
      <c r="C277" s="421">
        <v>20278</v>
      </c>
      <c r="D277" s="419"/>
      <c r="E277" s="419"/>
      <c r="F277" s="419"/>
      <c r="G277" s="419"/>
      <c r="H277" s="500">
        <v>4291.05</v>
      </c>
      <c r="I277" s="419"/>
      <c r="J277" s="419"/>
      <c r="K277" s="419"/>
      <c r="L277" s="419"/>
      <c r="M277" s="419"/>
      <c r="N277" s="419"/>
      <c r="O277" s="419"/>
      <c r="P277" s="419"/>
      <c r="Q277" s="421">
        <v>792</v>
      </c>
      <c r="R277" s="421">
        <v>162</v>
      </c>
      <c r="S277" s="421">
        <v>1089</v>
      </c>
      <c r="T277" s="421">
        <v>590</v>
      </c>
      <c r="U277" s="421">
        <v>612</v>
      </c>
      <c r="V277" s="421">
        <v>10616</v>
      </c>
      <c r="W277" s="421">
        <v>3579</v>
      </c>
      <c r="X277" s="421">
        <v>1973</v>
      </c>
      <c r="Y277" s="421">
        <v>865</v>
      </c>
      <c r="Z277" s="419"/>
      <c r="AA277" s="419"/>
      <c r="AB277" s="419"/>
      <c r="AC277" s="419"/>
      <c r="AD277" s="419"/>
      <c r="AE277" s="422">
        <v>1.5587187220716454</v>
      </c>
      <c r="AF277" s="421">
        <v>42026229.05257023</v>
      </c>
      <c r="AG277" s="420">
        <v>1315</v>
      </c>
      <c r="AH277" s="420">
        <v>8586</v>
      </c>
      <c r="AJ277" s="420">
        <v>658</v>
      </c>
      <c r="AK277" s="420">
        <v>0.03244895946345794</v>
      </c>
      <c r="AM277" s="420">
        <v>0</v>
      </c>
      <c r="AN277" s="420">
        <v>42</v>
      </c>
      <c r="AP277" s="420">
        <v>0</v>
      </c>
      <c r="AQ277" s="420">
        <v>0</v>
      </c>
      <c r="AR277" s="420">
        <v>385.61</v>
      </c>
      <c r="AU277" s="420">
        <v>720</v>
      </c>
      <c r="AV277" s="420">
        <v>5297</v>
      </c>
      <c r="AW277" s="420">
        <v>0.13592599584670567</v>
      </c>
      <c r="AY277" s="420">
        <v>0</v>
      </c>
      <c r="AZ277" s="421">
        <v>8155</v>
      </c>
      <c r="BA277" s="420">
        <v>7358</v>
      </c>
      <c r="BB277" s="420">
        <v>1.108317477575428</v>
      </c>
      <c r="BD277" s="420">
        <v>0</v>
      </c>
      <c r="BE277" s="420">
        <v>0</v>
      </c>
      <c r="BF277" s="421">
        <v>0</v>
      </c>
      <c r="BG277" s="421">
        <v>0</v>
      </c>
      <c r="BH277" s="419"/>
      <c r="BI277" s="421">
        <v>0</v>
      </c>
      <c r="BJ277" s="419"/>
      <c r="BK277" s="421">
        <v>7300.08</v>
      </c>
      <c r="BL277" s="421">
        <v>496889</v>
      </c>
      <c r="BM277" s="421">
        <v>-1329053.2425</v>
      </c>
      <c r="BN277" s="419"/>
      <c r="BO277" s="421">
        <v>-27351.97135592252</v>
      </c>
      <c r="BP277" s="421">
        <v>1653793</v>
      </c>
      <c r="BQ277" s="421">
        <v>512148</v>
      </c>
      <c r="BR277" s="421">
        <v>1193037.444890245</v>
      </c>
      <c r="BS277" s="421">
        <v>56295.40430510851</v>
      </c>
      <c r="BT277" s="421">
        <v>159674.2018735389</v>
      </c>
      <c r="BU277" s="421">
        <v>682568.9884026675</v>
      </c>
      <c r="BV277" s="421">
        <v>970869.2276908858</v>
      </c>
      <c r="BW277" s="421">
        <v>1570206.396035505</v>
      </c>
      <c r="BX277" s="421">
        <v>455376.49303466274</v>
      </c>
      <c r="BY277" s="421">
        <v>874237.1679686434</v>
      </c>
      <c r="BZ277" s="419"/>
      <c r="CA277" s="421">
        <v>208764.35289750661</v>
      </c>
      <c r="CB277" s="419"/>
      <c r="CC277" s="419"/>
      <c r="CD277" s="419"/>
      <c r="CE277" s="421">
        <v>1069398.2575607456</v>
      </c>
      <c r="CF277" s="421">
        <v>637157.704261028</v>
      </c>
      <c r="CG277" s="421">
        <v>820824.3124420107</v>
      </c>
      <c r="CH277" s="421">
        <v>-95055.87860436419</v>
      </c>
      <c r="CI277" s="419"/>
      <c r="CJ277" s="421">
        <v>8126738.03907156</v>
      </c>
      <c r="CK277" s="421">
        <v>-2392541</v>
      </c>
      <c r="CL277" s="421">
        <v>508315.9262</v>
      </c>
      <c r="CM277" s="421">
        <v>290249.06456</v>
      </c>
      <c r="CN277" s="421">
        <v>218066.86163999996</v>
      </c>
      <c r="CO277" s="419"/>
      <c r="CP277" s="419"/>
      <c r="CQ277" s="419"/>
      <c r="CR277" s="171">
        <v>4960</v>
      </c>
    </row>
    <row r="278" spans="1:96" ht="9.75">
      <c r="A278" s="203">
        <v>918</v>
      </c>
      <c r="B278" s="203" t="s">
        <v>333</v>
      </c>
      <c r="C278" s="421">
        <v>2292</v>
      </c>
      <c r="D278" s="419"/>
      <c r="E278" s="419"/>
      <c r="F278" s="419"/>
      <c r="G278" s="419"/>
      <c r="H278" s="500">
        <v>4291.05</v>
      </c>
      <c r="I278" s="419"/>
      <c r="J278" s="419"/>
      <c r="K278" s="419"/>
      <c r="L278" s="419"/>
      <c r="M278" s="419"/>
      <c r="N278" s="419"/>
      <c r="O278" s="419"/>
      <c r="P278" s="419"/>
      <c r="Q278" s="421">
        <v>115</v>
      </c>
      <c r="R278" s="421">
        <v>25</v>
      </c>
      <c r="S278" s="421">
        <v>145</v>
      </c>
      <c r="T278" s="421">
        <v>69</v>
      </c>
      <c r="U278" s="421">
        <v>71</v>
      </c>
      <c r="V278" s="421">
        <v>1202</v>
      </c>
      <c r="W278" s="421">
        <v>364</v>
      </c>
      <c r="X278" s="421">
        <v>195</v>
      </c>
      <c r="Y278" s="421">
        <v>106</v>
      </c>
      <c r="Z278" s="419"/>
      <c r="AA278" s="419"/>
      <c r="AB278" s="419"/>
      <c r="AC278" s="419"/>
      <c r="AD278" s="419"/>
      <c r="AE278" s="422">
        <v>1.1390196628521443</v>
      </c>
      <c r="AF278" s="421">
        <v>3471150.05475914</v>
      </c>
      <c r="AG278" s="420">
        <v>91</v>
      </c>
      <c r="AH278" s="420">
        <v>1068</v>
      </c>
      <c r="AJ278" s="420">
        <v>67</v>
      </c>
      <c r="AK278" s="420">
        <v>0.029232111692844676</v>
      </c>
      <c r="AM278" s="420">
        <v>0</v>
      </c>
      <c r="AN278" s="420">
        <v>16</v>
      </c>
      <c r="AP278" s="420">
        <v>0</v>
      </c>
      <c r="AQ278" s="420">
        <v>0</v>
      </c>
      <c r="AR278" s="420">
        <v>188.88</v>
      </c>
      <c r="AU278" s="420">
        <v>110</v>
      </c>
      <c r="AV278" s="420">
        <v>656</v>
      </c>
      <c r="AW278" s="420">
        <v>0.1676829268292683</v>
      </c>
      <c r="AY278" s="420">
        <v>0</v>
      </c>
      <c r="AZ278" s="421">
        <v>679</v>
      </c>
      <c r="BA278" s="420">
        <v>948</v>
      </c>
      <c r="BB278" s="420">
        <v>0.7162447257383966</v>
      </c>
      <c r="BD278" s="420">
        <v>0</v>
      </c>
      <c r="BE278" s="420">
        <v>0</v>
      </c>
      <c r="BF278" s="421">
        <v>0</v>
      </c>
      <c r="BG278" s="421">
        <v>0</v>
      </c>
      <c r="BH278" s="419"/>
      <c r="BI278" s="421">
        <v>0</v>
      </c>
      <c r="BJ278" s="419"/>
      <c r="BK278" s="421">
        <v>825.12</v>
      </c>
      <c r="BL278" s="421">
        <v>-27273</v>
      </c>
      <c r="BM278" s="421">
        <v>-78658.615</v>
      </c>
      <c r="BN278" s="419"/>
      <c r="BO278" s="421">
        <v>4954.212569518015</v>
      </c>
      <c r="BP278" s="421">
        <v>248075</v>
      </c>
      <c r="BQ278" s="421">
        <v>85184</v>
      </c>
      <c r="BR278" s="421">
        <v>189146.4491313759</v>
      </c>
      <c r="BS278" s="421">
        <v>8965.572928964224</v>
      </c>
      <c r="BT278" s="421">
        <v>6698.7777193360425</v>
      </c>
      <c r="BU278" s="421">
        <v>69879.02413088459</v>
      </c>
      <c r="BV278" s="421">
        <v>152070.0449183733</v>
      </c>
      <c r="BW278" s="421">
        <v>249805.59383009965</v>
      </c>
      <c r="BX278" s="421">
        <v>73752.9668179956</v>
      </c>
      <c r="BY278" s="421">
        <v>117200.99420505411</v>
      </c>
      <c r="BZ278" s="419"/>
      <c r="CA278" s="421">
        <v>-2681.9647554392523</v>
      </c>
      <c r="CB278" s="419"/>
      <c r="CC278" s="419"/>
      <c r="CD278" s="419"/>
      <c r="CE278" s="421">
        <v>159065.56569936004</v>
      </c>
      <c r="CF278" s="421">
        <v>92726.84581960994</v>
      </c>
      <c r="CG278" s="421">
        <v>116902.90076343519</v>
      </c>
      <c r="CH278" s="421">
        <v>-9869.33378036514</v>
      </c>
      <c r="CI278" s="419"/>
      <c r="CJ278" s="421">
        <v>1370995.0406206436</v>
      </c>
      <c r="CK278" s="421">
        <v>-498641</v>
      </c>
      <c r="CL278" s="421">
        <v>31299.324</v>
      </c>
      <c r="CM278" s="421">
        <v>70900.42108</v>
      </c>
      <c r="CN278" s="421">
        <v>-39601.09708</v>
      </c>
      <c r="CO278" s="419"/>
      <c r="CP278" s="419"/>
      <c r="CQ278" s="419"/>
      <c r="CR278" s="171">
        <v>592</v>
      </c>
    </row>
    <row r="279" spans="1:96" ht="9.75">
      <c r="A279" s="203">
        <v>921</v>
      </c>
      <c r="B279" s="203" t="s">
        <v>334</v>
      </c>
      <c r="C279" s="421">
        <v>1972</v>
      </c>
      <c r="D279" s="419"/>
      <c r="E279" s="419"/>
      <c r="F279" s="419"/>
      <c r="G279" s="419"/>
      <c r="H279" s="500">
        <v>4291.05</v>
      </c>
      <c r="I279" s="419"/>
      <c r="J279" s="419"/>
      <c r="K279" s="419"/>
      <c r="L279" s="419"/>
      <c r="M279" s="419"/>
      <c r="N279" s="419"/>
      <c r="O279" s="419"/>
      <c r="P279" s="419"/>
      <c r="Q279" s="421">
        <v>53</v>
      </c>
      <c r="R279" s="421">
        <v>6</v>
      </c>
      <c r="S279" s="421">
        <v>85</v>
      </c>
      <c r="T279" s="421">
        <v>49</v>
      </c>
      <c r="U279" s="421">
        <v>52</v>
      </c>
      <c r="V279" s="421">
        <v>891</v>
      </c>
      <c r="W279" s="421">
        <v>453</v>
      </c>
      <c r="X279" s="421">
        <v>250</v>
      </c>
      <c r="Y279" s="421">
        <v>133</v>
      </c>
      <c r="Z279" s="419"/>
      <c r="AA279" s="419"/>
      <c r="AB279" s="419"/>
      <c r="AC279" s="419"/>
      <c r="AD279" s="419"/>
      <c r="AE279" s="422">
        <v>2.221201506390924</v>
      </c>
      <c r="AF279" s="421">
        <v>5824014.138623354</v>
      </c>
      <c r="AG279" s="420">
        <v>86</v>
      </c>
      <c r="AH279" s="420">
        <v>778</v>
      </c>
      <c r="AJ279" s="420">
        <v>31</v>
      </c>
      <c r="AK279" s="420">
        <v>0.015720081135902637</v>
      </c>
      <c r="AM279" s="420">
        <v>0</v>
      </c>
      <c r="AN279" s="420">
        <v>4</v>
      </c>
      <c r="AP279" s="420">
        <v>0</v>
      </c>
      <c r="AQ279" s="420">
        <v>0</v>
      </c>
      <c r="AR279" s="420">
        <v>422.63</v>
      </c>
      <c r="AU279" s="420">
        <v>64</v>
      </c>
      <c r="AV279" s="420">
        <v>426</v>
      </c>
      <c r="AW279" s="420">
        <v>0.15023474178403756</v>
      </c>
      <c r="AY279" s="420">
        <v>0.8937</v>
      </c>
      <c r="AZ279" s="421">
        <v>543</v>
      </c>
      <c r="BA279" s="420">
        <v>659</v>
      </c>
      <c r="BB279" s="420">
        <v>0.8239757207890743</v>
      </c>
      <c r="BD279" s="420">
        <v>0</v>
      </c>
      <c r="BE279" s="420">
        <v>0</v>
      </c>
      <c r="BF279" s="421">
        <v>0</v>
      </c>
      <c r="BG279" s="421">
        <v>0</v>
      </c>
      <c r="BH279" s="419"/>
      <c r="BI279" s="421">
        <v>0</v>
      </c>
      <c r="BJ279" s="419"/>
      <c r="BK279" s="421">
        <v>709.92</v>
      </c>
      <c r="BL279" s="421">
        <v>-66078</v>
      </c>
      <c r="BM279" s="421">
        <v>-44231.31375</v>
      </c>
      <c r="BN279" s="419"/>
      <c r="BO279" s="421">
        <v>186918.53762630746</v>
      </c>
      <c r="BP279" s="421">
        <v>272212</v>
      </c>
      <c r="BQ279" s="421">
        <v>80979</v>
      </c>
      <c r="BR279" s="421">
        <v>222117.1668681534</v>
      </c>
      <c r="BS279" s="421">
        <v>13393.678597821072</v>
      </c>
      <c r="BT279" s="421">
        <v>24441.04425130178</v>
      </c>
      <c r="BU279" s="421">
        <v>105814.7538803817</v>
      </c>
      <c r="BV279" s="421">
        <v>121929.47807716508</v>
      </c>
      <c r="BW279" s="421">
        <v>201205.73777891742</v>
      </c>
      <c r="BX279" s="421">
        <v>64741.53751084909</v>
      </c>
      <c r="BY279" s="421">
        <v>110994.11100456932</v>
      </c>
      <c r="BZ279" s="419"/>
      <c r="CA279" s="421">
        <v>-6743.0523239666945</v>
      </c>
      <c r="CB279" s="419"/>
      <c r="CC279" s="419"/>
      <c r="CD279" s="419"/>
      <c r="CE279" s="421">
        <v>154615.7049721652</v>
      </c>
      <c r="CF279" s="421">
        <v>81233.42317172268</v>
      </c>
      <c r="CG279" s="421">
        <v>89806.32321182312</v>
      </c>
      <c r="CH279" s="421">
        <v>-7032.136594922732</v>
      </c>
      <c r="CI279" s="419"/>
      <c r="CJ279" s="421">
        <v>2089257.5763417992</v>
      </c>
      <c r="CK279" s="421">
        <v>291320</v>
      </c>
      <c r="CL279" s="421">
        <v>238545.56220000004</v>
      </c>
      <c r="CM279" s="421">
        <v>73806.78688</v>
      </c>
      <c r="CN279" s="421">
        <v>164738.77532000004</v>
      </c>
      <c r="CO279" s="419"/>
      <c r="CP279" s="419"/>
      <c r="CQ279" s="419"/>
      <c r="CR279" s="171">
        <v>347</v>
      </c>
    </row>
    <row r="280" spans="1:96" ht="9.75">
      <c r="A280" s="203">
        <v>922</v>
      </c>
      <c r="B280" s="203" t="s">
        <v>335</v>
      </c>
      <c r="C280" s="421">
        <v>4367</v>
      </c>
      <c r="D280" s="419"/>
      <c r="E280" s="419"/>
      <c r="F280" s="419"/>
      <c r="G280" s="419"/>
      <c r="H280" s="500">
        <v>4291.05</v>
      </c>
      <c r="I280" s="419"/>
      <c r="J280" s="419"/>
      <c r="K280" s="419"/>
      <c r="L280" s="419"/>
      <c r="M280" s="419"/>
      <c r="N280" s="419"/>
      <c r="O280" s="419"/>
      <c r="P280" s="419"/>
      <c r="Q280" s="421">
        <v>253</v>
      </c>
      <c r="R280" s="421">
        <v>48</v>
      </c>
      <c r="S280" s="421">
        <v>422</v>
      </c>
      <c r="T280" s="421">
        <v>207</v>
      </c>
      <c r="U280" s="421">
        <v>199</v>
      </c>
      <c r="V280" s="421">
        <v>2417</v>
      </c>
      <c r="W280" s="421">
        <v>475</v>
      </c>
      <c r="X280" s="421">
        <v>233</v>
      </c>
      <c r="Y280" s="421">
        <v>113</v>
      </c>
      <c r="Z280" s="419"/>
      <c r="AA280" s="419"/>
      <c r="AB280" s="419"/>
      <c r="AC280" s="419"/>
      <c r="AD280" s="419"/>
      <c r="AE280" s="422">
        <v>0.7596541216625634</v>
      </c>
      <c r="AF280" s="421">
        <v>4410894.247987032</v>
      </c>
      <c r="AG280" s="420">
        <v>191</v>
      </c>
      <c r="AH280" s="420">
        <v>2048</v>
      </c>
      <c r="AJ280" s="420">
        <v>77</v>
      </c>
      <c r="AK280" s="420">
        <v>0.017632241813602016</v>
      </c>
      <c r="AM280" s="420">
        <v>0</v>
      </c>
      <c r="AN280" s="420">
        <v>13</v>
      </c>
      <c r="AP280" s="420">
        <v>0</v>
      </c>
      <c r="AQ280" s="420">
        <v>0</v>
      </c>
      <c r="AR280" s="420">
        <v>301.04</v>
      </c>
      <c r="AU280" s="420">
        <v>114</v>
      </c>
      <c r="AV280" s="420">
        <v>1487</v>
      </c>
      <c r="AW280" s="420">
        <v>0.07666442501681238</v>
      </c>
      <c r="AY280" s="420">
        <v>0</v>
      </c>
      <c r="AZ280" s="421">
        <v>844</v>
      </c>
      <c r="BA280" s="420">
        <v>1914</v>
      </c>
      <c r="BB280" s="420">
        <v>0.44096133751306166</v>
      </c>
      <c r="BD280" s="420">
        <v>0</v>
      </c>
      <c r="BE280" s="420">
        <v>0</v>
      </c>
      <c r="BF280" s="421">
        <v>0</v>
      </c>
      <c r="BG280" s="421">
        <v>0</v>
      </c>
      <c r="BH280" s="419"/>
      <c r="BI280" s="421">
        <v>0</v>
      </c>
      <c r="BJ280" s="419"/>
      <c r="BK280" s="421">
        <v>1572.12</v>
      </c>
      <c r="BL280" s="421">
        <v>7844</v>
      </c>
      <c r="BM280" s="421">
        <v>-77201.23</v>
      </c>
      <c r="BN280" s="419"/>
      <c r="BO280" s="421">
        <v>-17408.788966968656</v>
      </c>
      <c r="BP280" s="421">
        <v>372593</v>
      </c>
      <c r="BQ280" s="421">
        <v>113630</v>
      </c>
      <c r="BR280" s="421">
        <v>247453.05399288182</v>
      </c>
      <c r="BS280" s="421">
        <v>4791.849889109826</v>
      </c>
      <c r="BT280" s="421">
        <v>24729.80966282126</v>
      </c>
      <c r="BU280" s="421">
        <v>87174.84135904237</v>
      </c>
      <c r="BV280" s="421">
        <v>227204.16309526682</v>
      </c>
      <c r="BW280" s="421">
        <v>331634.24889975326</v>
      </c>
      <c r="BX280" s="421">
        <v>90740.24528226476</v>
      </c>
      <c r="BY280" s="421">
        <v>175356.23759167743</v>
      </c>
      <c r="BZ280" s="419"/>
      <c r="CA280" s="421">
        <v>12771.239554456046</v>
      </c>
      <c r="CB280" s="419"/>
      <c r="CC280" s="419"/>
      <c r="CD280" s="419"/>
      <c r="CE280" s="421">
        <v>232811.2344942775</v>
      </c>
      <c r="CF280" s="421">
        <v>138729.84727571715</v>
      </c>
      <c r="CG280" s="421">
        <v>174194.01311697427</v>
      </c>
      <c r="CH280" s="421">
        <v>-20198.958632872924</v>
      </c>
      <c r="CI280" s="419"/>
      <c r="CJ280" s="421">
        <v>1791171.1576750788</v>
      </c>
      <c r="CK280" s="421">
        <v>-1009067</v>
      </c>
      <c r="CL280" s="421">
        <v>165513.80620000002</v>
      </c>
      <c r="CM280" s="421">
        <v>222806.47356000004</v>
      </c>
      <c r="CN280" s="421">
        <v>-57292.66736000002</v>
      </c>
      <c r="CO280" s="419"/>
      <c r="CP280" s="419"/>
      <c r="CQ280" s="419"/>
      <c r="CR280" s="171">
        <v>1401</v>
      </c>
    </row>
    <row r="281" spans="1:96" ht="9.75">
      <c r="A281" s="203">
        <v>924</v>
      </c>
      <c r="B281" s="203" t="s">
        <v>336</v>
      </c>
      <c r="C281" s="421">
        <v>3065</v>
      </c>
      <c r="D281" s="419"/>
      <c r="E281" s="419"/>
      <c r="F281" s="419"/>
      <c r="G281" s="419"/>
      <c r="H281" s="500">
        <v>4291.05</v>
      </c>
      <c r="I281" s="419"/>
      <c r="J281" s="419"/>
      <c r="K281" s="419"/>
      <c r="L281" s="419"/>
      <c r="M281" s="419"/>
      <c r="N281" s="419"/>
      <c r="O281" s="419"/>
      <c r="P281" s="419"/>
      <c r="Q281" s="421">
        <v>140</v>
      </c>
      <c r="R281" s="421">
        <v>31</v>
      </c>
      <c r="S281" s="421">
        <v>239</v>
      </c>
      <c r="T281" s="421">
        <v>100</v>
      </c>
      <c r="U281" s="421">
        <v>104</v>
      </c>
      <c r="V281" s="421">
        <v>1489</v>
      </c>
      <c r="W281" s="421">
        <v>547</v>
      </c>
      <c r="X281" s="421">
        <v>278</v>
      </c>
      <c r="Y281" s="421">
        <v>137</v>
      </c>
      <c r="Z281" s="419"/>
      <c r="AA281" s="419"/>
      <c r="AB281" s="419"/>
      <c r="AC281" s="419"/>
      <c r="AD281" s="419"/>
      <c r="AE281" s="422">
        <v>1.3071211875984472</v>
      </c>
      <c r="AF281" s="421">
        <v>5326891.930207429</v>
      </c>
      <c r="AG281" s="420">
        <v>117</v>
      </c>
      <c r="AH281" s="420">
        <v>1360</v>
      </c>
      <c r="AJ281" s="420">
        <v>69</v>
      </c>
      <c r="AK281" s="420">
        <v>0.022512234910277325</v>
      </c>
      <c r="AM281" s="420">
        <v>0</v>
      </c>
      <c r="AN281" s="420">
        <v>46</v>
      </c>
      <c r="AP281" s="420">
        <v>0</v>
      </c>
      <c r="AQ281" s="420">
        <v>0</v>
      </c>
      <c r="AR281" s="420">
        <v>502.13</v>
      </c>
      <c r="AU281" s="420">
        <v>76</v>
      </c>
      <c r="AV281" s="420">
        <v>788</v>
      </c>
      <c r="AW281" s="420">
        <v>0.09644670050761421</v>
      </c>
      <c r="AY281" s="420">
        <v>0.2837</v>
      </c>
      <c r="AZ281" s="421">
        <v>1035</v>
      </c>
      <c r="BA281" s="420">
        <v>1232</v>
      </c>
      <c r="BB281" s="420">
        <v>0.8400974025974026</v>
      </c>
      <c r="BD281" s="420">
        <v>0</v>
      </c>
      <c r="BE281" s="420">
        <v>0</v>
      </c>
      <c r="BF281" s="421">
        <v>0</v>
      </c>
      <c r="BG281" s="421">
        <v>0</v>
      </c>
      <c r="BH281" s="419"/>
      <c r="BI281" s="421">
        <v>0</v>
      </c>
      <c r="BJ281" s="419"/>
      <c r="BK281" s="421">
        <v>1103.3999999999999</v>
      </c>
      <c r="BL281" s="421">
        <v>-2352</v>
      </c>
      <c r="BM281" s="421">
        <v>-41606.63</v>
      </c>
      <c r="BN281" s="419"/>
      <c r="BO281" s="421">
        <v>96922.8365674261</v>
      </c>
      <c r="BP281" s="421">
        <v>317973</v>
      </c>
      <c r="BQ281" s="421">
        <v>108817</v>
      </c>
      <c r="BR281" s="421">
        <v>294373.6014908999</v>
      </c>
      <c r="BS281" s="421">
        <v>16327.450232480376</v>
      </c>
      <c r="BT281" s="421">
        <v>23733.81038234982</v>
      </c>
      <c r="BU281" s="421">
        <v>124141.35144134986</v>
      </c>
      <c r="BV281" s="421">
        <v>210098.3103882597</v>
      </c>
      <c r="BW281" s="421">
        <v>352062.1337239467</v>
      </c>
      <c r="BX281" s="421">
        <v>99079.52733505667</v>
      </c>
      <c r="BY281" s="421">
        <v>163968.8276254966</v>
      </c>
      <c r="BZ281" s="419"/>
      <c r="CA281" s="421">
        <v>-21589.971063933</v>
      </c>
      <c r="CB281" s="419"/>
      <c r="CC281" s="419"/>
      <c r="CD281" s="419"/>
      <c r="CE281" s="421">
        <v>233081.60563204729</v>
      </c>
      <c r="CF281" s="421">
        <v>132683.18284001428</v>
      </c>
      <c r="CG281" s="421">
        <v>154705.276733264</v>
      </c>
      <c r="CH281" s="421">
        <v>-12278.047262191107</v>
      </c>
      <c r="CI281" s="419"/>
      <c r="CJ281" s="421">
        <v>2974678.3587674634</v>
      </c>
      <c r="CK281" s="421">
        <v>51531</v>
      </c>
      <c r="CL281" s="421">
        <v>58127.316000000006</v>
      </c>
      <c r="CM281" s="421">
        <v>61182.726200000005</v>
      </c>
      <c r="CN281" s="421">
        <v>-3055.4101999999984</v>
      </c>
      <c r="CO281" s="419"/>
      <c r="CP281" s="419"/>
      <c r="CQ281" s="419"/>
      <c r="CR281" s="171">
        <v>852</v>
      </c>
    </row>
    <row r="282" spans="1:96" ht="9.75">
      <c r="A282" s="203">
        <v>925</v>
      </c>
      <c r="B282" s="203" t="s">
        <v>337</v>
      </c>
      <c r="C282" s="421">
        <v>3522</v>
      </c>
      <c r="D282" s="419"/>
      <c r="E282" s="419"/>
      <c r="F282" s="419"/>
      <c r="G282" s="419"/>
      <c r="H282" s="500">
        <v>4291.05</v>
      </c>
      <c r="I282" s="419"/>
      <c r="J282" s="419"/>
      <c r="K282" s="419"/>
      <c r="L282" s="419"/>
      <c r="M282" s="419"/>
      <c r="N282" s="419"/>
      <c r="O282" s="419"/>
      <c r="P282" s="419"/>
      <c r="Q282" s="421">
        <v>159</v>
      </c>
      <c r="R282" s="421">
        <v>31</v>
      </c>
      <c r="S282" s="421">
        <v>247</v>
      </c>
      <c r="T282" s="421">
        <v>114</v>
      </c>
      <c r="U282" s="421">
        <v>114</v>
      </c>
      <c r="V282" s="421">
        <v>1889</v>
      </c>
      <c r="W282" s="421">
        <v>548</v>
      </c>
      <c r="X282" s="421">
        <v>289</v>
      </c>
      <c r="Y282" s="421">
        <v>131</v>
      </c>
      <c r="Z282" s="419"/>
      <c r="AA282" s="419"/>
      <c r="AB282" s="419"/>
      <c r="AC282" s="419"/>
      <c r="AD282" s="419"/>
      <c r="AE282" s="422">
        <v>1.4538168292114175</v>
      </c>
      <c r="AF282" s="421">
        <v>6808110.482183184</v>
      </c>
      <c r="AG282" s="420">
        <v>202</v>
      </c>
      <c r="AH282" s="420">
        <v>1656</v>
      </c>
      <c r="AJ282" s="420">
        <v>109</v>
      </c>
      <c r="AK282" s="420">
        <v>0.03094832481544577</v>
      </c>
      <c r="AM282" s="420">
        <v>0</v>
      </c>
      <c r="AN282" s="420">
        <v>5</v>
      </c>
      <c r="AP282" s="420">
        <v>0</v>
      </c>
      <c r="AQ282" s="420">
        <v>0</v>
      </c>
      <c r="AR282" s="420">
        <v>925.24</v>
      </c>
      <c r="AU282" s="420">
        <v>142</v>
      </c>
      <c r="AV282" s="420">
        <v>1004</v>
      </c>
      <c r="AW282" s="420">
        <v>0.14143426294820718</v>
      </c>
      <c r="AY282" s="420">
        <v>0.2328</v>
      </c>
      <c r="AZ282" s="421">
        <v>2158</v>
      </c>
      <c r="BA282" s="420">
        <v>1523</v>
      </c>
      <c r="BB282" s="420">
        <v>1.416940249507551</v>
      </c>
      <c r="BD282" s="420">
        <v>0</v>
      </c>
      <c r="BE282" s="420">
        <v>0</v>
      </c>
      <c r="BF282" s="421">
        <v>0</v>
      </c>
      <c r="BG282" s="421">
        <v>0</v>
      </c>
      <c r="BH282" s="419"/>
      <c r="BI282" s="421">
        <v>0</v>
      </c>
      <c r="BJ282" s="419"/>
      <c r="BK282" s="421">
        <v>1267.9199999999998</v>
      </c>
      <c r="BL282" s="421">
        <v>81614</v>
      </c>
      <c r="BM282" s="421">
        <v>-71305.455</v>
      </c>
      <c r="BN282" s="419"/>
      <c r="BO282" s="421">
        <v>104347.35000475124</v>
      </c>
      <c r="BP282" s="421">
        <v>384706</v>
      </c>
      <c r="BQ282" s="421">
        <v>121762</v>
      </c>
      <c r="BR282" s="421">
        <v>310293.88668585266</v>
      </c>
      <c r="BS282" s="421">
        <v>16652.30352597964</v>
      </c>
      <c r="BT282" s="421">
        <v>51151.930757798465</v>
      </c>
      <c r="BU282" s="421">
        <v>148958.9285510253</v>
      </c>
      <c r="BV282" s="421">
        <v>218427.78682115505</v>
      </c>
      <c r="BW282" s="421">
        <v>366883.5387637215</v>
      </c>
      <c r="BX282" s="421">
        <v>109056.87091837132</v>
      </c>
      <c r="BY282" s="421">
        <v>190013.84041287802</v>
      </c>
      <c r="BZ282" s="419"/>
      <c r="CA282" s="421">
        <v>-60398.975403779266</v>
      </c>
      <c r="CB282" s="419"/>
      <c r="CC282" s="419"/>
      <c r="CD282" s="419"/>
      <c r="CE282" s="421">
        <v>272572.4091527862</v>
      </c>
      <c r="CF282" s="421">
        <v>144471.5371475771</v>
      </c>
      <c r="CG282" s="421">
        <v>167468.65597657557</v>
      </c>
      <c r="CH282" s="421">
        <v>-14240.636592837622</v>
      </c>
      <c r="CI282" s="419"/>
      <c r="CJ282" s="421">
        <v>767098.7776414125</v>
      </c>
      <c r="CK282" s="421">
        <v>61098</v>
      </c>
      <c r="CL282" s="421">
        <v>117745.076</v>
      </c>
      <c r="CM282" s="421">
        <v>85730.33888000001</v>
      </c>
      <c r="CN282" s="421">
        <v>32014.73711999999</v>
      </c>
      <c r="CO282" s="419"/>
      <c r="CP282" s="419"/>
      <c r="CQ282" s="419"/>
      <c r="CR282" s="171">
        <v>942</v>
      </c>
    </row>
    <row r="283" spans="1:96" ht="9.75">
      <c r="A283" s="203">
        <v>927</v>
      </c>
      <c r="B283" s="203" t="s">
        <v>338</v>
      </c>
      <c r="C283" s="421">
        <v>29160</v>
      </c>
      <c r="D283" s="419"/>
      <c r="E283" s="419"/>
      <c r="F283" s="419"/>
      <c r="G283" s="419"/>
      <c r="H283" s="500">
        <v>4291.05</v>
      </c>
      <c r="I283" s="419"/>
      <c r="J283" s="419"/>
      <c r="K283" s="419"/>
      <c r="L283" s="419"/>
      <c r="M283" s="419"/>
      <c r="N283" s="419"/>
      <c r="O283" s="419"/>
      <c r="P283" s="419"/>
      <c r="Q283" s="421">
        <v>1659</v>
      </c>
      <c r="R283" s="421">
        <v>349</v>
      </c>
      <c r="S283" s="421">
        <v>2455</v>
      </c>
      <c r="T283" s="421">
        <v>1234</v>
      </c>
      <c r="U283" s="421">
        <v>1109</v>
      </c>
      <c r="V283" s="421">
        <v>16541</v>
      </c>
      <c r="W283" s="421">
        <v>3565</v>
      </c>
      <c r="X283" s="421">
        <v>1707</v>
      </c>
      <c r="Y283" s="421">
        <v>541</v>
      </c>
      <c r="Z283" s="419"/>
      <c r="AA283" s="419"/>
      <c r="AB283" s="419"/>
      <c r="AC283" s="419"/>
      <c r="AD283" s="419"/>
      <c r="AE283" s="422">
        <v>0.8099856145691268</v>
      </c>
      <c r="AF283" s="421">
        <v>31404535.891401246</v>
      </c>
      <c r="AG283" s="420">
        <v>1527</v>
      </c>
      <c r="AH283" s="420">
        <v>14563</v>
      </c>
      <c r="AJ283" s="420">
        <v>1763</v>
      </c>
      <c r="AK283" s="420">
        <v>0.060459533607681755</v>
      </c>
      <c r="AM283" s="420">
        <v>0</v>
      </c>
      <c r="AN283" s="420">
        <v>496</v>
      </c>
      <c r="AP283" s="420">
        <v>0</v>
      </c>
      <c r="AQ283" s="420">
        <v>0</v>
      </c>
      <c r="AR283" s="420">
        <v>522.02</v>
      </c>
      <c r="AU283" s="420">
        <v>1463</v>
      </c>
      <c r="AV283" s="420">
        <v>9964</v>
      </c>
      <c r="AW283" s="420">
        <v>0.14682858289843437</v>
      </c>
      <c r="AY283" s="420">
        <v>0</v>
      </c>
      <c r="AZ283" s="421">
        <v>8141</v>
      </c>
      <c r="BA283" s="420">
        <v>13431</v>
      </c>
      <c r="BB283" s="420">
        <v>0.6061350606805153</v>
      </c>
      <c r="BD283" s="420">
        <v>0</v>
      </c>
      <c r="BE283" s="420">
        <v>1</v>
      </c>
      <c r="BF283" s="421">
        <v>0</v>
      </c>
      <c r="BG283" s="421">
        <v>0</v>
      </c>
      <c r="BH283" s="419"/>
      <c r="BI283" s="421">
        <v>0</v>
      </c>
      <c r="BJ283" s="419"/>
      <c r="BK283" s="421">
        <v>10497.6</v>
      </c>
      <c r="BL283" s="421">
        <v>-203115</v>
      </c>
      <c r="BM283" s="421">
        <v>-1681632.02745</v>
      </c>
      <c r="BN283" s="419"/>
      <c r="BO283" s="421">
        <v>94447.8555355221</v>
      </c>
      <c r="BP283" s="421">
        <v>2001890</v>
      </c>
      <c r="BQ283" s="421">
        <v>666810</v>
      </c>
      <c r="BR283" s="421">
        <v>1272981.3959105464</v>
      </c>
      <c r="BS283" s="421">
        <v>-2804.2325492603327</v>
      </c>
      <c r="BT283" s="421">
        <v>-241738.51153038506</v>
      </c>
      <c r="BU283" s="421">
        <v>313170.3837544156</v>
      </c>
      <c r="BV283" s="421">
        <v>1325133.6142187256</v>
      </c>
      <c r="BW283" s="421">
        <v>2049572.9673950246</v>
      </c>
      <c r="BX283" s="421">
        <v>606296.4218010124</v>
      </c>
      <c r="BY283" s="421">
        <v>1053102.977439796</v>
      </c>
      <c r="BZ283" s="419"/>
      <c r="CA283" s="421">
        <v>111420.98224633394</v>
      </c>
      <c r="CB283" s="419"/>
      <c r="CC283" s="419"/>
      <c r="CD283" s="419"/>
      <c r="CE283" s="421">
        <v>1311766.7570832449</v>
      </c>
      <c r="CF283" s="421">
        <v>892238.0160402701</v>
      </c>
      <c r="CG283" s="421">
        <v>1150114.2731162817</v>
      </c>
      <c r="CH283" s="421">
        <v>-152850.70251539635</v>
      </c>
      <c r="CI283" s="419"/>
      <c r="CJ283" s="421">
        <v>-1033395.9263392438</v>
      </c>
      <c r="CK283" s="421">
        <v>-3174515</v>
      </c>
      <c r="CL283" s="421">
        <v>1069393.5699999998</v>
      </c>
      <c r="CM283" s="421">
        <v>941807.0922680002</v>
      </c>
      <c r="CN283" s="421">
        <v>127586.47773199959</v>
      </c>
      <c r="CO283" s="419"/>
      <c r="CP283" s="419"/>
      <c r="CQ283" s="419"/>
      <c r="CR283" s="171">
        <v>9211</v>
      </c>
    </row>
    <row r="284" spans="1:96" ht="9.75">
      <c r="A284" s="203">
        <v>931</v>
      </c>
      <c r="B284" s="203" t="s">
        <v>339</v>
      </c>
      <c r="C284" s="421">
        <v>6097</v>
      </c>
      <c r="D284" s="419"/>
      <c r="E284" s="419"/>
      <c r="F284" s="419"/>
      <c r="G284" s="419"/>
      <c r="H284" s="500">
        <v>4291.05</v>
      </c>
      <c r="I284" s="419"/>
      <c r="J284" s="419"/>
      <c r="K284" s="419"/>
      <c r="L284" s="419"/>
      <c r="M284" s="419"/>
      <c r="N284" s="419"/>
      <c r="O284" s="419"/>
      <c r="P284" s="419"/>
      <c r="Q284" s="421">
        <v>254</v>
      </c>
      <c r="R284" s="421">
        <v>44</v>
      </c>
      <c r="S284" s="421">
        <v>310</v>
      </c>
      <c r="T284" s="421">
        <v>147</v>
      </c>
      <c r="U284" s="421">
        <v>182</v>
      </c>
      <c r="V284" s="421">
        <v>2937</v>
      </c>
      <c r="W284" s="421">
        <v>1184</v>
      </c>
      <c r="X284" s="421">
        <v>699</v>
      </c>
      <c r="Y284" s="421">
        <v>340</v>
      </c>
      <c r="Z284" s="419"/>
      <c r="AA284" s="419"/>
      <c r="AB284" s="419"/>
      <c r="AC284" s="419"/>
      <c r="AD284" s="419"/>
      <c r="AE284" s="422">
        <v>1.6578404598429513</v>
      </c>
      <c r="AF284" s="421">
        <v>13439604.275146466</v>
      </c>
      <c r="AG284" s="420">
        <v>318</v>
      </c>
      <c r="AH284" s="420">
        <v>2477</v>
      </c>
      <c r="AJ284" s="420">
        <v>96</v>
      </c>
      <c r="AK284" s="420">
        <v>0.015745448581269476</v>
      </c>
      <c r="AM284" s="420">
        <v>0</v>
      </c>
      <c r="AN284" s="420">
        <v>11</v>
      </c>
      <c r="AP284" s="420">
        <v>0</v>
      </c>
      <c r="AQ284" s="420">
        <v>0</v>
      </c>
      <c r="AR284" s="420">
        <v>1248.54</v>
      </c>
      <c r="AU284" s="420">
        <v>203</v>
      </c>
      <c r="AV284" s="420">
        <v>1389</v>
      </c>
      <c r="AW284" s="420">
        <v>0.14614830813534918</v>
      </c>
      <c r="AY284" s="420">
        <v>1.1221</v>
      </c>
      <c r="AZ284" s="421">
        <v>2252</v>
      </c>
      <c r="BA284" s="420">
        <v>2129</v>
      </c>
      <c r="BB284" s="420">
        <v>1.0577736026303428</v>
      </c>
      <c r="BD284" s="420">
        <v>0</v>
      </c>
      <c r="BE284" s="420">
        <v>0</v>
      </c>
      <c r="BF284" s="421">
        <v>0</v>
      </c>
      <c r="BG284" s="421">
        <v>0</v>
      </c>
      <c r="BH284" s="419"/>
      <c r="BI284" s="421">
        <v>0</v>
      </c>
      <c r="BJ284" s="419"/>
      <c r="BK284" s="421">
        <v>2194.92</v>
      </c>
      <c r="BL284" s="421">
        <v>142346</v>
      </c>
      <c r="BM284" s="421">
        <v>-300602.91</v>
      </c>
      <c r="BN284" s="419"/>
      <c r="BO284" s="421">
        <v>-29884.02446912974</v>
      </c>
      <c r="BP284" s="421">
        <v>657403</v>
      </c>
      <c r="BQ284" s="421">
        <v>205740</v>
      </c>
      <c r="BR284" s="421">
        <v>515917.62991671666</v>
      </c>
      <c r="BS284" s="421">
        <v>27738.114858243203</v>
      </c>
      <c r="BT284" s="421">
        <v>74511.39124093392</v>
      </c>
      <c r="BU284" s="421">
        <v>279038.2165761009</v>
      </c>
      <c r="BV284" s="421">
        <v>384013.8091867772</v>
      </c>
      <c r="BW284" s="421">
        <v>605953.8217100743</v>
      </c>
      <c r="BX284" s="421">
        <v>181857.56105457552</v>
      </c>
      <c r="BY284" s="421">
        <v>335745.7182726537</v>
      </c>
      <c r="BZ284" s="419"/>
      <c r="CA284" s="421">
        <v>-16942.308781795873</v>
      </c>
      <c r="CB284" s="419"/>
      <c r="CC284" s="419"/>
      <c r="CD284" s="419"/>
      <c r="CE284" s="421">
        <v>418176.4613073354</v>
      </c>
      <c r="CF284" s="421">
        <v>237191.00515893355</v>
      </c>
      <c r="CG284" s="421">
        <v>291086.11556678056</v>
      </c>
      <c r="CH284" s="421">
        <v>-23566.930577440817</v>
      </c>
      <c r="CI284" s="419"/>
      <c r="CJ284" s="421">
        <v>4954319.953446129</v>
      </c>
      <c r="CK284" s="421">
        <v>25026</v>
      </c>
      <c r="CL284" s="421">
        <v>111932.3444</v>
      </c>
      <c r="CM284" s="421">
        <v>180343.724</v>
      </c>
      <c r="CN284" s="421">
        <v>-68411.37959999999</v>
      </c>
      <c r="CO284" s="419"/>
      <c r="CP284" s="419"/>
      <c r="CQ284" s="419"/>
      <c r="CR284" s="171">
        <v>1371</v>
      </c>
    </row>
    <row r="285" spans="1:96" ht="9.75">
      <c r="A285" s="203">
        <v>934</v>
      </c>
      <c r="B285" s="203" t="s">
        <v>340</v>
      </c>
      <c r="C285" s="421">
        <v>2784</v>
      </c>
      <c r="D285" s="419"/>
      <c r="E285" s="419"/>
      <c r="F285" s="419"/>
      <c r="G285" s="419"/>
      <c r="H285" s="500">
        <v>4291.05</v>
      </c>
      <c r="I285" s="419"/>
      <c r="J285" s="419"/>
      <c r="K285" s="419"/>
      <c r="L285" s="419"/>
      <c r="M285" s="419"/>
      <c r="N285" s="419"/>
      <c r="O285" s="419"/>
      <c r="P285" s="419"/>
      <c r="Q285" s="421">
        <v>109</v>
      </c>
      <c r="R285" s="421">
        <v>25</v>
      </c>
      <c r="S285" s="421">
        <v>185</v>
      </c>
      <c r="T285" s="421">
        <v>117</v>
      </c>
      <c r="U285" s="421">
        <v>107</v>
      </c>
      <c r="V285" s="421">
        <v>1395</v>
      </c>
      <c r="W285" s="421">
        <v>498</v>
      </c>
      <c r="X285" s="421">
        <v>229</v>
      </c>
      <c r="Y285" s="421">
        <v>119</v>
      </c>
      <c r="Z285" s="419"/>
      <c r="AA285" s="419"/>
      <c r="AB285" s="419"/>
      <c r="AC285" s="419"/>
      <c r="AD285" s="419"/>
      <c r="AE285" s="422">
        <v>1.4265109524698851</v>
      </c>
      <c r="AF285" s="421">
        <v>5280461.67060079</v>
      </c>
      <c r="AG285" s="420">
        <v>90</v>
      </c>
      <c r="AH285" s="420">
        <v>1201</v>
      </c>
      <c r="AJ285" s="420">
        <v>35</v>
      </c>
      <c r="AK285" s="420">
        <v>0.01257183908045977</v>
      </c>
      <c r="AM285" s="420">
        <v>0</v>
      </c>
      <c r="AN285" s="420">
        <v>4</v>
      </c>
      <c r="AP285" s="420">
        <v>0</v>
      </c>
      <c r="AQ285" s="420">
        <v>0</v>
      </c>
      <c r="AR285" s="420">
        <v>287.32</v>
      </c>
      <c r="AU285" s="420">
        <v>77</v>
      </c>
      <c r="AV285" s="420">
        <v>730</v>
      </c>
      <c r="AW285" s="420">
        <v>0.10547945205479452</v>
      </c>
      <c r="AY285" s="420">
        <v>0.0009</v>
      </c>
      <c r="AZ285" s="421">
        <v>950</v>
      </c>
      <c r="BA285" s="420">
        <v>1101</v>
      </c>
      <c r="BB285" s="420">
        <v>0.8628519527702089</v>
      </c>
      <c r="BD285" s="420">
        <v>0</v>
      </c>
      <c r="BE285" s="420">
        <v>0</v>
      </c>
      <c r="BF285" s="421">
        <v>0</v>
      </c>
      <c r="BG285" s="421">
        <v>0</v>
      </c>
      <c r="BH285" s="419"/>
      <c r="BI285" s="421">
        <v>0</v>
      </c>
      <c r="BJ285" s="419"/>
      <c r="BK285" s="421">
        <v>1002.24</v>
      </c>
      <c r="BL285" s="421">
        <v>-23874</v>
      </c>
      <c r="BM285" s="421">
        <v>-47381.415</v>
      </c>
      <c r="BN285" s="419"/>
      <c r="BO285" s="421">
        <v>62305.717786749825</v>
      </c>
      <c r="BP285" s="421">
        <v>269532</v>
      </c>
      <c r="BQ285" s="421">
        <v>84479</v>
      </c>
      <c r="BR285" s="421">
        <v>192990.46542252702</v>
      </c>
      <c r="BS285" s="421">
        <v>11427.029083337118</v>
      </c>
      <c r="BT285" s="421">
        <v>35994.07553765644</v>
      </c>
      <c r="BU285" s="421">
        <v>114257.76571970747</v>
      </c>
      <c r="BV285" s="421">
        <v>156334.3171932257</v>
      </c>
      <c r="BW285" s="421">
        <v>279271.3493261858</v>
      </c>
      <c r="BX285" s="421">
        <v>77610.9547093963</v>
      </c>
      <c r="BY285" s="421">
        <v>141793.0574650268</v>
      </c>
      <c r="BZ285" s="419"/>
      <c r="CA285" s="421">
        <v>5686.654216304178</v>
      </c>
      <c r="CB285" s="419"/>
      <c r="CC285" s="419"/>
      <c r="CD285" s="419"/>
      <c r="CE285" s="421">
        <v>185169.51761406538</v>
      </c>
      <c r="CF285" s="421">
        <v>100041.8239323195</v>
      </c>
      <c r="CG285" s="421">
        <v>121623.85996384714</v>
      </c>
      <c r="CH285" s="421">
        <v>-11753.626767329064</v>
      </c>
      <c r="CI285" s="419"/>
      <c r="CJ285" s="421">
        <v>2154482.348551568</v>
      </c>
      <c r="CK285" s="421">
        <v>-757153</v>
      </c>
      <c r="CL285" s="421">
        <v>0</v>
      </c>
      <c r="CM285" s="421">
        <v>2923133.295</v>
      </c>
      <c r="CN285" s="421">
        <v>-2923133.295</v>
      </c>
      <c r="CO285" s="419"/>
      <c r="CP285" s="419"/>
      <c r="CQ285" s="419"/>
      <c r="CR285" s="171">
        <v>725</v>
      </c>
    </row>
    <row r="286" spans="1:96" ht="9.75">
      <c r="A286" s="203">
        <v>935</v>
      </c>
      <c r="B286" s="203" t="s">
        <v>341</v>
      </c>
      <c r="C286" s="421">
        <v>3087</v>
      </c>
      <c r="D286" s="419"/>
      <c r="E286" s="419"/>
      <c r="F286" s="419"/>
      <c r="G286" s="419"/>
      <c r="H286" s="500">
        <v>4291.05</v>
      </c>
      <c r="I286" s="419"/>
      <c r="J286" s="419"/>
      <c r="K286" s="419"/>
      <c r="L286" s="419"/>
      <c r="M286" s="419"/>
      <c r="N286" s="419"/>
      <c r="O286" s="419"/>
      <c r="P286" s="419"/>
      <c r="Q286" s="421">
        <v>102</v>
      </c>
      <c r="R286" s="421">
        <v>24</v>
      </c>
      <c r="S286" s="421">
        <v>174</v>
      </c>
      <c r="T286" s="421">
        <v>85</v>
      </c>
      <c r="U286" s="421">
        <v>104</v>
      </c>
      <c r="V286" s="421">
        <v>1578</v>
      </c>
      <c r="W286" s="421">
        <v>568</v>
      </c>
      <c r="X286" s="421">
        <v>326</v>
      </c>
      <c r="Y286" s="421">
        <v>126</v>
      </c>
      <c r="Z286" s="419"/>
      <c r="AA286" s="419"/>
      <c r="AB286" s="419"/>
      <c r="AC286" s="419"/>
      <c r="AD286" s="419"/>
      <c r="AE286" s="422">
        <v>1.362176323999327</v>
      </c>
      <c r="AF286" s="421">
        <v>5591103.224768764</v>
      </c>
      <c r="AG286" s="420">
        <v>193</v>
      </c>
      <c r="AH286" s="420">
        <v>1351</v>
      </c>
      <c r="AJ286" s="420">
        <v>185</v>
      </c>
      <c r="AK286" s="420">
        <v>0.05992873339812115</v>
      </c>
      <c r="AM286" s="420">
        <v>0</v>
      </c>
      <c r="AN286" s="420">
        <v>17</v>
      </c>
      <c r="AP286" s="420">
        <v>0</v>
      </c>
      <c r="AQ286" s="420">
        <v>0</v>
      </c>
      <c r="AR286" s="420">
        <v>371.99</v>
      </c>
      <c r="AU286" s="420">
        <v>131</v>
      </c>
      <c r="AV286" s="420">
        <v>864</v>
      </c>
      <c r="AW286" s="420">
        <v>0.15162037037037038</v>
      </c>
      <c r="AY286" s="420">
        <v>0</v>
      </c>
      <c r="AZ286" s="421">
        <v>1214</v>
      </c>
      <c r="BA286" s="420">
        <v>1173</v>
      </c>
      <c r="BB286" s="420">
        <v>1.0349531116794544</v>
      </c>
      <c r="BD286" s="420">
        <v>0</v>
      </c>
      <c r="BE286" s="420">
        <v>0</v>
      </c>
      <c r="BF286" s="421">
        <v>0</v>
      </c>
      <c r="BG286" s="421">
        <v>0</v>
      </c>
      <c r="BH286" s="419"/>
      <c r="BI286" s="421">
        <v>0</v>
      </c>
      <c r="BJ286" s="419"/>
      <c r="BK286" s="421">
        <v>1111.32</v>
      </c>
      <c r="BL286" s="421">
        <v>-36833</v>
      </c>
      <c r="BM286" s="421">
        <v>-88424.15</v>
      </c>
      <c r="BN286" s="419"/>
      <c r="BO286" s="421">
        <v>62997.892044780776</v>
      </c>
      <c r="BP286" s="421">
        <v>336888</v>
      </c>
      <c r="BQ286" s="421">
        <v>99871</v>
      </c>
      <c r="BR286" s="421">
        <v>256904.2450974227</v>
      </c>
      <c r="BS286" s="421">
        <v>13719.698860165583</v>
      </c>
      <c r="BT286" s="421">
        <v>-12878.79392371824</v>
      </c>
      <c r="BU286" s="421">
        <v>104242.25499510784</v>
      </c>
      <c r="BV286" s="421">
        <v>189902.3291538283</v>
      </c>
      <c r="BW286" s="421">
        <v>282218.58446444175</v>
      </c>
      <c r="BX286" s="421">
        <v>89919.43398747403</v>
      </c>
      <c r="BY286" s="421">
        <v>149458.78541659366</v>
      </c>
      <c r="BZ286" s="419"/>
      <c r="CA286" s="421">
        <v>-19355.542479651456</v>
      </c>
      <c r="CB286" s="419"/>
      <c r="CC286" s="419"/>
      <c r="CD286" s="419"/>
      <c r="CE286" s="421">
        <v>206053.36202665238</v>
      </c>
      <c r="CF286" s="421">
        <v>111771.89112685526</v>
      </c>
      <c r="CG286" s="421">
        <v>130377.20585553824</v>
      </c>
      <c r="CH286" s="421">
        <v>-12537.67013299632</v>
      </c>
      <c r="CI286" s="419"/>
      <c r="CJ286" s="421">
        <v>2224634.0424099993</v>
      </c>
      <c r="CK286" s="421">
        <v>-83525</v>
      </c>
      <c r="CL286" s="421">
        <v>1500877.108</v>
      </c>
      <c r="CM286" s="421">
        <v>179151.3688</v>
      </c>
      <c r="CN286" s="421">
        <v>1321725.7392</v>
      </c>
      <c r="CO286" s="419"/>
      <c r="CP286" s="419"/>
      <c r="CQ286" s="419"/>
      <c r="CR286" s="171">
        <v>655</v>
      </c>
    </row>
    <row r="287" spans="1:96" ht="9.75">
      <c r="A287" s="203">
        <v>936</v>
      </c>
      <c r="B287" s="203" t="s">
        <v>342</v>
      </c>
      <c r="C287" s="421">
        <v>6510</v>
      </c>
      <c r="D287" s="419"/>
      <c r="E287" s="419"/>
      <c r="F287" s="419"/>
      <c r="G287" s="419"/>
      <c r="H287" s="500">
        <v>4291.05</v>
      </c>
      <c r="I287" s="419"/>
      <c r="J287" s="419"/>
      <c r="K287" s="419"/>
      <c r="L287" s="419"/>
      <c r="M287" s="419"/>
      <c r="N287" s="419"/>
      <c r="O287" s="419"/>
      <c r="P287" s="419"/>
      <c r="Q287" s="421">
        <v>231</v>
      </c>
      <c r="R287" s="421">
        <v>48</v>
      </c>
      <c r="S287" s="421">
        <v>355</v>
      </c>
      <c r="T287" s="421">
        <v>193</v>
      </c>
      <c r="U287" s="421">
        <v>194</v>
      </c>
      <c r="V287" s="421">
        <v>3043</v>
      </c>
      <c r="W287" s="421">
        <v>1317</v>
      </c>
      <c r="X287" s="421">
        <v>739</v>
      </c>
      <c r="Y287" s="421">
        <v>390</v>
      </c>
      <c r="Z287" s="419"/>
      <c r="AA287" s="419"/>
      <c r="AB287" s="419"/>
      <c r="AC287" s="419"/>
      <c r="AD287" s="419"/>
      <c r="AE287" s="422">
        <v>1.6103931602413644</v>
      </c>
      <c r="AF287" s="421">
        <v>13939283.69802314</v>
      </c>
      <c r="AG287" s="420">
        <v>283</v>
      </c>
      <c r="AH287" s="420">
        <v>2640</v>
      </c>
      <c r="AJ287" s="420">
        <v>136</v>
      </c>
      <c r="AK287" s="420">
        <v>0.020890937019969278</v>
      </c>
      <c r="AM287" s="420">
        <v>0</v>
      </c>
      <c r="AN287" s="420">
        <v>7</v>
      </c>
      <c r="AP287" s="420">
        <v>0</v>
      </c>
      <c r="AQ287" s="420">
        <v>0</v>
      </c>
      <c r="AR287" s="420">
        <v>1162.68</v>
      </c>
      <c r="AU287" s="420">
        <v>219</v>
      </c>
      <c r="AV287" s="420">
        <v>1601</v>
      </c>
      <c r="AW287" s="420">
        <v>0.136789506558401</v>
      </c>
      <c r="AY287" s="420">
        <v>0.5843</v>
      </c>
      <c r="AZ287" s="421">
        <v>2267</v>
      </c>
      <c r="BA287" s="420">
        <v>2266</v>
      </c>
      <c r="BB287" s="420">
        <v>1.000441306266549</v>
      </c>
      <c r="BD287" s="420">
        <v>0</v>
      </c>
      <c r="BE287" s="420">
        <v>0</v>
      </c>
      <c r="BF287" s="421">
        <v>0</v>
      </c>
      <c r="BG287" s="421">
        <v>0</v>
      </c>
      <c r="BH287" s="419"/>
      <c r="BI287" s="421">
        <v>0</v>
      </c>
      <c r="BJ287" s="419"/>
      <c r="BK287" s="421">
        <v>2343.6</v>
      </c>
      <c r="BL287" s="421">
        <v>-107812</v>
      </c>
      <c r="BM287" s="421">
        <v>-223742.49</v>
      </c>
      <c r="BN287" s="419"/>
      <c r="BO287" s="421">
        <v>46812.20847382769</v>
      </c>
      <c r="BP287" s="421">
        <v>704678</v>
      </c>
      <c r="BQ287" s="421">
        <v>221566</v>
      </c>
      <c r="BR287" s="421">
        <v>572270.7166943942</v>
      </c>
      <c r="BS287" s="421">
        <v>29515.069544133108</v>
      </c>
      <c r="BT287" s="421">
        <v>92555.46064005131</v>
      </c>
      <c r="BU287" s="421">
        <v>283008.96376369183</v>
      </c>
      <c r="BV287" s="421">
        <v>392803.3649215729</v>
      </c>
      <c r="BW287" s="421">
        <v>629761.4540615771</v>
      </c>
      <c r="BX287" s="421">
        <v>183218.23571596757</v>
      </c>
      <c r="BY287" s="421">
        <v>336766.08582241257</v>
      </c>
      <c r="BZ287" s="419"/>
      <c r="CA287" s="421">
        <v>-42040.31518150049</v>
      </c>
      <c r="CB287" s="419"/>
      <c r="CC287" s="419"/>
      <c r="CD287" s="419"/>
      <c r="CE287" s="421">
        <v>467947.97790871916</v>
      </c>
      <c r="CF287" s="421">
        <v>253578.6713108691</v>
      </c>
      <c r="CG287" s="421">
        <v>295037.3343158003</v>
      </c>
      <c r="CH287" s="421">
        <v>-26043.81322627964</v>
      </c>
      <c r="CI287" s="419"/>
      <c r="CJ287" s="421">
        <v>4420976.581367405</v>
      </c>
      <c r="CK287" s="421">
        <v>524883</v>
      </c>
      <c r="CL287" s="421">
        <v>162607.4404</v>
      </c>
      <c r="CM287" s="421">
        <v>89426.64</v>
      </c>
      <c r="CN287" s="421">
        <v>73180.8004</v>
      </c>
      <c r="CO287" s="419"/>
      <c r="CP287" s="419"/>
      <c r="CQ287" s="419"/>
      <c r="CR287" s="171">
        <v>1430</v>
      </c>
    </row>
    <row r="288" spans="1:96" ht="9.75">
      <c r="A288" s="203">
        <v>946</v>
      </c>
      <c r="B288" s="203" t="s">
        <v>343</v>
      </c>
      <c r="C288" s="421">
        <v>6388</v>
      </c>
      <c r="D288" s="419"/>
      <c r="E288" s="419"/>
      <c r="F288" s="419"/>
      <c r="G288" s="419"/>
      <c r="H288" s="500">
        <v>4291.05</v>
      </c>
      <c r="I288" s="419"/>
      <c r="J288" s="419"/>
      <c r="K288" s="419"/>
      <c r="L288" s="419"/>
      <c r="M288" s="419"/>
      <c r="N288" s="419"/>
      <c r="O288" s="419"/>
      <c r="P288" s="419"/>
      <c r="Q288" s="421">
        <v>396</v>
      </c>
      <c r="R288" s="421">
        <v>84</v>
      </c>
      <c r="S288" s="421">
        <v>486</v>
      </c>
      <c r="T288" s="421">
        <v>210</v>
      </c>
      <c r="U288" s="421">
        <v>214</v>
      </c>
      <c r="V288" s="421">
        <v>3281</v>
      </c>
      <c r="W288" s="421">
        <v>887</v>
      </c>
      <c r="X288" s="421">
        <v>544</v>
      </c>
      <c r="Y288" s="421">
        <v>286</v>
      </c>
      <c r="Z288" s="419"/>
      <c r="AA288" s="419"/>
      <c r="AB288" s="419"/>
      <c r="AC288" s="419"/>
      <c r="AD288" s="419"/>
      <c r="AE288" s="422">
        <v>0.9246033981567815</v>
      </c>
      <c r="AF288" s="421">
        <v>7853223.302729544</v>
      </c>
      <c r="AG288" s="420">
        <v>206</v>
      </c>
      <c r="AH288" s="420">
        <v>3011</v>
      </c>
      <c r="AJ288" s="420">
        <v>374</v>
      </c>
      <c r="AK288" s="420">
        <v>0.05854727614276769</v>
      </c>
      <c r="AM288" s="420">
        <v>3</v>
      </c>
      <c r="AN288" s="420">
        <v>5205</v>
      </c>
      <c r="AP288" s="420">
        <v>3</v>
      </c>
      <c r="AQ288" s="420">
        <v>514</v>
      </c>
      <c r="AR288" s="420">
        <v>782.14</v>
      </c>
      <c r="AU288" s="420">
        <v>240</v>
      </c>
      <c r="AV288" s="420">
        <v>1831</v>
      </c>
      <c r="AW288" s="420">
        <v>0.1310759148006554</v>
      </c>
      <c r="AY288" s="420">
        <v>0</v>
      </c>
      <c r="AZ288" s="421">
        <v>2431</v>
      </c>
      <c r="BA288" s="420">
        <v>2814</v>
      </c>
      <c r="BB288" s="420">
        <v>0.8638948116560057</v>
      </c>
      <c r="BD288" s="420">
        <v>0</v>
      </c>
      <c r="BE288" s="420">
        <v>0</v>
      </c>
      <c r="BF288" s="421">
        <v>0</v>
      </c>
      <c r="BG288" s="421">
        <v>0</v>
      </c>
      <c r="BH288" s="419"/>
      <c r="BI288" s="421">
        <v>0</v>
      </c>
      <c r="BJ288" s="419"/>
      <c r="BK288" s="421">
        <v>2299.68</v>
      </c>
      <c r="BL288" s="421">
        <v>-66992</v>
      </c>
      <c r="BM288" s="421">
        <v>-94989.13</v>
      </c>
      <c r="BN288" s="419"/>
      <c r="BO288" s="421">
        <v>511241.87484688405</v>
      </c>
      <c r="BP288" s="421">
        <v>610295</v>
      </c>
      <c r="BQ288" s="421">
        <v>210910</v>
      </c>
      <c r="BR288" s="421">
        <v>522557.84133206314</v>
      </c>
      <c r="BS288" s="421">
        <v>25585.96697163288</v>
      </c>
      <c r="BT288" s="421">
        <v>37399.76454258622</v>
      </c>
      <c r="BU288" s="421">
        <v>185934.4408685002</v>
      </c>
      <c r="BV288" s="421">
        <v>417285.97748930304</v>
      </c>
      <c r="BW288" s="421">
        <v>673219.1528353889</v>
      </c>
      <c r="BX288" s="421">
        <v>203127.87166159455</v>
      </c>
      <c r="BY288" s="421">
        <v>332366.8078289041</v>
      </c>
      <c r="BZ288" s="419"/>
      <c r="CA288" s="421">
        <v>-79550.5059135086</v>
      </c>
      <c r="CB288" s="419"/>
      <c r="CC288" s="419"/>
      <c r="CD288" s="419"/>
      <c r="CE288" s="421">
        <v>449223.15251163073</v>
      </c>
      <c r="CF288" s="421">
        <v>256010.02611588512</v>
      </c>
      <c r="CG288" s="421">
        <v>300765.8426464264</v>
      </c>
      <c r="CH288" s="421">
        <v>-27013.082265096516</v>
      </c>
      <c r="CI288" s="419"/>
      <c r="CJ288" s="421">
        <v>4220540.332931338</v>
      </c>
      <c r="CK288" s="421">
        <v>701106</v>
      </c>
      <c r="CL288" s="421">
        <v>137269.8924</v>
      </c>
      <c r="CM288" s="421">
        <v>292276.06840000005</v>
      </c>
      <c r="CN288" s="421">
        <v>-155006.17600000004</v>
      </c>
      <c r="CO288" s="419"/>
      <c r="CP288" s="419"/>
      <c r="CQ288" s="419"/>
      <c r="CR288" s="171">
        <v>1891</v>
      </c>
    </row>
    <row r="289" spans="1:96" ht="9.75">
      <c r="A289" s="203">
        <v>976</v>
      </c>
      <c r="B289" s="203" t="s">
        <v>344</v>
      </c>
      <c r="C289" s="421">
        <v>3890</v>
      </c>
      <c r="D289" s="419"/>
      <c r="E289" s="419"/>
      <c r="F289" s="419"/>
      <c r="G289" s="419"/>
      <c r="H289" s="500">
        <v>4291.05</v>
      </c>
      <c r="I289" s="419"/>
      <c r="J289" s="419"/>
      <c r="K289" s="419"/>
      <c r="L289" s="419"/>
      <c r="M289" s="419"/>
      <c r="N289" s="419"/>
      <c r="O289" s="419"/>
      <c r="P289" s="419"/>
      <c r="Q289" s="421">
        <v>108</v>
      </c>
      <c r="R289" s="421">
        <v>26</v>
      </c>
      <c r="S289" s="421">
        <v>192</v>
      </c>
      <c r="T289" s="421">
        <v>86</v>
      </c>
      <c r="U289" s="421">
        <v>104</v>
      </c>
      <c r="V289" s="421">
        <v>1875</v>
      </c>
      <c r="W289" s="421">
        <v>772</v>
      </c>
      <c r="X289" s="421">
        <v>483</v>
      </c>
      <c r="Y289" s="421">
        <v>244</v>
      </c>
      <c r="Z289" s="419"/>
      <c r="AA289" s="419"/>
      <c r="AB289" s="419"/>
      <c r="AC289" s="419"/>
      <c r="AD289" s="419"/>
      <c r="AE289" s="422">
        <v>1.507236191689306</v>
      </c>
      <c r="AF289" s="421">
        <v>7795760.142042098</v>
      </c>
      <c r="AG289" s="420">
        <v>224</v>
      </c>
      <c r="AH289" s="420">
        <v>1581</v>
      </c>
      <c r="AJ289" s="420">
        <v>99</v>
      </c>
      <c r="AK289" s="420">
        <v>0.02544987146529563</v>
      </c>
      <c r="AM289" s="420">
        <v>0</v>
      </c>
      <c r="AN289" s="420">
        <v>27</v>
      </c>
      <c r="AP289" s="420">
        <v>0</v>
      </c>
      <c r="AQ289" s="420">
        <v>0</v>
      </c>
      <c r="AR289" s="420">
        <v>2028.04</v>
      </c>
      <c r="AU289" s="420">
        <v>145</v>
      </c>
      <c r="AV289" s="420">
        <v>835</v>
      </c>
      <c r="AW289" s="420">
        <v>0.17365269461077845</v>
      </c>
      <c r="AY289" s="420">
        <v>1.6127</v>
      </c>
      <c r="AZ289" s="421">
        <v>1206</v>
      </c>
      <c r="BA289" s="420">
        <v>1315</v>
      </c>
      <c r="BB289" s="420">
        <v>0.9171102661596958</v>
      </c>
      <c r="BD289" s="420">
        <v>0</v>
      </c>
      <c r="BE289" s="420">
        <v>4</v>
      </c>
      <c r="BF289" s="421">
        <v>0</v>
      </c>
      <c r="BG289" s="421">
        <v>0</v>
      </c>
      <c r="BH289" s="419"/>
      <c r="BI289" s="421">
        <v>0</v>
      </c>
      <c r="BJ289" s="419"/>
      <c r="BK289" s="421">
        <v>1400.3999999999999</v>
      </c>
      <c r="BL289" s="421">
        <v>-68703</v>
      </c>
      <c r="BM289" s="421">
        <v>-74763.91</v>
      </c>
      <c r="BN289" s="419"/>
      <c r="BO289" s="421">
        <v>-68346.25052626431</v>
      </c>
      <c r="BP289" s="421">
        <v>449076</v>
      </c>
      <c r="BQ289" s="421">
        <v>136608</v>
      </c>
      <c r="BR289" s="421">
        <v>360895.7856342601</v>
      </c>
      <c r="BS289" s="421">
        <v>19702.819711007938</v>
      </c>
      <c r="BT289" s="421">
        <v>42803.14343171017</v>
      </c>
      <c r="BU289" s="421">
        <v>150987.586605333</v>
      </c>
      <c r="BV289" s="421">
        <v>227803.8682606217</v>
      </c>
      <c r="BW289" s="421">
        <v>354584.16249509755</v>
      </c>
      <c r="BX289" s="421">
        <v>106931.08118637609</v>
      </c>
      <c r="BY289" s="421">
        <v>191894.80090218593</v>
      </c>
      <c r="BZ289" s="419"/>
      <c r="CA289" s="421">
        <v>1889.7106935028714</v>
      </c>
      <c r="CB289" s="419"/>
      <c r="CC289" s="419"/>
      <c r="CD289" s="419"/>
      <c r="CE289" s="421">
        <v>249207.75160512375</v>
      </c>
      <c r="CF289" s="421">
        <v>136207.87344568915</v>
      </c>
      <c r="CG289" s="421">
        <v>158741.50206088007</v>
      </c>
      <c r="CH289" s="421">
        <v>-15115.200037269642</v>
      </c>
      <c r="CI289" s="419"/>
      <c r="CJ289" s="421">
        <v>3375908.5585678513</v>
      </c>
      <c r="CK289" s="421">
        <v>-317114</v>
      </c>
      <c r="CL289" s="421">
        <v>119235.52</v>
      </c>
      <c r="CM289" s="421">
        <v>177362.836</v>
      </c>
      <c r="CN289" s="421">
        <v>-58127.316000000006</v>
      </c>
      <c r="CO289" s="419"/>
      <c r="CP289" s="419"/>
      <c r="CQ289" s="419"/>
      <c r="CR289" s="171">
        <v>774</v>
      </c>
    </row>
    <row r="290" spans="1:96" ht="9.75">
      <c r="A290" s="203">
        <v>977</v>
      </c>
      <c r="B290" s="203" t="s">
        <v>345</v>
      </c>
      <c r="C290" s="421">
        <v>15304</v>
      </c>
      <c r="D290" s="419"/>
      <c r="E290" s="419"/>
      <c r="F290" s="419"/>
      <c r="G290" s="419"/>
      <c r="H290" s="500">
        <v>4291.05</v>
      </c>
      <c r="I290" s="419"/>
      <c r="J290" s="419"/>
      <c r="K290" s="419"/>
      <c r="L290" s="419"/>
      <c r="M290" s="419"/>
      <c r="N290" s="419"/>
      <c r="O290" s="419"/>
      <c r="P290" s="419"/>
      <c r="Q290" s="421">
        <v>1163</v>
      </c>
      <c r="R290" s="421">
        <v>261</v>
      </c>
      <c r="S290" s="421">
        <v>1384</v>
      </c>
      <c r="T290" s="421">
        <v>615</v>
      </c>
      <c r="U290" s="421">
        <v>639</v>
      </c>
      <c r="V290" s="421">
        <v>8109</v>
      </c>
      <c r="W290" s="421">
        <v>1799</v>
      </c>
      <c r="X290" s="421">
        <v>930</v>
      </c>
      <c r="Y290" s="421">
        <v>404</v>
      </c>
      <c r="Z290" s="419"/>
      <c r="AA290" s="419"/>
      <c r="AB290" s="419"/>
      <c r="AC290" s="419"/>
      <c r="AD290" s="419"/>
      <c r="AE290" s="422">
        <v>1.2790529593405104</v>
      </c>
      <c r="AF290" s="421">
        <v>26026815.581610244</v>
      </c>
      <c r="AG290" s="420">
        <v>873</v>
      </c>
      <c r="AH290" s="420">
        <v>6915</v>
      </c>
      <c r="AJ290" s="420">
        <v>222</v>
      </c>
      <c r="AK290" s="420">
        <v>0.01450601150026137</v>
      </c>
      <c r="AM290" s="420">
        <v>0</v>
      </c>
      <c r="AN290" s="420">
        <v>42</v>
      </c>
      <c r="AP290" s="420">
        <v>0</v>
      </c>
      <c r="AQ290" s="420">
        <v>0</v>
      </c>
      <c r="AR290" s="420">
        <v>569.73</v>
      </c>
      <c r="AU290" s="420">
        <v>394</v>
      </c>
      <c r="AV290" s="420">
        <v>4482</v>
      </c>
      <c r="AW290" s="420">
        <v>0.08790718429272647</v>
      </c>
      <c r="AY290" s="420">
        <v>0</v>
      </c>
      <c r="AZ290" s="421">
        <v>6537</v>
      </c>
      <c r="BA290" s="420">
        <v>6181</v>
      </c>
      <c r="BB290" s="420">
        <v>1.05759585827536</v>
      </c>
      <c r="BD290" s="420">
        <v>0</v>
      </c>
      <c r="BE290" s="420">
        <v>1</v>
      </c>
      <c r="BF290" s="421">
        <v>0</v>
      </c>
      <c r="BG290" s="421">
        <v>0</v>
      </c>
      <c r="BH290" s="419"/>
      <c r="BI290" s="421">
        <v>0</v>
      </c>
      <c r="BJ290" s="419"/>
      <c r="BK290" s="421">
        <v>5509.44</v>
      </c>
      <c r="BL290" s="421">
        <v>55920</v>
      </c>
      <c r="BM290" s="421">
        <v>-624305.04</v>
      </c>
      <c r="BN290" s="419"/>
      <c r="BO290" s="421">
        <v>31894.618232842535</v>
      </c>
      <c r="BP290" s="421">
        <v>1105522</v>
      </c>
      <c r="BQ290" s="421">
        <v>359322</v>
      </c>
      <c r="BR290" s="421">
        <v>800309.0794281153</v>
      </c>
      <c r="BS290" s="421">
        <v>28657.374442731707</v>
      </c>
      <c r="BT290" s="421">
        <v>20607.3296960915</v>
      </c>
      <c r="BU290" s="421">
        <v>400458.4208793326</v>
      </c>
      <c r="BV290" s="421">
        <v>780849.606266519</v>
      </c>
      <c r="BW290" s="421">
        <v>1163766.1274462175</v>
      </c>
      <c r="BX290" s="421">
        <v>327230.91446480615</v>
      </c>
      <c r="BY290" s="421">
        <v>644902.1475982037</v>
      </c>
      <c r="BZ290" s="419"/>
      <c r="CA290" s="421">
        <v>79958.58428307927</v>
      </c>
      <c r="CB290" s="419"/>
      <c r="CC290" s="419"/>
      <c r="CD290" s="419"/>
      <c r="CE290" s="421">
        <v>865084.0707645351</v>
      </c>
      <c r="CF290" s="421">
        <v>526249.389625198</v>
      </c>
      <c r="CG290" s="421">
        <v>667532.3111591784</v>
      </c>
      <c r="CH290" s="421">
        <v>-66905.45228924994</v>
      </c>
      <c r="CI290" s="419"/>
      <c r="CJ290" s="421">
        <v>10575153.54236905</v>
      </c>
      <c r="CK290" s="421">
        <v>360620</v>
      </c>
      <c r="CL290" s="421">
        <v>567933.6862000002</v>
      </c>
      <c r="CM290" s="421">
        <v>330386.72148000007</v>
      </c>
      <c r="CN290" s="421">
        <v>237546.96472000016</v>
      </c>
      <c r="CO290" s="419"/>
      <c r="CP290" s="419"/>
      <c r="CQ290" s="419"/>
      <c r="CR290" s="171">
        <v>5738</v>
      </c>
    </row>
    <row r="291" spans="1:96" ht="9.75">
      <c r="A291" s="203">
        <v>980</v>
      </c>
      <c r="B291" s="203" t="s">
        <v>346</v>
      </c>
      <c r="C291" s="421">
        <v>33352</v>
      </c>
      <c r="D291" s="419"/>
      <c r="E291" s="419"/>
      <c r="F291" s="419"/>
      <c r="G291" s="419"/>
      <c r="H291" s="500">
        <v>4291.05</v>
      </c>
      <c r="I291" s="419"/>
      <c r="J291" s="419"/>
      <c r="K291" s="419"/>
      <c r="L291" s="419"/>
      <c r="M291" s="419"/>
      <c r="N291" s="419"/>
      <c r="O291" s="419"/>
      <c r="P291" s="419"/>
      <c r="Q291" s="421">
        <v>2368</v>
      </c>
      <c r="R291" s="421">
        <v>453</v>
      </c>
      <c r="S291" s="421">
        <v>3135</v>
      </c>
      <c r="T291" s="421">
        <v>1431</v>
      </c>
      <c r="U291" s="421">
        <v>1370</v>
      </c>
      <c r="V291" s="421">
        <v>18411</v>
      </c>
      <c r="W291" s="421">
        <v>3622</v>
      </c>
      <c r="X291" s="421">
        <v>1910</v>
      </c>
      <c r="Y291" s="421">
        <v>652</v>
      </c>
      <c r="Z291" s="419"/>
      <c r="AA291" s="419"/>
      <c r="AB291" s="419"/>
      <c r="AC291" s="419"/>
      <c r="AD291" s="419"/>
      <c r="AE291" s="422">
        <v>0.793385563698696</v>
      </c>
      <c r="AF291" s="421">
        <v>35183069.786019824</v>
      </c>
      <c r="AG291" s="420">
        <v>1582</v>
      </c>
      <c r="AH291" s="420">
        <v>15963</v>
      </c>
      <c r="AJ291" s="420">
        <v>876</v>
      </c>
      <c r="AK291" s="420">
        <v>0.026265291436795395</v>
      </c>
      <c r="AM291" s="420">
        <v>0</v>
      </c>
      <c r="AN291" s="420">
        <v>116</v>
      </c>
      <c r="AP291" s="420">
        <v>0</v>
      </c>
      <c r="AQ291" s="420">
        <v>0</v>
      </c>
      <c r="AR291" s="420">
        <v>1115.75</v>
      </c>
      <c r="AU291" s="420">
        <v>982</v>
      </c>
      <c r="AV291" s="420">
        <v>11272</v>
      </c>
      <c r="AW291" s="420">
        <v>0.08711852377572747</v>
      </c>
      <c r="AY291" s="420">
        <v>0</v>
      </c>
      <c r="AZ291" s="421">
        <v>10099</v>
      </c>
      <c r="BA291" s="420">
        <v>14938</v>
      </c>
      <c r="BB291" s="420">
        <v>0.6760610523497121</v>
      </c>
      <c r="BD291" s="420">
        <v>0</v>
      </c>
      <c r="BE291" s="420">
        <v>0</v>
      </c>
      <c r="BF291" s="421">
        <v>0</v>
      </c>
      <c r="BG291" s="421">
        <v>0</v>
      </c>
      <c r="BH291" s="419"/>
      <c r="BI291" s="421">
        <v>0</v>
      </c>
      <c r="BJ291" s="419"/>
      <c r="BK291" s="421">
        <v>12006.72</v>
      </c>
      <c r="BL291" s="421">
        <v>-15104</v>
      </c>
      <c r="BM291" s="421">
        <v>-1311675.235</v>
      </c>
      <c r="BN291" s="419"/>
      <c r="BO291" s="421">
        <v>-347209.93432351947</v>
      </c>
      <c r="BP291" s="421">
        <v>2053006</v>
      </c>
      <c r="BQ291" s="421">
        <v>651254</v>
      </c>
      <c r="BR291" s="421">
        <v>1314597.2430768656</v>
      </c>
      <c r="BS291" s="421">
        <v>15734.767118453987</v>
      </c>
      <c r="BT291" s="421">
        <v>-104982.75987239247</v>
      </c>
      <c r="BU291" s="421">
        <v>676365.6684635072</v>
      </c>
      <c r="BV291" s="421">
        <v>1370714.847696324</v>
      </c>
      <c r="BW291" s="421">
        <v>2239117.9938244843</v>
      </c>
      <c r="BX291" s="421">
        <v>579554.8540764924</v>
      </c>
      <c r="BY291" s="421">
        <v>1144350.8280256304</v>
      </c>
      <c r="BZ291" s="419"/>
      <c r="CA291" s="421">
        <v>30817.545606577274</v>
      </c>
      <c r="CB291" s="419"/>
      <c r="CC291" s="419"/>
      <c r="CD291" s="419"/>
      <c r="CE291" s="421">
        <v>1483245.9062719066</v>
      </c>
      <c r="CF291" s="421">
        <v>972531.0260025009</v>
      </c>
      <c r="CG291" s="421">
        <v>1291785.656246674</v>
      </c>
      <c r="CH291" s="421">
        <v>-155317.9455308482</v>
      </c>
      <c r="CI291" s="419"/>
      <c r="CJ291" s="421">
        <v>7338209.324586863</v>
      </c>
      <c r="CK291" s="421">
        <v>-3582915</v>
      </c>
      <c r="CL291" s="421">
        <v>867587.4524000002</v>
      </c>
      <c r="CM291" s="421">
        <v>1897913.5042719997</v>
      </c>
      <c r="CN291" s="421">
        <v>-1030326.0518719995</v>
      </c>
      <c r="CO291" s="419"/>
      <c r="CP291" s="419"/>
      <c r="CQ291" s="419"/>
      <c r="CR291" s="171">
        <v>11239</v>
      </c>
    </row>
    <row r="292" spans="1:96" ht="9.75">
      <c r="A292" s="203">
        <v>981</v>
      </c>
      <c r="B292" s="203" t="s">
        <v>347</v>
      </c>
      <c r="C292" s="421">
        <v>2314</v>
      </c>
      <c r="D292" s="419"/>
      <c r="E292" s="419"/>
      <c r="F292" s="419"/>
      <c r="G292" s="419"/>
      <c r="H292" s="500">
        <v>4291.05</v>
      </c>
      <c r="I292" s="419"/>
      <c r="J292" s="419"/>
      <c r="K292" s="419"/>
      <c r="L292" s="419"/>
      <c r="M292" s="419"/>
      <c r="N292" s="419"/>
      <c r="O292" s="419"/>
      <c r="P292" s="419"/>
      <c r="Q292" s="421">
        <v>87</v>
      </c>
      <c r="R292" s="421">
        <v>15</v>
      </c>
      <c r="S292" s="421">
        <v>130</v>
      </c>
      <c r="T292" s="421">
        <v>77</v>
      </c>
      <c r="U292" s="421">
        <v>77</v>
      </c>
      <c r="V292" s="421">
        <v>1254</v>
      </c>
      <c r="W292" s="421">
        <v>401</v>
      </c>
      <c r="X292" s="421">
        <v>183</v>
      </c>
      <c r="Y292" s="421">
        <v>90</v>
      </c>
      <c r="Z292" s="419"/>
      <c r="AA292" s="419"/>
      <c r="AB292" s="419"/>
      <c r="AC292" s="419"/>
      <c r="AD292" s="419"/>
      <c r="AE292" s="422">
        <v>0.9998246771303149</v>
      </c>
      <c r="AF292" s="421">
        <v>3076201.3570327894</v>
      </c>
      <c r="AG292" s="420">
        <v>104</v>
      </c>
      <c r="AH292" s="420">
        <v>1066</v>
      </c>
      <c r="AJ292" s="420">
        <v>38</v>
      </c>
      <c r="AK292" s="420">
        <v>0.016421780466724288</v>
      </c>
      <c r="AM292" s="420">
        <v>0</v>
      </c>
      <c r="AN292" s="420">
        <v>14</v>
      </c>
      <c r="AP292" s="420">
        <v>0</v>
      </c>
      <c r="AQ292" s="420">
        <v>0</v>
      </c>
      <c r="AR292" s="420">
        <v>182.76</v>
      </c>
      <c r="AU292" s="420">
        <v>84</v>
      </c>
      <c r="AV292" s="420">
        <v>666</v>
      </c>
      <c r="AW292" s="420">
        <v>0.12612612612612611</v>
      </c>
      <c r="AY292" s="420">
        <v>0</v>
      </c>
      <c r="AZ292" s="421">
        <v>615</v>
      </c>
      <c r="BA292" s="420">
        <v>973</v>
      </c>
      <c r="BB292" s="420">
        <v>0.632065775950668</v>
      </c>
      <c r="BD292" s="420">
        <v>0</v>
      </c>
      <c r="BE292" s="420">
        <v>0</v>
      </c>
      <c r="BF292" s="421">
        <v>0</v>
      </c>
      <c r="BG292" s="421">
        <v>0</v>
      </c>
      <c r="BH292" s="419"/>
      <c r="BI292" s="421">
        <v>0</v>
      </c>
      <c r="BJ292" s="419"/>
      <c r="BK292" s="421">
        <v>833.04</v>
      </c>
      <c r="BL292" s="421">
        <v>29176</v>
      </c>
      <c r="BM292" s="421">
        <v>-62025.485</v>
      </c>
      <c r="BN292" s="419"/>
      <c r="BO292" s="421">
        <v>26663.14650002122</v>
      </c>
      <c r="BP292" s="421">
        <v>230288</v>
      </c>
      <c r="BQ292" s="421">
        <v>80816</v>
      </c>
      <c r="BR292" s="421">
        <v>184290.17484536598</v>
      </c>
      <c r="BS292" s="421">
        <v>9318.783464418157</v>
      </c>
      <c r="BT292" s="421">
        <v>30796.386826805596</v>
      </c>
      <c r="BU292" s="421">
        <v>74794.23220504644</v>
      </c>
      <c r="BV292" s="421">
        <v>147649.47010495246</v>
      </c>
      <c r="BW292" s="421">
        <v>237874.01446903648</v>
      </c>
      <c r="BX292" s="421">
        <v>75569.26100283953</v>
      </c>
      <c r="BY292" s="421">
        <v>120196.89413887881</v>
      </c>
      <c r="BZ292" s="419"/>
      <c r="CA292" s="421">
        <v>10378.44076473437</v>
      </c>
      <c r="CB292" s="419"/>
      <c r="CC292" s="419"/>
      <c r="CD292" s="419"/>
      <c r="CE292" s="421">
        <v>161708.38760982396</v>
      </c>
      <c r="CF292" s="421">
        <v>90688.41092673881</v>
      </c>
      <c r="CG292" s="421">
        <v>110318.25881362872</v>
      </c>
      <c r="CH292" s="421">
        <v>-9383.379623562552</v>
      </c>
      <c r="CI292" s="419"/>
      <c r="CJ292" s="421">
        <v>1870482.3361778343</v>
      </c>
      <c r="CK292" s="421">
        <v>-529170</v>
      </c>
      <c r="CL292" s="421">
        <v>7452.22</v>
      </c>
      <c r="CM292" s="421">
        <v>117745.076</v>
      </c>
      <c r="CN292" s="421">
        <v>-110292.856</v>
      </c>
      <c r="CO292" s="419"/>
      <c r="CP292" s="419"/>
      <c r="CQ292" s="419"/>
      <c r="CR292" s="171">
        <v>566</v>
      </c>
    </row>
    <row r="293" spans="1:96" ht="9.75">
      <c r="A293" s="203">
        <v>989</v>
      </c>
      <c r="B293" s="203" t="s">
        <v>348</v>
      </c>
      <c r="C293" s="421">
        <v>5522</v>
      </c>
      <c r="D293" s="419"/>
      <c r="E293" s="419"/>
      <c r="F293" s="419"/>
      <c r="G293" s="419"/>
      <c r="H293" s="500">
        <v>4291.05</v>
      </c>
      <c r="I293" s="419"/>
      <c r="J293" s="419"/>
      <c r="K293" s="419"/>
      <c r="L293" s="419"/>
      <c r="M293" s="419"/>
      <c r="N293" s="419"/>
      <c r="O293" s="419"/>
      <c r="P293" s="419"/>
      <c r="Q293" s="421">
        <v>229</v>
      </c>
      <c r="R293" s="421">
        <v>47</v>
      </c>
      <c r="S293" s="421">
        <v>338</v>
      </c>
      <c r="T293" s="421">
        <v>180</v>
      </c>
      <c r="U293" s="421">
        <v>180</v>
      </c>
      <c r="V293" s="421">
        <v>2689</v>
      </c>
      <c r="W293" s="421">
        <v>1092</v>
      </c>
      <c r="X293" s="421">
        <v>550</v>
      </c>
      <c r="Y293" s="421">
        <v>217</v>
      </c>
      <c r="Z293" s="419"/>
      <c r="AA293" s="419"/>
      <c r="AB293" s="419"/>
      <c r="AC293" s="419"/>
      <c r="AD293" s="419"/>
      <c r="AE293" s="422">
        <v>1.5062488609839795</v>
      </c>
      <c r="AF293" s="421">
        <v>11059122.9487742</v>
      </c>
      <c r="AG293" s="420">
        <v>245</v>
      </c>
      <c r="AH293" s="420">
        <v>2347</v>
      </c>
      <c r="AJ293" s="420">
        <v>59</v>
      </c>
      <c r="AK293" s="420">
        <v>0.010684534588917058</v>
      </c>
      <c r="AM293" s="420">
        <v>0</v>
      </c>
      <c r="AN293" s="420">
        <v>5</v>
      </c>
      <c r="AP293" s="420">
        <v>0</v>
      </c>
      <c r="AQ293" s="420">
        <v>0</v>
      </c>
      <c r="AR293" s="420">
        <v>805.82</v>
      </c>
      <c r="AU293" s="420">
        <v>160</v>
      </c>
      <c r="AV293" s="420">
        <v>1379</v>
      </c>
      <c r="AW293" s="420">
        <v>0.11602610587382162</v>
      </c>
      <c r="AY293" s="420">
        <v>0.3221</v>
      </c>
      <c r="AZ293" s="421">
        <v>2041</v>
      </c>
      <c r="BA293" s="420">
        <v>2052</v>
      </c>
      <c r="BB293" s="420">
        <v>0.9946393762183235</v>
      </c>
      <c r="BD293" s="420">
        <v>0</v>
      </c>
      <c r="BE293" s="420">
        <v>0</v>
      </c>
      <c r="BF293" s="421">
        <v>0</v>
      </c>
      <c r="BG293" s="421">
        <v>0</v>
      </c>
      <c r="BH293" s="419"/>
      <c r="BI293" s="421">
        <v>0</v>
      </c>
      <c r="BJ293" s="419"/>
      <c r="BK293" s="421">
        <v>1987.9199999999998</v>
      </c>
      <c r="BL293" s="421">
        <v>126664</v>
      </c>
      <c r="BM293" s="421">
        <v>-157146.76</v>
      </c>
      <c r="BN293" s="419"/>
      <c r="BO293" s="421">
        <v>96496.76393330097</v>
      </c>
      <c r="BP293" s="421">
        <v>587503</v>
      </c>
      <c r="BQ293" s="421">
        <v>170766</v>
      </c>
      <c r="BR293" s="421">
        <v>439282.3278928873</v>
      </c>
      <c r="BS293" s="421">
        <v>22135.671166588105</v>
      </c>
      <c r="BT293" s="421">
        <v>52404.35786021622</v>
      </c>
      <c r="BU293" s="421">
        <v>222121.41562959072</v>
      </c>
      <c r="BV293" s="421">
        <v>338418.62562740437</v>
      </c>
      <c r="BW293" s="421">
        <v>547995.4616597563</v>
      </c>
      <c r="BX293" s="421">
        <v>160825.0056978438</v>
      </c>
      <c r="BY293" s="421">
        <v>282767.06100177206</v>
      </c>
      <c r="BZ293" s="419"/>
      <c r="CA293" s="421">
        <v>-218.17703829817037</v>
      </c>
      <c r="CB293" s="419"/>
      <c r="CC293" s="419"/>
      <c r="CD293" s="419"/>
      <c r="CE293" s="421">
        <v>367896.0737178369</v>
      </c>
      <c r="CF293" s="421">
        <v>207413.0725053919</v>
      </c>
      <c r="CG293" s="421">
        <v>245439.80727467503</v>
      </c>
      <c r="CH293" s="421">
        <v>-23741.284964303537</v>
      </c>
      <c r="CI293" s="419"/>
      <c r="CJ293" s="421">
        <v>4304882.164015398</v>
      </c>
      <c r="CK293" s="421">
        <v>-386114</v>
      </c>
      <c r="CL293" s="421">
        <v>228112.45419999998</v>
      </c>
      <c r="CM293" s="421">
        <v>50675.096000000005</v>
      </c>
      <c r="CN293" s="421">
        <v>177437.35819999996</v>
      </c>
      <c r="CO293" s="419"/>
      <c r="CP293" s="419"/>
      <c r="CQ293" s="419"/>
      <c r="CR293" s="171">
        <v>1330</v>
      </c>
    </row>
    <row r="294" spans="1:96" ht="9.75">
      <c r="A294" s="203">
        <v>992</v>
      </c>
      <c r="B294" s="203" t="s">
        <v>349</v>
      </c>
      <c r="C294" s="421">
        <v>18577</v>
      </c>
      <c r="D294" s="419"/>
      <c r="E294" s="419"/>
      <c r="F294" s="419"/>
      <c r="G294" s="419"/>
      <c r="H294" s="500">
        <v>4291.05</v>
      </c>
      <c r="I294" s="419"/>
      <c r="J294" s="419"/>
      <c r="K294" s="419"/>
      <c r="L294" s="419"/>
      <c r="M294" s="419"/>
      <c r="N294" s="419"/>
      <c r="O294" s="419"/>
      <c r="P294" s="419"/>
      <c r="Q294" s="421">
        <v>890</v>
      </c>
      <c r="R294" s="421">
        <v>183</v>
      </c>
      <c r="S294" s="421">
        <v>1291</v>
      </c>
      <c r="T294" s="421">
        <v>713</v>
      </c>
      <c r="U294" s="421">
        <v>664</v>
      </c>
      <c r="V294" s="421">
        <v>9650</v>
      </c>
      <c r="W294" s="421">
        <v>2945</v>
      </c>
      <c r="X294" s="421">
        <v>1655</v>
      </c>
      <c r="Y294" s="421">
        <v>586</v>
      </c>
      <c r="Z294" s="419"/>
      <c r="AA294" s="419"/>
      <c r="AB294" s="419"/>
      <c r="AC294" s="419"/>
      <c r="AD294" s="419"/>
      <c r="AE294" s="422">
        <v>1.4150902086592512</v>
      </c>
      <c r="AF294" s="421">
        <v>34953225.51849974</v>
      </c>
      <c r="AG294" s="420">
        <v>1348</v>
      </c>
      <c r="AH294" s="420">
        <v>8040</v>
      </c>
      <c r="AJ294" s="420">
        <v>341</v>
      </c>
      <c r="AK294" s="420">
        <v>0.01835603165204285</v>
      </c>
      <c r="AM294" s="420">
        <v>0</v>
      </c>
      <c r="AN294" s="420">
        <v>19</v>
      </c>
      <c r="AP294" s="420">
        <v>0</v>
      </c>
      <c r="AQ294" s="420">
        <v>0</v>
      </c>
      <c r="AR294" s="420">
        <v>884.58</v>
      </c>
      <c r="AU294" s="420">
        <v>600</v>
      </c>
      <c r="AV294" s="420">
        <v>5091</v>
      </c>
      <c r="AW294" s="420">
        <v>0.11785503830288745</v>
      </c>
      <c r="AY294" s="420">
        <v>0</v>
      </c>
      <c r="AZ294" s="421">
        <v>6791</v>
      </c>
      <c r="BA294" s="420">
        <v>6562</v>
      </c>
      <c r="BB294" s="420">
        <v>1.0348978969826272</v>
      </c>
      <c r="BD294" s="420">
        <v>0</v>
      </c>
      <c r="BE294" s="420">
        <v>6</v>
      </c>
      <c r="BF294" s="421">
        <v>0</v>
      </c>
      <c r="BG294" s="421">
        <v>0</v>
      </c>
      <c r="BH294" s="419"/>
      <c r="BI294" s="421">
        <v>0</v>
      </c>
      <c r="BJ294" s="419"/>
      <c r="BK294" s="421">
        <v>6687.719999999999</v>
      </c>
      <c r="BL294" s="421">
        <v>678179</v>
      </c>
      <c r="BM294" s="421">
        <v>-1024273.875</v>
      </c>
      <c r="BN294" s="419"/>
      <c r="BO294" s="421">
        <v>18012.54996163398</v>
      </c>
      <c r="BP294" s="421">
        <v>1489761</v>
      </c>
      <c r="BQ294" s="421">
        <v>450815</v>
      </c>
      <c r="BR294" s="421">
        <v>1034431.5246544537</v>
      </c>
      <c r="BS294" s="421">
        <v>34021.999037244925</v>
      </c>
      <c r="BT294" s="421">
        <v>135664.67047937264</v>
      </c>
      <c r="BU294" s="421">
        <v>556663.5774633273</v>
      </c>
      <c r="BV294" s="421">
        <v>843413.5215587942</v>
      </c>
      <c r="BW294" s="421">
        <v>1444256.7380260613</v>
      </c>
      <c r="BX294" s="421">
        <v>394204.05797371245</v>
      </c>
      <c r="BY294" s="421">
        <v>828688.6681711307</v>
      </c>
      <c r="BZ294" s="419"/>
      <c r="CA294" s="421">
        <v>27032.53271832975</v>
      </c>
      <c r="CB294" s="419"/>
      <c r="CC294" s="419"/>
      <c r="CD294" s="419"/>
      <c r="CE294" s="421">
        <v>973055.8897930898</v>
      </c>
      <c r="CF294" s="421">
        <v>591895.7314762501</v>
      </c>
      <c r="CG294" s="421">
        <v>743563.1388563593</v>
      </c>
      <c r="CH294" s="421">
        <v>-86174.88897583503</v>
      </c>
      <c r="CI294" s="419"/>
      <c r="CJ294" s="421">
        <v>6566680.92629568</v>
      </c>
      <c r="CK294" s="421">
        <v>-844774</v>
      </c>
      <c r="CL294" s="421">
        <v>260976.7444</v>
      </c>
      <c r="CM294" s="421">
        <v>388841.93516</v>
      </c>
      <c r="CN294" s="421">
        <v>-127865.19076</v>
      </c>
      <c r="CO294" s="419"/>
      <c r="CP294" s="419"/>
      <c r="CQ294" s="419"/>
      <c r="CR294" s="171">
        <v>5276</v>
      </c>
    </row>
    <row r="295" spans="1:95" ht="9.75">
      <c r="A295" s="203"/>
      <c r="B295" s="203"/>
      <c r="C295" s="421"/>
      <c r="D295" s="419"/>
      <c r="E295" s="419"/>
      <c r="F295" s="419"/>
      <c r="G295" s="419"/>
      <c r="H295" s="500"/>
      <c r="I295" s="419"/>
      <c r="J295" s="419"/>
      <c r="K295" s="419"/>
      <c r="L295" s="419"/>
      <c r="M295" s="419"/>
      <c r="N295" s="419"/>
      <c r="O295" s="419"/>
      <c r="P295" s="419"/>
      <c r="Q295" s="421"/>
      <c r="R295" s="421"/>
      <c r="S295" s="421"/>
      <c r="T295" s="421"/>
      <c r="U295" s="421"/>
      <c r="V295" s="421"/>
      <c r="W295" s="421"/>
      <c r="X295" s="421"/>
      <c r="Y295" s="421"/>
      <c r="Z295" s="419"/>
      <c r="AA295" s="419"/>
      <c r="AB295" s="419"/>
      <c r="AC295" s="419"/>
      <c r="AD295" s="419"/>
      <c r="AE295" s="422"/>
      <c r="AF295" s="421"/>
      <c r="AZ295" s="421"/>
      <c r="BF295" s="421"/>
      <c r="BG295" s="421"/>
      <c r="BH295" s="419"/>
      <c r="BI295" s="421"/>
      <c r="BJ295" s="419"/>
      <c r="BK295" s="421"/>
      <c r="BL295" s="421"/>
      <c r="BM295" s="421"/>
      <c r="BN295" s="419"/>
      <c r="BO295" s="421"/>
      <c r="BP295" s="421"/>
      <c r="BQ295" s="421"/>
      <c r="BR295" s="421"/>
      <c r="BS295" s="421"/>
      <c r="BT295" s="421"/>
      <c r="BU295" s="421"/>
      <c r="BV295" s="421"/>
      <c r="BW295" s="421"/>
      <c r="BX295" s="421"/>
      <c r="BY295" s="421"/>
      <c r="BZ295" s="419"/>
      <c r="CA295" s="421"/>
      <c r="CB295" s="419"/>
      <c r="CC295" s="419"/>
      <c r="CD295" s="419"/>
      <c r="CE295" s="421"/>
      <c r="CF295" s="421"/>
      <c r="CG295" s="421"/>
      <c r="CH295" s="421"/>
      <c r="CI295" s="419"/>
      <c r="CJ295" s="421"/>
      <c r="CK295" s="421"/>
      <c r="CL295" s="421"/>
      <c r="CM295" s="421"/>
      <c r="CN295" s="421"/>
      <c r="CO295" s="419"/>
      <c r="CP295" s="419"/>
      <c r="CQ295" s="419"/>
    </row>
    <row r="297" spans="3:95" ht="9.75">
      <c r="C297" s="421"/>
      <c r="D297" s="419"/>
      <c r="E297" s="419"/>
      <c r="F297" s="419"/>
      <c r="G297" s="419"/>
      <c r="H297" s="421"/>
      <c r="I297" s="419"/>
      <c r="J297" s="419"/>
      <c r="K297" s="419"/>
      <c r="L297" s="419"/>
      <c r="M297" s="419"/>
      <c r="N297" s="419"/>
      <c r="O297" s="419"/>
      <c r="P297" s="419"/>
      <c r="Q297" s="421"/>
      <c r="R297" s="421"/>
      <c r="S297" s="421"/>
      <c r="T297" s="421"/>
      <c r="U297" s="421"/>
      <c r="V297" s="421"/>
      <c r="W297" s="421"/>
      <c r="X297" s="421"/>
      <c r="Y297" s="421"/>
      <c r="Z297" s="419"/>
      <c r="AA297" s="419"/>
      <c r="AB297" s="419"/>
      <c r="AC297" s="419"/>
      <c r="AD297" s="419"/>
      <c r="AE297" s="421"/>
      <c r="AF297" s="421"/>
      <c r="AG297" s="421"/>
      <c r="AH297" s="421"/>
      <c r="AI297" s="419"/>
      <c r="AJ297" s="421"/>
      <c r="AK297" s="421"/>
      <c r="AL297" s="419"/>
      <c r="AM297" s="421"/>
      <c r="AN297" s="421"/>
      <c r="AO297" s="419"/>
      <c r="AP297" s="421"/>
      <c r="AQ297" s="421"/>
      <c r="AR297" s="421"/>
      <c r="AS297" s="419"/>
      <c r="AT297" s="419"/>
      <c r="AU297" s="421"/>
      <c r="AV297" s="421"/>
      <c r="AW297" s="421"/>
      <c r="AX297" s="419"/>
      <c r="AY297" s="421"/>
      <c r="AZ297" s="421"/>
      <c r="BA297" s="421"/>
      <c r="BB297" s="421"/>
      <c r="BC297" s="419"/>
      <c r="BD297" s="421"/>
      <c r="BE297" s="421"/>
      <c r="BF297" s="421"/>
      <c r="BG297" s="421"/>
      <c r="BH297" s="419"/>
      <c r="BI297" s="421"/>
      <c r="BJ297" s="419"/>
      <c r="BK297" s="421"/>
      <c r="BL297" s="421"/>
      <c r="BM297" s="421"/>
      <c r="BN297" s="419"/>
      <c r="BO297" s="421"/>
      <c r="BP297" s="421"/>
      <c r="BQ297" s="421"/>
      <c r="BR297" s="421"/>
      <c r="BS297" s="421"/>
      <c r="BT297" s="421"/>
      <c r="BU297" s="421"/>
      <c r="BV297" s="421"/>
      <c r="BW297" s="421"/>
      <c r="BX297" s="421"/>
      <c r="BY297" s="421"/>
      <c r="BZ297" s="419"/>
      <c r="CA297" s="421"/>
      <c r="CB297" s="419"/>
      <c r="CC297" s="419"/>
      <c r="CD297" s="419"/>
      <c r="CE297" s="421"/>
      <c r="CF297" s="421"/>
      <c r="CG297" s="421"/>
      <c r="CH297" s="421"/>
      <c r="CI297" s="419"/>
      <c r="CJ297" s="421"/>
      <c r="CK297" s="421"/>
      <c r="CL297" s="421"/>
      <c r="CM297" s="421"/>
      <c r="CN297" s="421"/>
      <c r="CO297" s="419"/>
      <c r="CP297" s="419"/>
      <c r="CQ297" s="419"/>
    </row>
  </sheetData>
  <sheetProtection/>
  <autoFilter ref="A1:CR1">
    <sortState ref="A2:CR297">
      <sortCondition sortBy="value" ref="B2:B297"/>
    </sortState>
  </autoFilter>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N108"/>
  <sheetViews>
    <sheetView tabSelected="1" zoomScale="130" zoomScaleNormal="130" zoomScaleSheetLayoutView="100" zoomScalePageLayoutView="0" workbookViewId="0" topLeftCell="A1">
      <selection activeCell="A1" sqref="A1"/>
    </sheetView>
  </sheetViews>
  <sheetFormatPr defaultColWidth="9.140625" defaultRowHeight="12.75"/>
  <cols>
    <col min="1" max="5" width="1.57421875" style="0" customWidth="1"/>
    <col min="6" max="6" width="9.7109375" style="0" customWidth="1"/>
    <col min="7" max="7" width="10.28125" style="0" customWidth="1"/>
    <col min="8" max="8" width="12.28125" style="0" customWidth="1"/>
    <col min="9" max="9" width="12.57421875" style="0" customWidth="1"/>
    <col min="10" max="10" width="9.57421875" style="0" customWidth="1"/>
    <col min="11" max="11" width="11.7109375" style="0" customWidth="1"/>
    <col min="12" max="12" width="14.28125" style="0" customWidth="1"/>
    <col min="13" max="13" width="13.00390625" style="0" customWidth="1"/>
    <col min="14" max="14" width="2.00390625" style="0" customWidth="1"/>
    <col min="15" max="15" width="6.421875" style="0" customWidth="1"/>
    <col min="16" max="16" width="4.421875" style="0" customWidth="1"/>
    <col min="17" max="17" width="16.28125" style="0" customWidth="1"/>
    <col min="18" max="18" width="5.421875" style="0" bestFit="1" customWidth="1"/>
    <col min="19" max="19" width="9.28125" style="0" hidden="1" customWidth="1"/>
    <col min="20" max="24" width="1.421875" style="0" hidden="1" customWidth="1"/>
    <col min="25" max="25" width="8.7109375" style="0" hidden="1" customWidth="1"/>
    <col min="26" max="26" width="10.28125" style="0" hidden="1" customWidth="1"/>
    <col min="27" max="27" width="12.28125" style="0" hidden="1" customWidth="1"/>
    <col min="28" max="28" width="12.57421875" style="0" hidden="1" customWidth="1"/>
    <col min="29" max="29" width="9.57421875" style="0" hidden="1" customWidth="1"/>
    <col min="30" max="30" width="11.7109375" style="0" hidden="1" customWidth="1"/>
    <col min="31" max="31" width="14.281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75">
      <c r="A1" s="79" t="s">
        <v>735</v>
      </c>
      <c r="C1" s="79"/>
      <c r="D1" s="79"/>
      <c r="E1" s="79"/>
      <c r="T1" s="237" t="s">
        <v>608</v>
      </c>
      <c r="U1" s="238"/>
      <c r="V1" s="239"/>
      <c r="W1" s="239"/>
      <c r="X1" s="239"/>
      <c r="Y1" s="238"/>
      <c r="Z1" s="238"/>
      <c r="AA1" s="238"/>
      <c r="AB1" s="238"/>
      <c r="AC1" s="238"/>
      <c r="AD1" s="238"/>
      <c r="AE1" s="238"/>
      <c r="AF1" s="240"/>
    </row>
    <row r="2" spans="2:32" ht="12.75">
      <c r="B2" s="56"/>
      <c r="C2" s="56"/>
      <c r="D2" s="56"/>
      <c r="E2" s="56"/>
      <c r="T2" s="241"/>
      <c r="U2" s="242"/>
      <c r="V2" s="242"/>
      <c r="W2" s="242"/>
      <c r="X2" s="242"/>
      <c r="Y2" s="243"/>
      <c r="Z2" s="243"/>
      <c r="AA2" s="243"/>
      <c r="AB2" s="243"/>
      <c r="AC2" s="243"/>
      <c r="AD2" s="243"/>
      <c r="AE2" s="243"/>
      <c r="AF2" s="244"/>
    </row>
    <row r="3" spans="2:32" ht="17.25">
      <c r="B3" s="529" t="s">
        <v>696</v>
      </c>
      <c r="C3" s="530"/>
      <c r="D3" s="530"/>
      <c r="E3" s="530"/>
      <c r="F3" s="530"/>
      <c r="G3" s="530"/>
      <c r="H3" s="530"/>
      <c r="I3" s="530"/>
      <c r="J3" s="530"/>
      <c r="K3" s="530"/>
      <c r="L3" s="530"/>
      <c r="M3" s="531"/>
      <c r="T3" s="241"/>
      <c r="U3" s="534" t="s">
        <v>616</v>
      </c>
      <c r="V3" s="535"/>
      <c r="W3" s="535"/>
      <c r="X3" s="535"/>
      <c r="Y3" s="535"/>
      <c r="Z3" s="535"/>
      <c r="AA3" s="535"/>
      <c r="AB3" s="535"/>
      <c r="AC3" s="535"/>
      <c r="AD3" s="535"/>
      <c r="AE3" s="535"/>
      <c r="AF3" s="536"/>
    </row>
    <row r="4" spans="6:32" ht="12.75">
      <c r="F4" s="5"/>
      <c r="O4" s="171"/>
      <c r="T4" s="241"/>
      <c r="U4" s="243"/>
      <c r="V4" s="243"/>
      <c r="W4" s="243"/>
      <c r="X4" s="243"/>
      <c r="Y4" s="243"/>
      <c r="Z4" s="243"/>
      <c r="AA4" s="243"/>
      <c r="AB4" s="243"/>
      <c r="AC4" s="243"/>
      <c r="AD4" s="243"/>
      <c r="AE4" s="243"/>
      <c r="AF4" s="244"/>
    </row>
    <row r="5" spans="4:32" ht="12.75">
      <c r="D5" s="148" t="s">
        <v>393</v>
      </c>
      <c r="T5" s="241"/>
      <c r="U5" s="243"/>
      <c r="V5" s="243"/>
      <c r="W5" s="243"/>
      <c r="X5" s="243"/>
      <c r="Y5" s="245" t="s">
        <v>393</v>
      </c>
      <c r="Z5" s="243"/>
      <c r="AA5" s="243"/>
      <c r="AB5" s="243"/>
      <c r="AC5" s="243"/>
      <c r="AD5" s="243"/>
      <c r="AE5" s="243"/>
      <c r="AF5" s="244"/>
    </row>
    <row r="6" spans="6:32" ht="12.75">
      <c r="F6" s="149"/>
      <c r="G6" s="64" t="s">
        <v>396</v>
      </c>
      <c r="T6" s="241"/>
      <c r="U6" s="243"/>
      <c r="V6" s="243"/>
      <c r="W6" s="243"/>
      <c r="X6" s="243"/>
      <c r="Y6" s="246"/>
      <c r="Z6" s="247" t="s">
        <v>396</v>
      </c>
      <c r="AA6" s="243"/>
      <c r="AB6" s="243"/>
      <c r="AC6" s="243"/>
      <c r="AD6" s="243"/>
      <c r="AE6" s="243"/>
      <c r="AF6" s="244"/>
    </row>
    <row r="7" spans="6:32" ht="12.75">
      <c r="F7" s="76"/>
      <c r="G7" s="64" t="s">
        <v>397</v>
      </c>
      <c r="T7" s="241"/>
      <c r="U7" s="243"/>
      <c r="V7" s="243"/>
      <c r="W7" s="243"/>
      <c r="X7" s="243"/>
      <c r="Y7" s="248"/>
      <c r="Z7" s="247" t="s">
        <v>397</v>
      </c>
      <c r="AA7" s="243"/>
      <c r="AB7" s="243"/>
      <c r="AC7" s="243"/>
      <c r="AD7" s="243"/>
      <c r="AE7" s="243"/>
      <c r="AF7" s="244"/>
    </row>
    <row r="8" spans="6:32" ht="12.75">
      <c r="F8" s="64"/>
      <c r="G8" s="64"/>
      <c r="T8" s="241"/>
      <c r="U8" s="243"/>
      <c r="V8" s="243"/>
      <c r="W8" s="243"/>
      <c r="X8" s="243"/>
      <c r="Y8" s="247"/>
      <c r="Z8" s="247"/>
      <c r="AA8" s="243"/>
      <c r="AB8" s="243"/>
      <c r="AC8" s="243"/>
      <c r="AD8" s="243"/>
      <c r="AE8" s="243"/>
      <c r="AF8" s="244"/>
    </row>
    <row r="9" spans="4:32" ht="12.75">
      <c r="D9" s="65" t="s">
        <v>680</v>
      </c>
      <c r="T9" s="241"/>
      <c r="U9" s="243"/>
      <c r="V9" s="243"/>
      <c r="W9" s="243"/>
      <c r="X9" s="243"/>
      <c r="Y9" s="243"/>
      <c r="Z9" s="243"/>
      <c r="AA9" s="243"/>
      <c r="AB9" s="243"/>
      <c r="AC9" s="243"/>
      <c r="AD9" s="243"/>
      <c r="AE9" s="243"/>
      <c r="AF9" s="244"/>
    </row>
    <row r="10" spans="20:32" ht="12.75">
      <c r="T10" s="241"/>
      <c r="U10" s="243"/>
      <c r="V10" s="243"/>
      <c r="W10" s="243"/>
      <c r="X10" s="243"/>
      <c r="Y10" s="243"/>
      <c r="Z10" s="243"/>
      <c r="AA10" s="243"/>
      <c r="AB10" s="243"/>
      <c r="AC10" s="243"/>
      <c r="AD10" s="243"/>
      <c r="AE10" s="243"/>
      <c r="AF10" s="244"/>
    </row>
    <row r="11" spans="2:32" ht="17.25">
      <c r="B11" s="1" t="s">
        <v>0</v>
      </c>
      <c r="F11" s="151"/>
      <c r="G11" s="532" t="s">
        <v>58</v>
      </c>
      <c r="H11" s="533"/>
      <c r="I11" s="65" t="s">
        <v>389</v>
      </c>
      <c r="T11" s="241"/>
      <c r="U11" s="249" t="s">
        <v>0</v>
      </c>
      <c r="V11" s="243"/>
      <c r="W11" s="243"/>
      <c r="X11" s="243"/>
      <c r="Y11" s="243"/>
      <c r="Z11" s="537" t="str">
        <f>G11</f>
        <v>Akaa</v>
      </c>
      <c r="AA11" s="537"/>
      <c r="AB11" s="250" t="s">
        <v>389</v>
      </c>
      <c r="AC11" s="243"/>
      <c r="AD11" s="243"/>
      <c r="AE11" s="243"/>
      <c r="AF11" s="244"/>
    </row>
    <row r="12" spans="2:32" ht="15">
      <c r="B12" s="1" t="s">
        <v>694</v>
      </c>
      <c r="H12" s="150">
        <f>INDEX(vosC,MATCH($G$11,kunta,0),1,1)</f>
        <v>16391</v>
      </c>
      <c r="I12" s="65"/>
      <c r="T12" s="241"/>
      <c r="U12" s="249" t="s">
        <v>617</v>
      </c>
      <c r="V12" s="243"/>
      <c r="W12" s="243"/>
      <c r="X12" s="243"/>
      <c r="Y12" s="243"/>
      <c r="Z12" s="243"/>
      <c r="AA12" s="251">
        <f>INDEX(vosC,MATCH($G$11,kunta,0),1,1)</f>
        <v>16391</v>
      </c>
      <c r="AB12" s="250" t="s">
        <v>391</v>
      </c>
      <c r="AC12" s="243"/>
      <c r="AD12" s="243"/>
      <c r="AE12" s="243"/>
      <c r="AF12" s="244"/>
    </row>
    <row r="13" spans="2:32" ht="14.25">
      <c r="B13" s="46"/>
      <c r="C13" s="46"/>
      <c r="D13" s="46"/>
      <c r="E13" s="46"/>
      <c r="M13" s="3"/>
      <c r="T13" s="241"/>
      <c r="U13" s="252"/>
      <c r="V13" s="252"/>
      <c r="W13" s="252"/>
      <c r="X13" s="252"/>
      <c r="Y13" s="243"/>
      <c r="Z13" s="243"/>
      <c r="AA13" s="243"/>
      <c r="AB13" s="243"/>
      <c r="AC13" s="243"/>
      <c r="AD13" s="243"/>
      <c r="AE13" s="243"/>
      <c r="AF13" s="253"/>
    </row>
    <row r="14" spans="2:32" ht="12.75">
      <c r="B14" s="1" t="s">
        <v>39</v>
      </c>
      <c r="L14" s="65"/>
      <c r="M14" s="66"/>
      <c r="T14" s="241"/>
      <c r="U14" s="249" t="s">
        <v>39</v>
      </c>
      <c r="V14" s="243"/>
      <c r="W14" s="243"/>
      <c r="X14" s="243"/>
      <c r="Y14" s="243"/>
      <c r="Z14" s="243"/>
      <c r="AA14" s="243"/>
      <c r="AB14" s="243"/>
      <c r="AC14" s="243"/>
      <c r="AD14" s="243"/>
      <c r="AE14" s="250"/>
      <c r="AF14" s="254"/>
    </row>
    <row r="15" spans="2:32" ht="12.75">
      <c r="B15" s="1"/>
      <c r="L15" s="65"/>
      <c r="M15" s="66"/>
      <c r="T15" s="241"/>
      <c r="U15" s="249"/>
      <c r="V15" s="243"/>
      <c r="W15" s="243"/>
      <c r="X15" s="243"/>
      <c r="Y15" s="243"/>
      <c r="Z15" s="243"/>
      <c r="AA15" s="243"/>
      <c r="AB15" s="243"/>
      <c r="AC15" s="243"/>
      <c r="AD15" s="243"/>
      <c r="AE15" s="250"/>
      <c r="AF15" s="254"/>
    </row>
    <row r="16" spans="2:32" ht="12.75">
      <c r="B16" s="1" t="s">
        <v>625</v>
      </c>
      <c r="C16" s="1"/>
      <c r="D16" s="1"/>
      <c r="E16" s="1"/>
      <c r="L16" s="65" t="s">
        <v>358</v>
      </c>
      <c r="M16" s="65" t="s">
        <v>394</v>
      </c>
      <c r="T16" s="241"/>
      <c r="U16" s="249" t="s">
        <v>352</v>
      </c>
      <c r="V16" s="249"/>
      <c r="W16" s="249"/>
      <c r="X16" s="249"/>
      <c r="Y16" s="243"/>
      <c r="Z16" s="243"/>
      <c r="AA16" s="243"/>
      <c r="AB16" s="243"/>
      <c r="AC16" s="243"/>
      <c r="AD16" s="243"/>
      <c r="AE16" s="250" t="s">
        <v>358</v>
      </c>
      <c r="AF16" s="255" t="s">
        <v>394</v>
      </c>
    </row>
    <row r="17" spans="20:32" ht="12.75">
      <c r="T17" s="241"/>
      <c r="U17" s="243"/>
      <c r="V17" s="243"/>
      <c r="W17" s="243"/>
      <c r="X17" s="243"/>
      <c r="Y17" s="243"/>
      <c r="Z17" s="243"/>
      <c r="AA17" s="243"/>
      <c r="AB17" s="243"/>
      <c r="AC17" s="243"/>
      <c r="AD17" s="243"/>
      <c r="AE17" s="243"/>
      <c r="AF17" s="244"/>
    </row>
    <row r="18" spans="4:32" ht="12.75">
      <c r="D18" s="5" t="s">
        <v>362</v>
      </c>
      <c r="E18" s="5"/>
      <c r="F18" s="5"/>
      <c r="L18" s="78">
        <f>'3.Ikärakenne'!H24</f>
        <v>67541395.99</v>
      </c>
      <c r="M18" s="345">
        <f>L18/$H$12</f>
        <v>4120.639130620462</v>
      </c>
      <c r="T18" s="241"/>
      <c r="U18" s="243"/>
      <c r="V18" s="243"/>
      <c r="W18" s="243" t="s">
        <v>362</v>
      </c>
      <c r="X18" s="243"/>
      <c r="Y18" s="243"/>
      <c r="Z18" s="243"/>
      <c r="AA18" s="243"/>
      <c r="AB18" s="243"/>
      <c r="AC18" s="243"/>
      <c r="AD18" s="243"/>
      <c r="AE18" s="256">
        <f>'3.Ikärakenne'!Z24</f>
        <v>0</v>
      </c>
      <c r="AF18" s="257">
        <f>AE18/$H$12</f>
        <v>0</v>
      </c>
    </row>
    <row r="19" spans="13:32" ht="12.75">
      <c r="M19" s="345"/>
      <c r="T19" s="241"/>
      <c r="U19" s="243"/>
      <c r="V19" s="243"/>
      <c r="W19" s="243"/>
      <c r="X19" s="243"/>
      <c r="Y19" s="243"/>
      <c r="Z19" s="243"/>
      <c r="AA19" s="243"/>
      <c r="AB19" s="243"/>
      <c r="AC19" s="243"/>
      <c r="AD19" s="243"/>
      <c r="AE19" s="243"/>
      <c r="AF19" s="257"/>
    </row>
    <row r="20" spans="4:32" ht="12.75">
      <c r="D20" s="5" t="s">
        <v>485</v>
      </c>
      <c r="E20" s="5"/>
      <c r="F20" s="5"/>
      <c r="L20" s="78">
        <f>'4.Muut lask. kustannukset'!J15</f>
        <v>20880411.43667925</v>
      </c>
      <c r="M20" s="345">
        <f>L20/$H$12</f>
        <v>1273.8949079787233</v>
      </c>
      <c r="T20" s="241"/>
      <c r="U20" s="243"/>
      <c r="V20" s="243"/>
      <c r="W20" s="243" t="s">
        <v>485</v>
      </c>
      <c r="X20" s="243"/>
      <c r="Y20" s="243"/>
      <c r="Z20" s="243"/>
      <c r="AA20" s="243"/>
      <c r="AB20" s="243"/>
      <c r="AC20" s="243"/>
      <c r="AD20" s="243"/>
      <c r="AE20" s="256">
        <f>'4.Muut lask. kustannukset'!AB15</f>
        <v>0</v>
      </c>
      <c r="AF20" s="257">
        <f>AE20/$H$12</f>
        <v>0</v>
      </c>
    </row>
    <row r="21" spans="13:32" ht="12.75">
      <c r="M21" s="345"/>
      <c r="P21" s="285"/>
      <c r="Q21" s="286" t="s">
        <v>719</v>
      </c>
      <c r="R21" s="287"/>
      <c r="T21" s="241"/>
      <c r="U21" s="243"/>
      <c r="V21" s="243"/>
      <c r="W21" s="243"/>
      <c r="X21" s="243"/>
      <c r="Y21" s="243"/>
      <c r="Z21" s="243"/>
      <c r="AA21" s="243"/>
      <c r="AB21" s="243"/>
      <c r="AC21" s="243"/>
      <c r="AD21" s="243"/>
      <c r="AE21" s="243"/>
      <c r="AF21" s="257"/>
    </row>
    <row r="22" spans="4:32" ht="12.75" thickBot="1">
      <c r="D22" s="155" t="s">
        <v>486</v>
      </c>
      <c r="E22" s="108"/>
      <c r="F22" s="108"/>
      <c r="G22" s="108"/>
      <c r="H22" s="108"/>
      <c r="I22" s="108"/>
      <c r="J22" s="232"/>
      <c r="K22" s="233"/>
      <c r="L22" s="234">
        <f>'4.Muut lask. kustannukset'!J79</f>
        <v>2950034.6884173877</v>
      </c>
      <c r="M22" s="346">
        <f>L22/$H$12</f>
        <v>179.97893285445596</v>
      </c>
      <c r="P22" s="288"/>
      <c r="Q22" s="289" t="s">
        <v>620</v>
      </c>
      <c r="R22" s="290"/>
      <c r="T22" s="241"/>
      <c r="U22" s="243"/>
      <c r="V22" s="243"/>
      <c r="W22" s="258" t="s">
        <v>486</v>
      </c>
      <c r="X22" s="258"/>
      <c r="Y22" s="258"/>
      <c r="Z22" s="258"/>
      <c r="AA22" s="258"/>
      <c r="AB22" s="258"/>
      <c r="AC22" s="259"/>
      <c r="AD22" s="260"/>
      <c r="AE22" s="261">
        <f>'4.Muut lask. kustannukset'!AB79</f>
        <v>0</v>
      </c>
      <c r="AF22" s="262">
        <f>AE22/$H$12</f>
        <v>0</v>
      </c>
    </row>
    <row r="23" spans="3:32" ht="12.75" thickTop="1">
      <c r="C23" s="5" t="s">
        <v>618</v>
      </c>
      <c r="D23" s="5"/>
      <c r="J23" s="33"/>
      <c r="K23" s="3"/>
      <c r="L23" s="235">
        <f>SUM(L18:L22)</f>
        <v>91371842.11509664</v>
      </c>
      <c r="M23" s="345">
        <f>L23/$H$12</f>
        <v>5574.5129714536415</v>
      </c>
      <c r="P23" s="291"/>
      <c r="Q23" s="506">
        <v>0.2359</v>
      </c>
      <c r="R23" s="293"/>
      <c r="T23" s="241"/>
      <c r="U23" s="243"/>
      <c r="V23" s="243" t="s">
        <v>614</v>
      </c>
      <c r="W23" s="243"/>
      <c r="X23" s="243"/>
      <c r="Y23" s="243"/>
      <c r="Z23" s="243"/>
      <c r="AA23" s="243"/>
      <c r="AB23" s="243"/>
      <c r="AC23" s="263"/>
      <c r="AD23" s="264"/>
      <c r="AE23" s="263">
        <f>SUM(AE18:AE22)</f>
        <v>0</v>
      </c>
      <c r="AF23" s="257">
        <f>AE23/$H$12</f>
        <v>0</v>
      </c>
    </row>
    <row r="24" spans="13:32" ht="12.75">
      <c r="M24" s="345"/>
      <c r="P24" s="294"/>
      <c r="Q24" s="286" t="s">
        <v>621</v>
      </c>
      <c r="R24" s="295"/>
      <c r="T24" s="241"/>
      <c r="U24" s="243"/>
      <c r="V24" s="243"/>
      <c r="W24" s="243"/>
      <c r="X24" s="243"/>
      <c r="Y24" s="243"/>
      <c r="Z24" s="243"/>
      <c r="AA24" s="243"/>
      <c r="AB24" s="243"/>
      <c r="AC24" s="243"/>
      <c r="AD24" s="243"/>
      <c r="AE24" s="243"/>
      <c r="AF24" s="257"/>
    </row>
    <row r="25" spans="3:32" ht="13.5" thickBot="1">
      <c r="C25" s="155" t="s">
        <v>619</v>
      </c>
      <c r="D25" s="108"/>
      <c r="E25" s="155"/>
      <c r="F25" s="108"/>
      <c r="G25" s="108"/>
      <c r="H25" s="108"/>
      <c r="I25" s="108"/>
      <c r="J25" s="424">
        <f>tiedot!$H$2*(-1)</f>
        <v>-4291.05</v>
      </c>
      <c r="K25" s="180" t="s">
        <v>1</v>
      </c>
      <c r="L25" s="234">
        <f>$J$25*$H$12</f>
        <v>-70334600.55</v>
      </c>
      <c r="M25" s="346">
        <f>L25/$H$12</f>
        <v>-4291.05</v>
      </c>
      <c r="P25" s="296"/>
      <c r="Q25" s="289" t="s">
        <v>620</v>
      </c>
      <c r="R25" s="297"/>
      <c r="T25" s="241"/>
      <c r="U25" s="243"/>
      <c r="V25" s="258" t="s">
        <v>350</v>
      </c>
      <c r="W25" s="258"/>
      <c r="X25" s="258"/>
      <c r="Y25" s="258"/>
      <c r="Z25" s="258"/>
      <c r="AA25" s="258"/>
      <c r="AB25" s="258"/>
      <c r="AC25" s="265">
        <f>tiedot!$H$2*(-1)</f>
        <v>-4291.05</v>
      </c>
      <c r="AD25" s="266" t="s">
        <v>1</v>
      </c>
      <c r="AE25" s="261">
        <f>AC25*AA12</f>
        <v>-70334600.55</v>
      </c>
      <c r="AF25" s="262">
        <f>AE25/$H$12</f>
        <v>-4291.05</v>
      </c>
    </row>
    <row r="26" spans="3:32" ht="12.75" thickTop="1">
      <c r="C26" s="5" t="s">
        <v>615</v>
      </c>
      <c r="E26" s="5"/>
      <c r="J26" s="65"/>
      <c r="K26" s="65"/>
      <c r="L26" s="213">
        <f>L23+L25</f>
        <v>21037241.565096647</v>
      </c>
      <c r="M26" s="345">
        <f>L26/$H$12</f>
        <v>1283.462971453642</v>
      </c>
      <c r="O26" s="236"/>
      <c r="P26" s="154"/>
      <c r="Q26" s="292">
        <f>L26/L23</f>
        <v>0.23023768677660084</v>
      </c>
      <c r="R26" s="298"/>
      <c r="T26" s="241"/>
      <c r="U26" s="243"/>
      <c r="V26" s="243" t="s">
        <v>615</v>
      </c>
      <c r="W26" s="243"/>
      <c r="X26" s="243"/>
      <c r="Y26" s="243"/>
      <c r="Z26" s="243"/>
      <c r="AA26" s="243"/>
      <c r="AB26" s="243"/>
      <c r="AC26" s="250"/>
      <c r="AD26" s="250"/>
      <c r="AE26" s="267">
        <f>AE23+AE25</f>
        <v>-70334600.55</v>
      </c>
      <c r="AF26" s="257">
        <f>AE26/$H$12</f>
        <v>-4291.05</v>
      </c>
    </row>
    <row r="27" spans="13:32" ht="12.75">
      <c r="M27" s="345"/>
      <c r="T27" s="241"/>
      <c r="U27" s="243"/>
      <c r="V27" s="243"/>
      <c r="W27" s="243"/>
      <c r="X27" s="243"/>
      <c r="Y27" s="243"/>
      <c r="Z27" s="243"/>
      <c r="AA27" s="243"/>
      <c r="AB27" s="243"/>
      <c r="AC27" s="243"/>
      <c r="AD27" s="243"/>
      <c r="AE27" s="243"/>
      <c r="AF27" s="257"/>
    </row>
    <row r="28" spans="4:32" ht="12.75">
      <c r="D28" s="5" t="s">
        <v>487</v>
      </c>
      <c r="E28" s="5"/>
      <c r="F28" s="5"/>
      <c r="L28" s="77">
        <f>'5.Lisäosat'!J35</f>
        <v>344299.0241863524</v>
      </c>
      <c r="M28" s="345">
        <f>L28/$H$12</f>
        <v>21.00537027553855</v>
      </c>
      <c r="O28" s="503"/>
      <c r="T28" s="241"/>
      <c r="U28" s="243"/>
      <c r="V28" s="243"/>
      <c r="W28" s="243" t="s">
        <v>487</v>
      </c>
      <c r="X28" s="243"/>
      <c r="Y28" s="243"/>
      <c r="Z28" s="243"/>
      <c r="AA28" s="243"/>
      <c r="AB28" s="243"/>
      <c r="AC28" s="243"/>
      <c r="AD28" s="243"/>
      <c r="AE28" s="268">
        <f>'5.Lisäosat'!AB35</f>
        <v>0</v>
      </c>
      <c r="AF28" s="257">
        <f>AE28/$H$12</f>
        <v>0</v>
      </c>
    </row>
    <row r="29" spans="11:32" ht="12.75">
      <c r="K29" s="2"/>
      <c r="L29" s="2"/>
      <c r="M29" s="427"/>
      <c r="N29" s="2"/>
      <c r="O29" s="504"/>
      <c r="P29" s="2"/>
      <c r="T29" s="241"/>
      <c r="U29" s="243"/>
      <c r="V29" s="243"/>
      <c r="W29" s="243"/>
      <c r="X29" s="243"/>
      <c r="Y29" s="243"/>
      <c r="Z29" s="243"/>
      <c r="AA29" s="243"/>
      <c r="AB29" s="243"/>
      <c r="AC29" s="243"/>
      <c r="AD29" s="243"/>
      <c r="AE29" s="243"/>
      <c r="AF29" s="257"/>
    </row>
    <row r="30" spans="4:32" ht="12.75">
      <c r="D30" t="s">
        <v>45</v>
      </c>
      <c r="L30" s="77">
        <f>'6.Vähennykset ja lisäykset'!I56</f>
        <v>-1341565.6708530555</v>
      </c>
      <c r="M30" s="345">
        <f>L30/$H$12</f>
        <v>-81.84770122951959</v>
      </c>
      <c r="O30" s="503"/>
      <c r="T30" s="241"/>
      <c r="U30" s="243"/>
      <c r="V30" s="243"/>
      <c r="W30" s="243" t="s">
        <v>45</v>
      </c>
      <c r="X30" s="243"/>
      <c r="Y30" s="243"/>
      <c r="Z30" s="243"/>
      <c r="AA30" s="243"/>
      <c r="AB30" s="243"/>
      <c r="AC30" s="243"/>
      <c r="AD30" s="243"/>
      <c r="AE30" s="268">
        <f>'6.Vähennykset ja lisäykset'!AA56</f>
        <v>0</v>
      </c>
      <c r="AF30" s="257">
        <f>AE30/$H$12</f>
        <v>0</v>
      </c>
    </row>
    <row r="31" spans="5:32" ht="12.75">
      <c r="E31" s="230" t="s">
        <v>671</v>
      </c>
      <c r="L31" s="63">
        <f>'6.Vähennykset ja lisäykset'!I35</f>
        <v>-999936.605</v>
      </c>
      <c r="M31" s="345">
        <f>L31/$H$12</f>
        <v>-61.005222683179795</v>
      </c>
      <c r="O31" s="503"/>
      <c r="T31" s="241"/>
      <c r="U31" s="243"/>
      <c r="V31" s="243"/>
      <c r="W31" s="243"/>
      <c r="X31" s="243"/>
      <c r="Y31" s="243"/>
      <c r="Z31" s="243"/>
      <c r="AA31" s="243"/>
      <c r="AB31" s="243"/>
      <c r="AC31" s="243"/>
      <c r="AD31" s="243"/>
      <c r="AE31" s="299"/>
      <c r="AF31" s="257"/>
    </row>
    <row r="32" spans="13:32" ht="12.75" hidden="1">
      <c r="M32" s="345"/>
      <c r="O32" s="479"/>
      <c r="T32" s="241"/>
      <c r="U32" s="243"/>
      <c r="V32" s="243"/>
      <c r="W32" s="243"/>
      <c r="X32" s="243"/>
      <c r="Y32" s="243"/>
      <c r="Z32" s="243"/>
      <c r="AA32" s="243"/>
      <c r="AB32" s="243"/>
      <c r="AC32" s="243"/>
      <c r="AD32" s="243"/>
      <c r="AE32" s="243"/>
      <c r="AF32" s="257"/>
    </row>
    <row r="33" spans="4:32" ht="12.75" hidden="1">
      <c r="D33" s="5" t="s">
        <v>562</v>
      </c>
      <c r="L33" s="77">
        <f>'7.Järjestelmämuutos 2015'!J22</f>
        <v>0</v>
      </c>
      <c r="M33" s="345">
        <f>L33/$H$12</f>
        <v>0</v>
      </c>
      <c r="O33" s="503">
        <f>L33/$L$49</f>
        <v>0</v>
      </c>
      <c r="T33" s="241"/>
      <c r="U33" s="243"/>
      <c r="V33" s="243"/>
      <c r="W33" s="243" t="s">
        <v>562</v>
      </c>
      <c r="X33" s="243"/>
      <c r="Y33" s="243"/>
      <c r="Z33" s="243"/>
      <c r="AA33" s="243"/>
      <c r="AB33" s="243"/>
      <c r="AC33" s="243"/>
      <c r="AD33" s="243"/>
      <c r="AE33" s="268">
        <f>'7.Järjestelmämuutos 2015'!AB25</f>
        <v>0</v>
      </c>
      <c r="AF33" s="257">
        <f>AE33/$H$12</f>
        <v>0</v>
      </c>
    </row>
    <row r="34" spans="2:32" ht="12.75">
      <c r="B34" s="52"/>
      <c r="C34" s="152"/>
      <c r="D34" s="152"/>
      <c r="E34" s="152"/>
      <c r="F34" s="152"/>
      <c r="G34" s="152"/>
      <c r="H34" s="152"/>
      <c r="I34" s="152"/>
      <c r="J34" s="152"/>
      <c r="K34" s="152"/>
      <c r="L34" s="152"/>
      <c r="M34" s="347"/>
      <c r="O34" s="479"/>
      <c r="T34" s="241"/>
      <c r="U34" s="243"/>
      <c r="V34" s="269"/>
      <c r="W34" s="269"/>
      <c r="X34" s="269"/>
      <c r="Y34" s="269"/>
      <c r="Z34" s="269"/>
      <c r="AA34" s="269"/>
      <c r="AB34" s="269"/>
      <c r="AC34" s="269"/>
      <c r="AD34" s="269"/>
      <c r="AE34" s="269"/>
      <c r="AF34" s="270"/>
    </row>
    <row r="35" spans="3:32" ht="12.75">
      <c r="C35" s="1" t="s">
        <v>622</v>
      </c>
      <c r="D35" s="1"/>
      <c r="E35" s="1"/>
      <c r="L35" s="57">
        <f>SUM(L26:L30)</f>
        <v>20039974.918429945</v>
      </c>
      <c r="M35" s="348">
        <f>L35/$H$12</f>
        <v>1222.620640499661</v>
      </c>
      <c r="O35" s="503">
        <f>L35/$L$61</f>
        <v>0.5801869412602055</v>
      </c>
      <c r="P35" s="2"/>
      <c r="T35" s="241"/>
      <c r="U35" s="243"/>
      <c r="V35" s="249" t="s">
        <v>351</v>
      </c>
      <c r="W35" s="249"/>
      <c r="X35" s="249"/>
      <c r="Y35" s="243"/>
      <c r="Z35" s="243"/>
      <c r="AA35" s="243"/>
      <c r="AB35" s="243"/>
      <c r="AC35" s="243"/>
      <c r="AD35" s="243"/>
      <c r="AE35" s="271">
        <f>SUM(AE26:AE33)</f>
        <v>-70334600.55</v>
      </c>
      <c r="AF35" s="272">
        <f>AE35/$H$12</f>
        <v>-4291.05</v>
      </c>
    </row>
    <row r="36" spans="11:32" ht="12.75">
      <c r="K36" s="2"/>
      <c r="L36" s="2"/>
      <c r="M36" s="45"/>
      <c r="N36" s="2"/>
      <c r="O36" s="504"/>
      <c r="P36" s="2"/>
      <c r="Q36" s="2"/>
      <c r="T36" s="241"/>
      <c r="U36" s="243"/>
      <c r="V36" s="243"/>
      <c r="W36" s="243"/>
      <c r="X36" s="243"/>
      <c r="Y36" s="243"/>
      <c r="Z36" s="243"/>
      <c r="AA36" s="243"/>
      <c r="AB36" s="243"/>
      <c r="AC36" s="243"/>
      <c r="AD36" s="243"/>
      <c r="AE36" s="243"/>
      <c r="AF36" s="244"/>
    </row>
    <row r="37" spans="3:32" ht="12.75">
      <c r="C37" s="5" t="s">
        <v>623</v>
      </c>
      <c r="D37" s="5"/>
      <c r="E37" s="5"/>
      <c r="L37" s="77">
        <f>INDEX(tasa_1,MATCH($G$11,kunta,0),1,1)</f>
        <v>9364451.803376857</v>
      </c>
      <c r="M37" s="345">
        <f>L37/$H$12</f>
        <v>571.3166861922309</v>
      </c>
      <c r="O37" s="503">
        <f>L37/$L$61</f>
        <v>0.27111474293229804</v>
      </c>
      <c r="P37" s="2"/>
      <c r="T37" s="241"/>
      <c r="U37" s="243"/>
      <c r="V37" s="243" t="s">
        <v>353</v>
      </c>
      <c r="W37" s="243"/>
      <c r="X37" s="243"/>
      <c r="Y37" s="243"/>
      <c r="Z37" s="243"/>
      <c r="AA37" s="243"/>
      <c r="AB37" s="243"/>
      <c r="AC37" s="243"/>
      <c r="AD37" s="243"/>
      <c r="AE37" s="273">
        <f>INDEX(tasa_1,MATCH($G$11,kunta,0),1,1)</f>
        <v>9364451.803376857</v>
      </c>
      <c r="AF37" s="257">
        <f>AE37/$H$12</f>
        <v>571.3166861922309</v>
      </c>
    </row>
    <row r="38" spans="2:32" ht="12.75" thickBot="1">
      <c r="B38" s="108"/>
      <c r="C38" s="108"/>
      <c r="D38" s="108"/>
      <c r="E38" s="108"/>
      <c r="F38" s="108"/>
      <c r="G38" s="108"/>
      <c r="H38" s="108"/>
      <c r="I38" s="108"/>
      <c r="J38" s="108"/>
      <c r="K38" s="108"/>
      <c r="L38" s="108"/>
      <c r="M38" s="346"/>
      <c r="O38" s="479"/>
      <c r="T38" s="241"/>
      <c r="U38" s="258"/>
      <c r="V38" s="258"/>
      <c r="W38" s="258"/>
      <c r="X38" s="258"/>
      <c r="Y38" s="258"/>
      <c r="Z38" s="258"/>
      <c r="AA38" s="258"/>
      <c r="AB38" s="258"/>
      <c r="AC38" s="258"/>
      <c r="AD38" s="258"/>
      <c r="AE38" s="258"/>
      <c r="AF38" s="262"/>
    </row>
    <row r="39" spans="2:32" ht="13.5" thickTop="1">
      <c r="B39" s="1" t="s">
        <v>624</v>
      </c>
      <c r="C39" s="1"/>
      <c r="D39" s="1"/>
      <c r="E39" s="1"/>
      <c r="L39" s="57">
        <f>L35+L37</f>
        <v>29404426.7218068</v>
      </c>
      <c r="M39" s="345">
        <f>L39/$H$12</f>
        <v>1793.937326691892</v>
      </c>
      <c r="O39" s="503">
        <f>L39/$L$61</f>
        <v>0.8513016841925036</v>
      </c>
      <c r="P39" s="2"/>
      <c r="T39" s="241"/>
      <c r="U39" s="249" t="s">
        <v>354</v>
      </c>
      <c r="V39" s="249"/>
      <c r="W39" s="249"/>
      <c r="X39" s="249"/>
      <c r="Y39" s="243"/>
      <c r="Z39" s="243"/>
      <c r="AA39" s="243"/>
      <c r="AB39" s="243"/>
      <c r="AC39" s="243"/>
      <c r="AD39" s="243"/>
      <c r="AE39" s="271">
        <f>AE35+AE37</f>
        <v>-60970148.74662314</v>
      </c>
      <c r="AF39" s="257">
        <f>AE39/$H$12</f>
        <v>-3719.7333138077693</v>
      </c>
    </row>
    <row r="40" spans="11:36" ht="12.75">
      <c r="K40" s="2"/>
      <c r="L40" s="2"/>
      <c r="M40" s="427"/>
      <c r="N40" s="2"/>
      <c r="O40" s="504"/>
      <c r="P40" s="2"/>
      <c r="Q40" s="2"/>
      <c r="T40" s="241"/>
      <c r="U40" s="243"/>
      <c r="V40" s="243"/>
      <c r="W40" s="243"/>
      <c r="X40" s="243"/>
      <c r="Y40" s="243"/>
      <c r="Z40" s="243"/>
      <c r="AA40" s="243"/>
      <c r="AB40" s="243"/>
      <c r="AC40" s="243"/>
      <c r="AD40" s="243"/>
      <c r="AE40" s="243"/>
      <c r="AF40" s="257"/>
      <c r="AJ40" s="343" t="s">
        <v>667</v>
      </c>
    </row>
    <row r="41" spans="2:36" ht="12.75">
      <c r="B41" s="1" t="s">
        <v>677</v>
      </c>
      <c r="C41" s="1"/>
      <c r="D41" s="1"/>
      <c r="E41" s="1"/>
      <c r="L41" s="344"/>
      <c r="M41" s="63"/>
      <c r="O41" s="479"/>
      <c r="T41" s="241"/>
      <c r="U41" s="249" t="s">
        <v>609</v>
      </c>
      <c r="V41" s="249"/>
      <c r="W41" s="249"/>
      <c r="X41" s="249"/>
      <c r="Y41" s="243"/>
      <c r="Z41" s="243"/>
      <c r="AA41" s="243"/>
      <c r="AB41" s="243"/>
      <c r="AC41" s="243"/>
      <c r="AD41" s="243"/>
      <c r="AE41" s="274">
        <f>INDEX(okm,MATCH($G$11,kunta,0),1,1)</f>
        <v>-2659976</v>
      </c>
      <c r="AF41" s="257">
        <f>AE41/$H$12</f>
        <v>-162.28271612470257</v>
      </c>
      <c r="AJ41" s="344" t="s">
        <v>668</v>
      </c>
    </row>
    <row r="42" spans="3:36" ht="15" customHeight="1">
      <c r="C42" s="5" t="s">
        <v>721</v>
      </c>
      <c r="D42" s="1"/>
      <c r="E42" s="1"/>
      <c r="L42" s="80">
        <f>INDEX(okm,MATCH($G$11,kunta,0),1,1)</f>
        <v>-2659976</v>
      </c>
      <c r="M42" s="345">
        <f>L42/$H$12</f>
        <v>-162.28271612470257</v>
      </c>
      <c r="O42" s="503">
        <f>L42/$L$61</f>
        <v>-0.07701024305406001</v>
      </c>
      <c r="P42" s="2"/>
      <c r="Q42" s="45"/>
      <c r="T42" s="241"/>
      <c r="U42" s="249"/>
      <c r="V42" s="249"/>
      <c r="W42" s="249"/>
      <c r="X42" s="249"/>
      <c r="Y42" s="243"/>
      <c r="Z42" s="243"/>
      <c r="AA42" s="243"/>
      <c r="AB42" s="243"/>
      <c r="AC42" s="243"/>
      <c r="AD42" s="243"/>
      <c r="AE42" s="331"/>
      <c r="AF42" s="257"/>
      <c r="AJ42" s="333">
        <f>'8.Opetus ja kulttuuri, muu vos'!K105</f>
        <v>-4455771.755999999</v>
      </c>
    </row>
    <row r="43" spans="3:36" ht="14.25" customHeight="1">
      <c r="C43" s="502" t="s">
        <v>722</v>
      </c>
      <c r="D43" s="1"/>
      <c r="E43" s="1"/>
      <c r="L43" s="501">
        <f>'8.Opetus ja kulttuuri, muu vos'!K105</f>
        <v>-4455771.755999999</v>
      </c>
      <c r="M43" s="523">
        <f>L43/$H$12</f>
        <v>-271.8425816606674</v>
      </c>
      <c r="N43" s="502"/>
      <c r="O43" s="524">
        <f>L43/$L$49</f>
        <v>-0.16660546901293682</v>
      </c>
      <c r="Q43" s="2"/>
      <c r="T43" s="241"/>
      <c r="U43" s="249"/>
      <c r="V43" s="249"/>
      <c r="W43" s="249"/>
      <c r="X43" s="249"/>
      <c r="Y43" s="243"/>
      <c r="Z43" s="243"/>
      <c r="AA43" s="243"/>
      <c r="AB43" s="243"/>
      <c r="AC43" s="243"/>
      <c r="AD43" s="243"/>
      <c r="AE43" s="331"/>
      <c r="AF43" s="257"/>
      <c r="AJ43" s="414"/>
    </row>
    <row r="44" spans="2:37" s="65" customFormat="1" ht="14.25" customHeight="1">
      <c r="B44" s="220"/>
      <c r="C44" s="515"/>
      <c r="D44" s="515" t="s">
        <v>669</v>
      </c>
      <c r="E44" s="515"/>
      <c r="F44" s="220"/>
      <c r="G44" s="220"/>
      <c r="H44" s="220"/>
      <c r="I44" s="220"/>
      <c r="J44" s="220"/>
      <c r="L44" s="520" t="s">
        <v>729</v>
      </c>
      <c r="M44" s="349"/>
      <c r="O44" s="225"/>
      <c r="Q44" s="490"/>
      <c r="T44" s="275"/>
      <c r="U44" s="250"/>
      <c r="V44" s="250" t="s">
        <v>591</v>
      </c>
      <c r="W44" s="250"/>
      <c r="X44" s="250"/>
      <c r="Y44" s="250"/>
      <c r="Z44" s="250"/>
      <c r="AA44" s="250"/>
      <c r="AB44" s="250"/>
      <c r="AC44" s="250"/>
      <c r="AD44" s="250"/>
      <c r="AE44" s="276"/>
      <c r="AF44" s="257"/>
      <c r="AJ44" s="225"/>
      <c r="AK44" s="225"/>
    </row>
    <row r="45" spans="3:36" s="225" customFormat="1" ht="11.25">
      <c r="C45" s="518"/>
      <c r="D45" s="519" t="s">
        <v>636</v>
      </c>
      <c r="E45" s="518"/>
      <c r="J45" s="522">
        <v>-90.27</v>
      </c>
      <c r="K45" s="518" t="s">
        <v>1</v>
      </c>
      <c r="L45" s="521">
        <f>J45*$H$12</f>
        <v>-1479615.5699999998</v>
      </c>
      <c r="M45" s="332"/>
      <c r="Q45" s="491"/>
      <c r="T45" s="277"/>
      <c r="U45" s="278"/>
      <c r="V45" s="278"/>
      <c r="W45" s="279" t="s">
        <v>592</v>
      </c>
      <c r="X45" s="278"/>
      <c r="Y45" s="278"/>
      <c r="Z45" s="278"/>
      <c r="AA45" s="278"/>
      <c r="AB45" s="278"/>
      <c r="AC45" s="280">
        <v>-255</v>
      </c>
      <c r="AD45" s="278" t="s">
        <v>1</v>
      </c>
      <c r="AE45" s="281">
        <f>AC45*AA12</f>
        <v>-4179705</v>
      </c>
      <c r="AF45" s="282"/>
      <c r="AJ45" s="332">
        <f>'8.Opetus ja kulttuuri, muu vos'!K25</f>
        <v>-1479615.5699999998</v>
      </c>
    </row>
    <row r="46" spans="3:36" s="225" customFormat="1" ht="11.25">
      <c r="C46" s="518"/>
      <c r="D46" s="519" t="s">
        <v>637</v>
      </c>
      <c r="E46" s="518"/>
      <c r="J46" s="522">
        <v>-186.42</v>
      </c>
      <c r="K46" s="518" t="s">
        <v>1</v>
      </c>
      <c r="L46" s="521">
        <f>J46*$H$12</f>
        <v>-3055610.2199999997</v>
      </c>
      <c r="M46" s="332"/>
      <c r="Q46" s="491"/>
      <c r="T46" s="277"/>
      <c r="U46" s="278"/>
      <c r="V46" s="278"/>
      <c r="W46" s="279"/>
      <c r="X46" s="278"/>
      <c r="Y46" s="278"/>
      <c r="Z46" s="278"/>
      <c r="AA46" s="278"/>
      <c r="AB46" s="278"/>
      <c r="AC46" s="300"/>
      <c r="AD46" s="278"/>
      <c r="AE46" s="281"/>
      <c r="AF46" s="282"/>
      <c r="AJ46" s="332">
        <f>'8.Opetus ja kulttuuri, muu vos'!K26</f>
        <v>-3055610.2199999997</v>
      </c>
    </row>
    <row r="47" spans="3:36" s="225" customFormat="1" ht="11.25">
      <c r="C47" s="518"/>
      <c r="D47" s="519" t="s">
        <v>626</v>
      </c>
      <c r="E47" s="518"/>
      <c r="L47" s="521">
        <f>L43-L45-L46</f>
        <v>79454.03400000045</v>
      </c>
      <c r="M47" s="332"/>
      <c r="Q47" s="491"/>
      <c r="T47" s="277"/>
      <c r="U47" s="278"/>
      <c r="V47" s="278"/>
      <c r="W47" s="279" t="s">
        <v>593</v>
      </c>
      <c r="X47" s="278"/>
      <c r="Y47" s="278"/>
      <c r="Z47" s="278"/>
      <c r="AA47" s="278"/>
      <c r="AB47" s="278"/>
      <c r="AC47" s="278"/>
      <c r="AD47" s="278"/>
      <c r="AE47" s="281">
        <f>AE41-AE45</f>
        <v>1519729</v>
      </c>
      <c r="AF47" s="282"/>
      <c r="AJ47" s="332">
        <f>AJ42-AJ45-AJ46</f>
        <v>79454.03400000045</v>
      </c>
    </row>
    <row r="48" spans="13:36" ht="12.75">
      <c r="M48" s="63"/>
      <c r="O48" s="479"/>
      <c r="S48" s="225"/>
      <c r="T48" s="225"/>
      <c r="U48" s="225"/>
      <c r="V48" s="225"/>
      <c r="W48" s="225"/>
      <c r="X48" s="225"/>
      <c r="Y48" s="225"/>
      <c r="Z48" s="225"/>
      <c r="AA48" s="225"/>
      <c r="AB48" s="225"/>
      <c r="AC48" s="225"/>
      <c r="AD48" s="225"/>
      <c r="AE48" s="225"/>
      <c r="AF48" s="225"/>
      <c r="AG48" s="225"/>
      <c r="AH48" s="225"/>
      <c r="AJ48" s="225" t="s">
        <v>610</v>
      </c>
    </row>
    <row r="49" spans="1:37" ht="12.75">
      <c r="A49" s="81" t="s">
        <v>709</v>
      </c>
      <c r="B49" s="82"/>
      <c r="C49" s="100"/>
      <c r="D49" s="100"/>
      <c r="E49" s="100"/>
      <c r="F49" s="82"/>
      <c r="G49" s="82"/>
      <c r="H49" s="82"/>
      <c r="I49" s="82"/>
      <c r="J49" s="82"/>
      <c r="K49" s="82"/>
      <c r="L49" s="153">
        <f>L39+L42</f>
        <v>26744450.7218068</v>
      </c>
      <c r="M49" s="350">
        <f>L49/$H$12</f>
        <v>1631.6546105671894</v>
      </c>
      <c r="O49" s="503">
        <f>L49/$L$61</f>
        <v>0.7742914411384436</v>
      </c>
      <c r="Q49" s="63"/>
      <c r="S49" s="225"/>
      <c r="T49" s="225"/>
      <c r="U49" s="225"/>
      <c r="V49" s="225"/>
      <c r="W49" s="225"/>
      <c r="X49" s="225"/>
      <c r="Y49" s="225"/>
      <c r="Z49" s="225"/>
      <c r="AA49" s="225"/>
      <c r="AB49" s="225"/>
      <c r="AC49" s="225"/>
      <c r="AD49" s="225"/>
      <c r="AE49" s="225"/>
      <c r="AF49" s="225"/>
      <c r="AG49" s="225"/>
      <c r="AH49" s="225"/>
      <c r="AJ49" s="334">
        <f>L39+AJ42</f>
        <v>24948654.965806805</v>
      </c>
      <c r="AK49" s="354">
        <f>AJ49/H12</f>
        <v>1522.0947450312246</v>
      </c>
    </row>
    <row r="50" spans="13:37" ht="12.75">
      <c r="M50" s="345"/>
      <c r="O50" s="479"/>
      <c r="T50" s="241"/>
      <c r="U50" s="243"/>
      <c r="V50" s="243"/>
      <c r="W50" s="243"/>
      <c r="X50" s="243"/>
      <c r="Y50" s="243"/>
      <c r="Z50" s="243"/>
      <c r="AA50" s="243"/>
      <c r="AB50" s="243"/>
      <c r="AC50" s="243"/>
      <c r="AD50" s="243"/>
      <c r="AE50" s="243"/>
      <c r="AF50" s="257"/>
      <c r="AK50" s="63"/>
    </row>
    <row r="51" spans="4:32" ht="12.75">
      <c r="D51" s="5" t="s">
        <v>693</v>
      </c>
      <c r="E51" s="230"/>
      <c r="L51" s="63"/>
      <c r="M51" s="345"/>
      <c r="O51" s="503"/>
      <c r="T51" s="241"/>
      <c r="U51" s="243"/>
      <c r="V51" s="243"/>
      <c r="W51" s="243"/>
      <c r="X51" s="243"/>
      <c r="Y51" s="243"/>
      <c r="Z51" s="243"/>
      <c r="AA51" s="243"/>
      <c r="AB51" s="243"/>
      <c r="AC51" s="243"/>
      <c r="AD51" s="243"/>
      <c r="AE51" s="299"/>
      <c r="AF51" s="257"/>
    </row>
    <row r="52" spans="5:32" ht="12.75">
      <c r="E52" s="230" t="s">
        <v>701</v>
      </c>
      <c r="L52" s="63">
        <f>'6.Vähennykset ja lisäykset'!I90</f>
        <v>8514923.5577991</v>
      </c>
      <c r="M52" s="345">
        <f>L52/$H$12</f>
        <v>519.4877406991093</v>
      </c>
      <c r="O52" s="503">
        <f>L52/$L$61</f>
        <v>0.24651964257303455</v>
      </c>
      <c r="T52" s="241"/>
      <c r="U52" s="243"/>
      <c r="V52" s="243"/>
      <c r="W52" s="243"/>
      <c r="X52" s="243"/>
      <c r="Y52" s="243"/>
      <c r="Z52" s="243"/>
      <c r="AA52" s="243"/>
      <c r="AB52" s="243"/>
      <c r="AC52" s="243"/>
      <c r="AD52" s="243"/>
      <c r="AE52" s="299"/>
      <c r="AF52" s="257"/>
    </row>
    <row r="53" spans="5:32" ht="12.75">
      <c r="E53" s="230"/>
      <c r="L53" s="63"/>
      <c r="M53" s="345"/>
      <c r="O53" s="503"/>
      <c r="T53" s="241"/>
      <c r="U53" s="243"/>
      <c r="V53" s="243"/>
      <c r="W53" s="243"/>
      <c r="X53" s="243"/>
      <c r="Y53" s="243"/>
      <c r="Z53" s="243"/>
      <c r="AA53" s="243"/>
      <c r="AB53" s="243"/>
      <c r="AC53" s="243"/>
      <c r="AD53" s="243"/>
      <c r="AE53" s="299"/>
      <c r="AF53" s="257"/>
    </row>
    <row r="54" spans="1:37" ht="12.75">
      <c r="A54" s="81" t="s">
        <v>710</v>
      </c>
      <c r="B54" s="82"/>
      <c r="C54" s="100"/>
      <c r="D54" s="100"/>
      <c r="E54" s="100"/>
      <c r="F54" s="82"/>
      <c r="G54" s="82"/>
      <c r="H54" s="82"/>
      <c r="I54" s="82"/>
      <c r="J54" s="82"/>
      <c r="K54" s="82"/>
      <c r="L54" s="153">
        <f>L49+L52</f>
        <v>35259374.2796059</v>
      </c>
      <c r="M54" s="350">
        <f>L54/$H$12</f>
        <v>2151.1423512662986</v>
      </c>
      <c r="O54" s="503"/>
      <c r="S54" s="225"/>
      <c r="T54" s="225"/>
      <c r="U54" s="225"/>
      <c r="V54" s="225"/>
      <c r="W54" s="225"/>
      <c r="X54" s="225"/>
      <c r="Y54" s="225"/>
      <c r="Z54" s="225"/>
      <c r="AA54" s="225"/>
      <c r="AB54" s="225"/>
      <c r="AC54" s="225"/>
      <c r="AD54" s="225"/>
      <c r="AE54" s="225"/>
      <c r="AF54" s="225"/>
      <c r="AG54" s="225"/>
      <c r="AH54" s="225"/>
      <c r="AJ54" s="334" t="e">
        <f>L45+AJ48</f>
        <v>#VALUE!</v>
      </c>
      <c r="AK54" s="354" t="e">
        <f>AJ54/H17</f>
        <v>#VALUE!</v>
      </c>
    </row>
    <row r="55" spans="5:32" ht="12.75">
      <c r="E55" s="230"/>
      <c r="L55" s="63"/>
      <c r="M55" s="345"/>
      <c r="O55" s="236"/>
      <c r="T55" s="241"/>
      <c r="U55" s="243"/>
      <c r="V55" s="243"/>
      <c r="W55" s="243"/>
      <c r="X55" s="243"/>
      <c r="Y55" s="243"/>
      <c r="Z55" s="243"/>
      <c r="AA55" s="243"/>
      <c r="AB55" s="243"/>
      <c r="AC55" s="243"/>
      <c r="AD55" s="243"/>
      <c r="AE55" s="299"/>
      <c r="AF55" s="257"/>
    </row>
    <row r="56" spans="2:37" ht="12.75">
      <c r="B56" s="1" t="s">
        <v>627</v>
      </c>
      <c r="C56" s="1"/>
      <c r="D56" s="1"/>
      <c r="E56" s="1"/>
      <c r="M56" s="345"/>
      <c r="T56" s="241"/>
      <c r="U56" s="249" t="s">
        <v>51</v>
      </c>
      <c r="V56" s="249"/>
      <c r="W56" s="249"/>
      <c r="X56" s="249"/>
      <c r="Y56" s="243"/>
      <c r="Z56" s="243"/>
      <c r="AA56" s="243"/>
      <c r="AB56" s="243"/>
      <c r="AC56" s="243"/>
      <c r="AD56" s="243"/>
      <c r="AE56" s="243"/>
      <c r="AF56" s="257"/>
      <c r="AJ56" s="344" t="s">
        <v>670</v>
      </c>
      <c r="AK56" s="63"/>
    </row>
    <row r="57" spans="6:37" ht="12.75">
      <c r="F57" t="s">
        <v>356</v>
      </c>
      <c r="L57" s="78">
        <f>-'8.Kotikuntakorvaukset'!I40</f>
        <v>-1084283.10556</v>
      </c>
      <c r="M57" s="345"/>
      <c r="T57" s="241"/>
      <c r="U57" s="243"/>
      <c r="V57" s="243"/>
      <c r="W57" s="243"/>
      <c r="X57" s="243"/>
      <c r="Y57" s="243" t="s">
        <v>356</v>
      </c>
      <c r="Z57" s="243"/>
      <c r="AA57" s="243"/>
      <c r="AB57" s="243"/>
      <c r="AC57" s="243"/>
      <c r="AD57" s="243"/>
      <c r="AE57" s="256">
        <f>'8.Kotikuntakorvaukset'!Z47*(-1)</f>
        <v>0</v>
      </c>
      <c r="AF57" s="257"/>
      <c r="AJ57" s="78">
        <f>'8.Kotikuntakorvaukset'!H40</f>
        <v>0</v>
      </c>
      <c r="AK57" s="63"/>
    </row>
    <row r="58" spans="6:37" ht="12.75" thickBot="1">
      <c r="F58" s="108" t="s">
        <v>355</v>
      </c>
      <c r="G58" s="108"/>
      <c r="H58" s="108"/>
      <c r="I58" s="108"/>
      <c r="J58" s="108"/>
      <c r="K58" s="108"/>
      <c r="L58" s="216">
        <f>'8.Kotikuntakorvaukset'!I47</f>
        <v>365456.8688</v>
      </c>
      <c r="M58" s="345"/>
      <c r="Q58" s="63"/>
      <c r="T58" s="241"/>
      <c r="U58" s="243"/>
      <c r="V58" s="243"/>
      <c r="W58" s="243"/>
      <c r="X58" s="243"/>
      <c r="Y58" s="258" t="s">
        <v>355</v>
      </c>
      <c r="Z58" s="258"/>
      <c r="AA58" s="258"/>
      <c r="AB58" s="258"/>
      <c r="AC58" s="258"/>
      <c r="AD58" s="258"/>
      <c r="AE58" s="283">
        <f>'8.Kotikuntakorvaukset'!Z40</f>
        <v>0</v>
      </c>
      <c r="AF58" s="257"/>
      <c r="AJ58" s="216">
        <f>'8.Kotikuntakorvaukset'!H47</f>
        <v>0</v>
      </c>
      <c r="AK58" s="63"/>
    </row>
    <row r="59" spans="5:37" ht="12.75" thickTop="1">
      <c r="E59" s="5" t="s">
        <v>563</v>
      </c>
      <c r="F59" s="5"/>
      <c r="L59" s="217">
        <f>'8.Kotikuntakorvaukset'!H50</f>
        <v>-718826.23676</v>
      </c>
      <c r="M59" s="345"/>
      <c r="T59" s="241"/>
      <c r="U59" s="243"/>
      <c r="V59" s="243"/>
      <c r="W59" s="243"/>
      <c r="X59" s="243" t="s">
        <v>553</v>
      </c>
      <c r="Y59" s="243"/>
      <c r="Z59" s="243"/>
      <c r="AA59" s="243"/>
      <c r="AB59" s="243"/>
      <c r="AC59" s="243"/>
      <c r="AD59" s="243"/>
      <c r="AE59" s="284">
        <f>'8.Kotikuntakorvaukset'!Z50</f>
        <v>0</v>
      </c>
      <c r="AF59" s="257"/>
      <c r="AJ59" s="217">
        <f>AJ58-AJ57</f>
        <v>0</v>
      </c>
      <c r="AK59" s="63"/>
    </row>
    <row r="60" spans="5:37" ht="12.75">
      <c r="E60" s="5"/>
      <c r="F60" s="5"/>
      <c r="L60" s="345"/>
      <c r="M60" s="345"/>
      <c r="T60" s="241"/>
      <c r="U60" s="243"/>
      <c r="V60" s="243"/>
      <c r="W60" s="243"/>
      <c r="X60" s="243"/>
      <c r="Y60" s="243"/>
      <c r="Z60" s="243"/>
      <c r="AA60" s="243"/>
      <c r="AB60" s="243"/>
      <c r="AC60" s="243"/>
      <c r="AD60" s="243"/>
      <c r="AE60" s="417"/>
      <c r="AF60" s="257"/>
      <c r="AJ60" s="416"/>
      <c r="AK60" s="63"/>
    </row>
    <row r="61" spans="1:37" ht="12.75">
      <c r="A61" s="81" t="s">
        <v>711</v>
      </c>
      <c r="B61" s="82"/>
      <c r="C61" s="100"/>
      <c r="D61" s="100"/>
      <c r="E61" s="100"/>
      <c r="F61" s="82"/>
      <c r="G61" s="82"/>
      <c r="H61" s="82"/>
      <c r="I61" s="82"/>
      <c r="J61" s="82"/>
      <c r="K61" s="82"/>
      <c r="L61" s="153">
        <f>L54+L59</f>
        <v>34540548.042845905</v>
      </c>
      <c r="M61" s="350">
        <f>L61/$H$12</f>
        <v>2107.2874164386494</v>
      </c>
      <c r="O61" s="236">
        <f>L61/$L$61</f>
        <v>1</v>
      </c>
      <c r="Q61" s="63"/>
      <c r="S61" s="225"/>
      <c r="T61" s="225"/>
      <c r="U61" s="225"/>
      <c r="V61" s="225"/>
      <c r="W61" s="225"/>
      <c r="X61" s="225"/>
      <c r="Y61" s="225"/>
      <c r="Z61" s="225"/>
      <c r="AA61" s="225"/>
      <c r="AB61" s="225"/>
      <c r="AC61" s="225"/>
      <c r="AD61" s="225"/>
      <c r="AE61" s="225"/>
      <c r="AF61" s="225"/>
      <c r="AG61" s="225"/>
      <c r="AH61" s="225"/>
      <c r="AJ61" s="334">
        <f>L52+AJ55</f>
        <v>8514923.5577991</v>
      </c>
      <c r="AK61" s="354" t="e">
        <f>AJ61/H24</f>
        <v>#DIV/0!</v>
      </c>
    </row>
    <row r="62" spans="11:37" ht="12.75">
      <c r="K62" s="65" t="s">
        <v>679</v>
      </c>
      <c r="L62" s="345">
        <f>L61/12</f>
        <v>2878379.003570492</v>
      </c>
      <c r="M62" s="345" t="s">
        <v>678</v>
      </c>
      <c r="T62" s="241"/>
      <c r="U62" s="243"/>
      <c r="V62" s="243"/>
      <c r="W62" s="243"/>
      <c r="X62" s="243"/>
      <c r="Y62" s="243"/>
      <c r="Z62" s="243"/>
      <c r="AA62" s="243"/>
      <c r="AB62" s="243"/>
      <c r="AC62" s="243"/>
      <c r="AD62" s="243"/>
      <c r="AE62" s="243"/>
      <c r="AF62" s="244"/>
      <c r="AK62" s="63"/>
    </row>
    <row r="63" spans="5:32" ht="12.75" hidden="1">
      <c r="E63" s="230"/>
      <c r="L63" s="63"/>
      <c r="M63" s="345"/>
      <c r="O63" s="236"/>
      <c r="T63" s="241"/>
      <c r="U63" s="243"/>
      <c r="V63" s="243"/>
      <c r="W63" s="243"/>
      <c r="X63" s="243"/>
      <c r="Y63" s="243"/>
      <c r="Z63" s="243"/>
      <c r="AA63" s="243"/>
      <c r="AB63" s="243"/>
      <c r="AC63" s="243"/>
      <c r="AD63" s="243"/>
      <c r="AE63" s="299"/>
      <c r="AF63" s="257"/>
    </row>
    <row r="64" spans="1:37" s="171" customFormat="1" ht="12.75" hidden="1">
      <c r="A64" s="318" t="s">
        <v>628</v>
      </c>
      <c r="B64" s="319"/>
      <c r="C64" s="320"/>
      <c r="D64" s="320"/>
      <c r="E64" s="320"/>
      <c r="F64" s="319"/>
      <c r="G64" s="319"/>
      <c r="H64" s="319"/>
      <c r="I64" s="319"/>
      <c r="J64" s="319"/>
      <c r="K64" s="319"/>
      <c r="L64" s="321" t="s">
        <v>358</v>
      </c>
      <c r="M64" s="351" t="s">
        <v>394</v>
      </c>
      <c r="T64" s="304" t="s">
        <v>641</v>
      </c>
      <c r="U64" s="305"/>
      <c r="V64" s="306"/>
      <c r="W64" s="306"/>
      <c r="X64" s="306"/>
      <c r="Y64" s="305"/>
      <c r="Z64" s="305"/>
      <c r="AA64" s="305"/>
      <c r="AB64" s="305"/>
      <c r="AC64" s="305"/>
      <c r="AD64" s="305"/>
      <c r="AE64" s="307" t="s">
        <v>358</v>
      </c>
      <c r="AF64" s="308" t="s">
        <v>394</v>
      </c>
      <c r="AJ64" s="225" t="s">
        <v>654</v>
      </c>
      <c r="AK64" s="63"/>
    </row>
    <row r="65" spans="1:37" s="171" customFormat="1" ht="11.25" hidden="1">
      <c r="A65" s="322"/>
      <c r="B65" s="323" t="s">
        <v>630</v>
      </c>
      <c r="C65" s="324"/>
      <c r="D65" s="324"/>
      <c r="E65" s="324"/>
      <c r="F65" s="323"/>
      <c r="G65" s="323"/>
      <c r="H65" s="323"/>
      <c r="I65" s="323"/>
      <c r="J65" s="323"/>
      <c r="K65" s="323"/>
      <c r="L65" s="325">
        <f>INDEX(vos_maksatus,MATCH($G$11,kunta,0),1,1)</f>
        <v>0</v>
      </c>
      <c r="M65" s="352">
        <f>L65/H12</f>
        <v>0</v>
      </c>
      <c r="T65" s="309"/>
      <c r="U65" s="310" t="s">
        <v>488</v>
      </c>
      <c r="V65" s="311"/>
      <c r="W65" s="311"/>
      <c r="X65" s="311"/>
      <c r="Y65" s="310"/>
      <c r="Z65" s="310"/>
      <c r="AA65" s="310"/>
      <c r="AB65" s="310"/>
      <c r="AC65" s="310"/>
      <c r="AD65" s="310"/>
      <c r="AE65" s="312">
        <f>INDEX(vos_maks,MATCH($G$11,kunta,0),1,1)</f>
        <v>0</v>
      </c>
      <c r="AF65" s="313">
        <f>AE65/AA12</f>
        <v>0</v>
      </c>
      <c r="AJ65" s="335">
        <f>AJ49+AJ59</f>
        <v>24948654.965806805</v>
      </c>
      <c r="AK65" s="355">
        <f>AJ65/H12</f>
        <v>1522.0947450312246</v>
      </c>
    </row>
    <row r="66" spans="1:37" s="171" customFormat="1" ht="12.75" hidden="1">
      <c r="A66" s="326"/>
      <c r="B66" s="327" t="s">
        <v>629</v>
      </c>
      <c r="C66" s="327"/>
      <c r="D66" s="327"/>
      <c r="E66" s="327"/>
      <c r="F66" s="327"/>
      <c r="G66" s="327"/>
      <c r="H66" s="327"/>
      <c r="I66" s="327"/>
      <c r="J66" s="327"/>
      <c r="K66" s="327"/>
      <c r="L66" s="328">
        <f>L65/12</f>
        <v>0</v>
      </c>
      <c r="M66" s="353">
        <f>L66/H12</f>
        <v>0</v>
      </c>
      <c r="T66" s="314"/>
      <c r="U66" s="315" t="s">
        <v>395</v>
      </c>
      <c r="V66" s="315"/>
      <c r="W66" s="315"/>
      <c r="X66" s="315"/>
      <c r="Y66" s="315"/>
      <c r="Z66" s="315"/>
      <c r="AA66" s="315"/>
      <c r="AB66" s="315"/>
      <c r="AC66" s="315"/>
      <c r="AD66" s="315"/>
      <c r="AE66" s="316">
        <f>AE65/12</f>
        <v>0</v>
      </c>
      <c r="AF66" s="317">
        <f>AE66/AA12</f>
        <v>0</v>
      </c>
      <c r="AJ66"/>
      <c r="AK66" s="63"/>
    </row>
    <row r="67" s="171" customFormat="1" ht="9.75" hidden="1"/>
    <row r="68" ht="12.75" hidden="1">
      <c r="L68" s="63"/>
    </row>
    <row r="69" ht="12.75">
      <c r="R69" s="63"/>
    </row>
    <row r="77" ht="12.75">
      <c r="BN77" s="166"/>
    </row>
    <row r="78" ht="12.75">
      <c r="BN78" s="166"/>
    </row>
    <row r="79" ht="12.75">
      <c r="BN79" s="166"/>
    </row>
    <row r="80" ht="12.75">
      <c r="BN80" s="166"/>
    </row>
    <row r="81" ht="12.75">
      <c r="BN81" s="166"/>
    </row>
    <row r="82" ht="12.75">
      <c r="BN82" s="166"/>
    </row>
    <row r="83" ht="12.75">
      <c r="BN83" s="166"/>
    </row>
    <row r="84" ht="12.75">
      <c r="BN84" s="166"/>
    </row>
    <row r="85" ht="12.75">
      <c r="BN85" s="166"/>
    </row>
    <row r="86" ht="12.75">
      <c r="BN86" s="166"/>
    </row>
    <row r="87" ht="12.75">
      <c r="BN87" s="166"/>
    </row>
    <row r="88" ht="12.75">
      <c r="BN88" s="166"/>
    </row>
    <row r="89" ht="12.75">
      <c r="BN89" s="166"/>
    </row>
    <row r="90" ht="12.75">
      <c r="BN90" s="166"/>
    </row>
    <row r="91" ht="12.75">
      <c r="BN91" s="166"/>
    </row>
    <row r="92" ht="12.75">
      <c r="BN92" s="166"/>
    </row>
    <row r="93" ht="12.75">
      <c r="BN93" s="166"/>
    </row>
    <row r="94" ht="12.75">
      <c r="BN94" s="166"/>
    </row>
    <row r="95" ht="12.75">
      <c r="BN95" s="166"/>
    </row>
    <row r="96" ht="12.75">
      <c r="BN96" s="166"/>
    </row>
    <row r="97" ht="12.75">
      <c r="BN97" s="166"/>
    </row>
    <row r="98" ht="12.75">
      <c r="BN98" s="166"/>
    </row>
    <row r="99" ht="12.75">
      <c r="BN99" s="166"/>
    </row>
    <row r="100" ht="12.75">
      <c r="BN100" s="166"/>
    </row>
    <row r="101" ht="12.75">
      <c r="BN101" s="166"/>
    </row>
    <row r="102" ht="12.75">
      <c r="BN102" s="166"/>
    </row>
    <row r="103" ht="12.75">
      <c r="BN103" s="166"/>
    </row>
    <row r="104" ht="12.75">
      <c r="BN104" s="166"/>
    </row>
    <row r="105" ht="12.75">
      <c r="BN105" s="166"/>
    </row>
    <row r="106" ht="12.75">
      <c r="BN106" s="166"/>
    </row>
    <row r="107" ht="12.75">
      <c r="BN107" s="166"/>
    </row>
    <row r="108" ht="12.75">
      <c r="BN108" s="166"/>
    </row>
  </sheetData>
  <sheetProtection/>
  <protectedRanges>
    <protectedRange sqref="G11:H11" name="Alue1"/>
    <protectedRange sqref="J25 AC25 AC45:AC46 J45:J46"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25"/>
  <sheetViews>
    <sheetView zoomScale="115" zoomScaleNormal="115" zoomScalePageLayoutView="0" workbookViewId="0" topLeftCell="A1">
      <selection activeCell="J16" sqref="J16"/>
    </sheetView>
  </sheetViews>
  <sheetFormatPr defaultColWidth="9.28125" defaultRowHeight="12.75"/>
  <cols>
    <col min="1" max="4" width="2.28125" style="5" customWidth="1"/>
    <col min="5" max="5" width="18.28125" style="5" customWidth="1"/>
    <col min="6" max="7" width="17.00390625" style="5" customWidth="1"/>
    <col min="8" max="8" width="18.57421875" style="5" customWidth="1"/>
    <col min="9" max="12" width="9.28125" style="5" customWidth="1"/>
    <col min="13" max="13" width="15.57421875" style="5" bestFit="1" customWidth="1"/>
    <col min="14" max="16384" width="9.28125" style="5" customWidth="1"/>
  </cols>
  <sheetData>
    <row r="1" spans="1:8" ht="12.75">
      <c r="A1" s="79" t="str">
        <f>'2.Yhteenveto'!A1</f>
        <v>18.1.2022, Kuntaliitto / Mikko Mehtonen, Lähde: VM, Opetushallitus</v>
      </c>
      <c r="E1" s="93"/>
      <c r="F1" s="28"/>
      <c r="G1" s="28"/>
      <c r="H1" s="28"/>
    </row>
    <row r="2" spans="5:8" ht="12.75">
      <c r="E2" s="93"/>
      <c r="F2" s="28"/>
      <c r="G2" s="28"/>
      <c r="H2" s="58"/>
    </row>
    <row r="3" spans="1:8" ht="17.25">
      <c r="A3" s="529" t="s">
        <v>697</v>
      </c>
      <c r="B3" s="530"/>
      <c r="C3" s="530"/>
      <c r="D3" s="530"/>
      <c r="E3" s="530"/>
      <c r="F3" s="530"/>
      <c r="G3" s="530"/>
      <c r="H3" s="531"/>
    </row>
    <row r="4" spans="1:8" ht="12.75">
      <c r="A4" s="28"/>
      <c r="B4" s="28"/>
      <c r="C4" s="28"/>
      <c r="D4" s="28"/>
      <c r="E4" s="28"/>
      <c r="F4" s="27"/>
      <c r="G4" s="28"/>
      <c r="H4" s="28"/>
    </row>
    <row r="5" spans="1:8" ht="12.75">
      <c r="A5" s="28"/>
      <c r="B5" s="54" t="s">
        <v>40</v>
      </c>
      <c r="C5" s="28"/>
      <c r="D5" s="28"/>
      <c r="E5" s="40"/>
      <c r="F5" s="55" t="s">
        <v>399</v>
      </c>
      <c r="H5" s="64"/>
    </row>
    <row r="6" spans="1:8" ht="12.75">
      <c r="A6" s="28"/>
      <c r="B6" s="28"/>
      <c r="C6" s="28"/>
      <c r="D6" s="28"/>
      <c r="E6" s="101"/>
      <c r="F6" s="55" t="s">
        <v>398</v>
      </c>
      <c r="H6" s="64"/>
    </row>
    <row r="7" spans="1:8" ht="12.75">
      <c r="A7" s="28"/>
      <c r="B7" s="28"/>
      <c r="C7" s="28"/>
      <c r="D7" s="28"/>
      <c r="E7" s="28"/>
      <c r="F7" s="27"/>
      <c r="G7" s="28"/>
      <c r="H7" s="28"/>
    </row>
    <row r="8" spans="2:8" ht="12.75">
      <c r="B8" s="84" t="s">
        <v>0</v>
      </c>
      <c r="F8" s="11" t="str">
        <f>'2.Yhteenveto'!G11</f>
        <v>Akaa</v>
      </c>
      <c r="G8" s="87"/>
      <c r="H8" s="28"/>
    </row>
    <row r="9" spans="2:8" ht="12.75">
      <c r="B9" s="84" t="str">
        <f>'2.Yhteenveto'!B12</f>
        <v>Asukasluku 31.12.2020:</v>
      </c>
      <c r="F9" s="147">
        <f>'2.Yhteenveto'!$H$12</f>
        <v>16391</v>
      </c>
      <c r="G9" s="87"/>
      <c r="H9" s="28"/>
    </row>
    <row r="10" spans="5:8" ht="12.75">
      <c r="E10" s="27"/>
      <c r="F10" s="28"/>
      <c r="G10" s="28"/>
      <c r="H10" s="146" t="s">
        <v>2</v>
      </c>
    </row>
    <row r="11" spans="2:8" ht="12.75">
      <c r="B11" s="27"/>
      <c r="F11" s="28"/>
      <c r="G11" s="28"/>
      <c r="H11" s="146" t="s">
        <v>359</v>
      </c>
    </row>
    <row r="12" spans="3:8" ht="18" customHeight="1">
      <c r="C12" s="27" t="s">
        <v>362</v>
      </c>
      <c r="D12" s="27"/>
      <c r="F12" s="103" t="s">
        <v>5</v>
      </c>
      <c r="G12" s="103" t="s">
        <v>366</v>
      </c>
      <c r="H12" s="99"/>
    </row>
    <row r="13" spans="5:10" ht="12.75">
      <c r="E13" s="28" t="s">
        <v>493</v>
      </c>
      <c r="F13" s="40">
        <f>INDEX(ikar_1,MATCH($F$8,kunta,0),1,1)</f>
        <v>816</v>
      </c>
      <c r="G13" s="95">
        <v>9713.3</v>
      </c>
      <c r="H13" s="86">
        <f aca="true" t="shared" si="0" ref="H13:H21">F13*G13</f>
        <v>7926052.8</v>
      </c>
      <c r="J13" s="499"/>
    </row>
    <row r="14" spans="5:10" ht="12.75">
      <c r="E14" s="28" t="s">
        <v>34</v>
      </c>
      <c r="F14" s="40">
        <f>INDEX(ikar_2,MATCH($F$8,kunta,0),1,1)</f>
        <v>176</v>
      </c>
      <c r="G14" s="95">
        <v>10305.71</v>
      </c>
      <c r="H14" s="86">
        <f t="shared" si="0"/>
        <v>1813804.96</v>
      </c>
      <c r="J14" s="499"/>
    </row>
    <row r="15" spans="5:10" ht="12.75">
      <c r="E15" s="28" t="s">
        <v>33</v>
      </c>
      <c r="F15" s="40">
        <f>INDEX(ikar_3,MATCH($F$8,kunta,0),1,1)</f>
        <v>1262</v>
      </c>
      <c r="G15" s="95">
        <v>8595.88</v>
      </c>
      <c r="H15" s="86">
        <f t="shared" si="0"/>
        <v>10848000.559999999</v>
      </c>
      <c r="J15" s="499"/>
    </row>
    <row r="16" spans="5:10" ht="12.75">
      <c r="E16" s="28" t="s">
        <v>32</v>
      </c>
      <c r="F16" s="40">
        <f>INDEX(ikar_4,MATCH($F$8,kunta,0),1,1)</f>
        <v>698</v>
      </c>
      <c r="G16" s="95">
        <v>14733.47</v>
      </c>
      <c r="H16" s="86">
        <f t="shared" si="0"/>
        <v>10283962.059999999</v>
      </c>
      <c r="J16" s="499"/>
    </row>
    <row r="17" spans="5:10" ht="12.75">
      <c r="E17" s="28" t="s">
        <v>494</v>
      </c>
      <c r="F17" s="40">
        <f>INDEX(ikar_5,MATCH($F$8,kunta,0),1,1)</f>
        <v>604</v>
      </c>
      <c r="G17" s="95">
        <v>4728.28</v>
      </c>
      <c r="H17" s="86">
        <f t="shared" si="0"/>
        <v>2855881.1199999996</v>
      </c>
      <c r="J17" s="499"/>
    </row>
    <row r="18" spans="5:10" ht="12.75">
      <c r="E18" s="28" t="s">
        <v>495</v>
      </c>
      <c r="F18" s="40">
        <f>INDEX(ikar_6,MATCH($F$8,kunta,0),1,1)</f>
        <v>8875</v>
      </c>
      <c r="G18" s="95">
        <v>1157.2</v>
      </c>
      <c r="H18" s="86">
        <f t="shared" si="0"/>
        <v>10270150</v>
      </c>
      <c r="J18" s="499"/>
    </row>
    <row r="19" spans="5:10" ht="12.75">
      <c r="E19" s="28" t="s">
        <v>363</v>
      </c>
      <c r="F19" s="40">
        <f>INDEX(ikar_7,MATCH($F$8,kunta,0),1,1)</f>
        <v>2331</v>
      </c>
      <c r="G19" s="95">
        <v>2306.18</v>
      </c>
      <c r="H19" s="86">
        <f t="shared" si="0"/>
        <v>5375705.58</v>
      </c>
      <c r="J19" s="499"/>
    </row>
    <row r="20" spans="5:10" ht="12.75">
      <c r="E20" s="28" t="s">
        <v>364</v>
      </c>
      <c r="F20" s="40">
        <f>INDEX(ikar_8,MATCH($F$8,kunta,0),1,1)</f>
        <v>1148</v>
      </c>
      <c r="G20" s="95">
        <v>6457.36</v>
      </c>
      <c r="H20" s="86">
        <f t="shared" si="0"/>
        <v>7413049.279999999</v>
      </c>
      <c r="J20" s="499"/>
    </row>
    <row r="21" spans="3:10" ht="12.75" thickBot="1">
      <c r="C21" s="155"/>
      <c r="D21" s="155"/>
      <c r="E21" s="105" t="s">
        <v>365</v>
      </c>
      <c r="F21" s="156">
        <f>INDEX(ikar_9,MATCH($F$8,kunta,0),1,1)</f>
        <v>481</v>
      </c>
      <c r="G21" s="157">
        <v>22359.23</v>
      </c>
      <c r="H21" s="158">
        <f t="shared" si="0"/>
        <v>10754789.629999999</v>
      </c>
      <c r="J21" s="499"/>
    </row>
    <row r="22" spans="3:8" ht="13.5" thickTop="1">
      <c r="C22" s="16" t="s">
        <v>357</v>
      </c>
      <c r="D22" s="16"/>
      <c r="F22" s="14">
        <f>SUM(F13:F21)</f>
        <v>16391</v>
      </c>
      <c r="G22" s="221">
        <f>H22/F22</f>
        <v>4120.639130620462</v>
      </c>
      <c r="H22" s="22">
        <f>SUM(H13:H21)</f>
        <v>67541395.99</v>
      </c>
    </row>
    <row r="23" spans="5:8" ht="12.75">
      <c r="E23" s="28"/>
      <c r="F23" s="28"/>
      <c r="G23" s="85"/>
      <c r="H23" s="28"/>
    </row>
    <row r="24" spans="1:8" ht="12.75">
      <c r="A24" s="91" t="s">
        <v>631</v>
      </c>
      <c r="B24" s="102"/>
      <c r="C24" s="102"/>
      <c r="D24" s="102"/>
      <c r="E24" s="102"/>
      <c r="F24" s="92"/>
      <c r="G24" s="94"/>
      <c r="H24" s="98">
        <f>H22</f>
        <v>67541395.99</v>
      </c>
    </row>
    <row r="25" ht="12.75">
      <c r="H25" s="134" t="s">
        <v>400</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83"/>
  <sheetViews>
    <sheetView zoomScale="115" zoomScaleNormal="115" zoomScalePageLayoutView="0" workbookViewId="0" topLeftCell="A21">
      <selection activeCell="H30" sqref="H30"/>
    </sheetView>
  </sheetViews>
  <sheetFormatPr defaultColWidth="9.140625" defaultRowHeight="12.75"/>
  <cols>
    <col min="1" max="2" width="2.00390625" style="0" customWidth="1"/>
    <col min="3" max="3" width="3.28125" style="0" customWidth="1"/>
    <col min="4" max="4" width="3.7109375" style="0" customWidth="1"/>
    <col min="5" max="5" width="16.7109375" style="0" customWidth="1"/>
    <col min="6" max="6" width="14.28125" style="0" customWidth="1"/>
    <col min="7" max="7" width="16.00390625" style="0" customWidth="1"/>
    <col min="8" max="8" width="11.28125" style="0" customWidth="1"/>
    <col min="9" max="9" width="6.28125" style="0" customWidth="1"/>
    <col min="10" max="10" width="21.28125" style="0" bestFit="1" customWidth="1"/>
  </cols>
  <sheetData>
    <row r="1" spans="1:10" ht="12.75">
      <c r="A1" s="79" t="str">
        <f>'2.Yhteenveto'!A1</f>
        <v>18.1.2022, Kuntaliitto / Mikko Mehtonen, Lähde: VM, Opetushallitus</v>
      </c>
      <c r="F1" s="93"/>
      <c r="G1" s="6"/>
      <c r="H1" s="6"/>
      <c r="I1" s="6"/>
      <c r="J1" s="6"/>
    </row>
    <row r="2" spans="6:10" ht="12.75">
      <c r="F2" s="93"/>
      <c r="G2" s="6"/>
      <c r="H2" s="6"/>
      <c r="I2" s="6"/>
      <c r="J2" s="6"/>
    </row>
    <row r="3" spans="1:10" ht="15">
      <c r="A3" s="538" t="s">
        <v>496</v>
      </c>
      <c r="B3" s="539"/>
      <c r="C3" s="539"/>
      <c r="D3" s="539"/>
      <c r="E3" s="539"/>
      <c r="F3" s="539"/>
      <c r="G3" s="539"/>
      <c r="H3" s="539"/>
      <c r="I3" s="539"/>
      <c r="J3" s="540"/>
    </row>
    <row r="4" spans="1:10" ht="15">
      <c r="A4" s="541" t="s">
        <v>698</v>
      </c>
      <c r="B4" s="542"/>
      <c r="C4" s="542"/>
      <c r="D4" s="542"/>
      <c r="E4" s="542"/>
      <c r="F4" s="542"/>
      <c r="G4" s="542"/>
      <c r="H4" s="542"/>
      <c r="I4" s="542"/>
      <c r="J4" s="543"/>
    </row>
    <row r="5" spans="6:10" ht="12.75">
      <c r="F5" s="8"/>
      <c r="G5" s="8"/>
      <c r="H5" s="6"/>
      <c r="I5" s="6"/>
      <c r="J5" s="6"/>
    </row>
    <row r="6" spans="3:10" ht="12.75">
      <c r="C6" s="54" t="s">
        <v>40</v>
      </c>
      <c r="D6" s="28"/>
      <c r="E6" s="40"/>
      <c r="F6" s="55" t="s">
        <v>399</v>
      </c>
      <c r="I6" s="6"/>
      <c r="J6" s="6"/>
    </row>
    <row r="7" spans="3:10" ht="12.75">
      <c r="C7" s="28"/>
      <c r="D7" s="28"/>
      <c r="E7" s="101"/>
      <c r="F7" s="55" t="s">
        <v>398</v>
      </c>
      <c r="I7" s="6"/>
      <c r="J7" s="6"/>
    </row>
    <row r="8" spans="6:10" ht="12.75">
      <c r="F8" s="8"/>
      <c r="G8" s="8"/>
      <c r="H8" s="6"/>
      <c r="I8" s="6"/>
      <c r="J8" s="6"/>
    </row>
    <row r="9" spans="2:10" ht="15.75" customHeight="1">
      <c r="B9" s="84" t="s">
        <v>0</v>
      </c>
      <c r="E9" s="9"/>
      <c r="F9" s="147" t="str">
        <f>'2.Yhteenveto'!G11</f>
        <v>Akaa</v>
      </c>
      <c r="H9" s="6"/>
      <c r="I9" s="6"/>
      <c r="J9" s="6"/>
    </row>
    <row r="10" spans="2:10" ht="15.75" customHeight="1">
      <c r="B10" s="84" t="str">
        <f>'2.Yhteenveto'!B12</f>
        <v>Asukasluku 31.12.2020:</v>
      </c>
      <c r="E10" s="8"/>
      <c r="F10" s="147">
        <f>'2.Yhteenveto'!$H$12</f>
        <v>16391</v>
      </c>
      <c r="H10" s="6"/>
      <c r="I10" s="6"/>
      <c r="J10" s="6"/>
    </row>
    <row r="11" spans="2:10" ht="15.75" customHeight="1">
      <c r="B11" s="84"/>
      <c r="E11" s="8"/>
      <c r="G11" s="8"/>
      <c r="H11" s="204"/>
      <c r="I11" s="6"/>
      <c r="J11" s="6"/>
    </row>
    <row r="12" spans="2:10" ht="15.75" customHeight="1">
      <c r="B12" s="27" t="s">
        <v>566</v>
      </c>
      <c r="E12" s="8"/>
      <c r="G12" s="8"/>
      <c r="I12" s="6"/>
      <c r="J12" s="222">
        <f>INDEX(sair_0,MATCH($F$9,kunta,0),1,1)</f>
        <v>0.9580966659236342</v>
      </c>
    </row>
    <row r="13" spans="2:10" ht="15.75" customHeight="1" thickBot="1">
      <c r="B13" s="27"/>
      <c r="C13" s="108" t="s">
        <v>587</v>
      </c>
      <c r="D13" s="108"/>
      <c r="E13" s="197"/>
      <c r="F13" s="108"/>
      <c r="G13" s="197"/>
      <c r="H13" s="108"/>
      <c r="I13" s="197"/>
      <c r="J13" s="193">
        <v>1329.61</v>
      </c>
    </row>
    <row r="14" spans="2:10" ht="15.75" customHeight="1" thickTop="1">
      <c r="B14" s="27"/>
      <c r="E14" s="8"/>
      <c r="G14" s="8"/>
      <c r="I14" s="6"/>
      <c r="J14" s="14"/>
    </row>
    <row r="15" spans="3:10" ht="15.75" customHeight="1">
      <c r="C15" s="5" t="s">
        <v>497</v>
      </c>
      <c r="E15" s="8"/>
      <c r="G15" s="6"/>
      <c r="I15" s="15"/>
      <c r="J15" s="22">
        <f>F10*J12*J13</f>
        <v>20880411.43667925</v>
      </c>
    </row>
    <row r="16" spans="3:10" ht="15.75" customHeight="1">
      <c r="C16" s="5"/>
      <c r="E16" s="8"/>
      <c r="G16" s="15"/>
      <c r="I16" s="15"/>
      <c r="J16" s="6"/>
    </row>
    <row r="17" spans="2:10" ht="15.75" customHeight="1">
      <c r="B17" s="27" t="s">
        <v>498</v>
      </c>
      <c r="C17" s="5"/>
      <c r="E17" s="8"/>
      <c r="G17" s="15"/>
      <c r="I17" s="15"/>
      <c r="J17" s="6"/>
    </row>
    <row r="18" spans="3:9" ht="15.75" customHeight="1">
      <c r="C18" s="1"/>
      <c r="G18" s="107"/>
      <c r="H18" s="15"/>
      <c r="I18" s="15"/>
    </row>
    <row r="19" spans="3:10" ht="15.75" customHeight="1">
      <c r="C19" s="12" t="s">
        <v>499</v>
      </c>
      <c r="F19" s="121" t="str">
        <f>$F$9</f>
        <v>Akaa</v>
      </c>
      <c r="G19" s="134" t="s">
        <v>503</v>
      </c>
      <c r="H19" s="24"/>
      <c r="I19" s="24"/>
      <c r="J19" s="25"/>
    </row>
    <row r="20" spans="4:10" ht="15.75" customHeight="1">
      <c r="D20" s="5" t="s">
        <v>500</v>
      </c>
      <c r="F20" s="30">
        <f>INDEX(muutla_1,MATCH($F$9,kunta,0),1,1)</f>
        <v>827</v>
      </c>
      <c r="G20" s="63">
        <f>SUM(muutla_1)</f>
        <v>340638</v>
      </c>
      <c r="H20" s="17"/>
      <c r="I20" s="18"/>
      <c r="J20" s="19"/>
    </row>
    <row r="21" spans="4:10" ht="15.75" customHeight="1" thickBot="1">
      <c r="D21" s="155" t="s">
        <v>502</v>
      </c>
      <c r="E21" s="181"/>
      <c r="F21" s="179">
        <f>INDEX(muutla_2,MATCH($F$9,kunta,0),1,1)</f>
        <v>7607</v>
      </c>
      <c r="G21" s="168">
        <f>SUM(muutla_2)</f>
        <v>2614701</v>
      </c>
      <c r="H21" s="17"/>
      <c r="I21" s="18"/>
      <c r="J21" s="19"/>
    </row>
    <row r="22" spans="4:9" ht="15.75" customHeight="1" thickTop="1">
      <c r="D22" s="5" t="s">
        <v>501</v>
      </c>
      <c r="F22" s="176">
        <f>F20/F21</f>
        <v>0.10871565663204943</v>
      </c>
      <c r="G22" s="175">
        <f>G20/G21</f>
        <v>0.13027799354495984</v>
      </c>
      <c r="H22" s="224">
        <f>F22/G22</f>
        <v>0.8344897988817345</v>
      </c>
      <c r="I22" s="18"/>
    </row>
    <row r="23" spans="3:10" ht="15.75" customHeight="1" thickBot="1">
      <c r="C23" s="108"/>
      <c r="D23" s="155" t="s">
        <v>401</v>
      </c>
      <c r="E23" s="108"/>
      <c r="F23" s="192"/>
      <c r="G23" s="108"/>
      <c r="H23" s="193">
        <v>103.34</v>
      </c>
      <c r="I23" s="191"/>
      <c r="J23" s="194" t="s">
        <v>358</v>
      </c>
    </row>
    <row r="24" spans="3:10" ht="15.75" customHeight="1" thickTop="1">
      <c r="C24" s="65" t="s">
        <v>520</v>
      </c>
      <c r="D24" s="15"/>
      <c r="H24" s="17"/>
      <c r="I24" s="18"/>
      <c r="J24" s="16">
        <f>H23*$F$10*H22</f>
        <v>1413497.1578072424</v>
      </c>
    </row>
    <row r="25" spans="4:10" ht="15.75" customHeight="1">
      <c r="D25" s="15"/>
      <c r="H25" s="17"/>
      <c r="I25" s="18"/>
      <c r="J25" s="19"/>
    </row>
    <row r="26" spans="3:10" ht="15.75" customHeight="1">
      <c r="C26" s="12" t="s">
        <v>504</v>
      </c>
      <c r="D26" s="5"/>
      <c r="F26" s="121" t="str">
        <f>$F$9</f>
        <v>Akaa</v>
      </c>
      <c r="G26" s="134" t="s">
        <v>503</v>
      </c>
      <c r="H26" s="24"/>
      <c r="I26" s="24"/>
      <c r="J26" s="25"/>
    </row>
    <row r="27" spans="4:10" ht="15.75" customHeight="1">
      <c r="D27" s="5" t="s">
        <v>505</v>
      </c>
      <c r="F27" s="30">
        <f>INDEX(muutla_4,MATCH($F$9,kunta,0),1,1)</f>
        <v>392</v>
      </c>
      <c r="G27" s="63">
        <f>SUM(muutla_4)</f>
        <v>430109</v>
      </c>
      <c r="H27" s="17"/>
      <c r="I27" s="18"/>
      <c r="J27" s="19"/>
    </row>
    <row r="28" spans="4:10" ht="15.75" customHeight="1">
      <c r="D28" s="188" t="s">
        <v>506</v>
      </c>
      <c r="E28" s="53"/>
      <c r="F28" s="178">
        <f>F27/$F$10</f>
        <v>0.023915563418949425</v>
      </c>
      <c r="G28" s="183">
        <f>SUM(muutla_4)/SUM(vosC)</f>
        <v>0.07814957453798052</v>
      </c>
      <c r="H28" s="17"/>
      <c r="I28" s="18"/>
      <c r="J28" s="19"/>
    </row>
    <row r="29" spans="4:10" ht="15.75" customHeight="1" thickBot="1">
      <c r="D29" s="189" t="s">
        <v>507</v>
      </c>
      <c r="E29" s="185"/>
      <c r="F29" s="186"/>
      <c r="G29" s="187">
        <f>MIN(muutla_5)</f>
        <v>0.0027829313543599257</v>
      </c>
      <c r="H29" s="17"/>
      <c r="I29" s="18"/>
      <c r="J29" s="19"/>
    </row>
    <row r="30" spans="4:9" ht="15.75" customHeight="1" thickTop="1">
      <c r="D30" s="5" t="s">
        <v>508</v>
      </c>
      <c r="F30" s="176"/>
      <c r="G30" s="175"/>
      <c r="H30" s="178">
        <f>F28-G29</f>
        <v>0.0211326320645895</v>
      </c>
      <c r="I30" s="18"/>
    </row>
    <row r="31" spans="3:10" ht="15.75" customHeight="1" thickBot="1">
      <c r="C31" s="108"/>
      <c r="D31" s="155" t="s">
        <v>401</v>
      </c>
      <c r="E31" s="108"/>
      <c r="F31" s="192"/>
      <c r="G31" s="108"/>
      <c r="H31" s="195">
        <v>2237.64</v>
      </c>
      <c r="I31" s="191"/>
      <c r="J31" s="194" t="s">
        <v>358</v>
      </c>
    </row>
    <row r="32" spans="3:10" ht="15.75" customHeight="1" thickTop="1">
      <c r="C32" s="65" t="s">
        <v>521</v>
      </c>
      <c r="D32" s="15"/>
      <c r="H32" s="17"/>
      <c r="I32" s="18"/>
      <c r="J32" s="16">
        <f>H31*$F$10*H30</f>
        <v>775084.8691280148</v>
      </c>
    </row>
    <row r="33" spans="4:9" ht="15.75" customHeight="1">
      <c r="D33" s="15"/>
      <c r="H33" s="17"/>
      <c r="I33" s="18"/>
    </row>
    <row r="34" spans="3:10" ht="15.75" customHeight="1">
      <c r="C34" s="12" t="s">
        <v>388</v>
      </c>
      <c r="D34" s="5"/>
      <c r="F34" s="173"/>
      <c r="G34" s="174"/>
      <c r="H34" s="24"/>
      <c r="I34" s="24"/>
      <c r="J34" s="25"/>
    </row>
    <row r="35" spans="4:10" ht="15.75" customHeight="1">
      <c r="D35" s="5" t="s">
        <v>509</v>
      </c>
      <c r="G35" s="30">
        <f>INDEX(muutla_7,MATCH($F$9,kunta,0),1,1)</f>
        <v>0</v>
      </c>
      <c r="H35" s="17"/>
      <c r="I35" s="18"/>
      <c r="J35" s="19"/>
    </row>
    <row r="36" spans="4:10" ht="15.75" customHeight="1">
      <c r="D36" s="5"/>
      <c r="E36" s="65" t="s">
        <v>510</v>
      </c>
      <c r="G36" s="17"/>
      <c r="H36" s="17"/>
      <c r="I36" s="18"/>
      <c r="J36" s="19"/>
    </row>
    <row r="37" spans="4:10" ht="15.75" customHeight="1">
      <c r="D37" s="5"/>
      <c r="E37" s="65" t="s">
        <v>511</v>
      </c>
      <c r="G37" s="17"/>
      <c r="H37" s="17"/>
      <c r="I37" s="18"/>
      <c r="J37" s="19"/>
    </row>
    <row r="38" spans="4:10" ht="15.75" customHeight="1">
      <c r="D38" s="5"/>
      <c r="E38" s="65" t="s">
        <v>512</v>
      </c>
      <c r="G38" s="17"/>
      <c r="H38" s="17"/>
      <c r="I38" s="18"/>
      <c r="J38" s="19"/>
    </row>
    <row r="39" spans="4:10" ht="15.75" customHeight="1">
      <c r="D39" s="5"/>
      <c r="E39" s="65" t="s">
        <v>513</v>
      </c>
      <c r="G39" s="17"/>
      <c r="H39" s="17"/>
      <c r="I39" s="18"/>
      <c r="J39" s="19"/>
    </row>
    <row r="40" spans="4:10" ht="15.75" customHeight="1">
      <c r="D40" s="5"/>
      <c r="E40" s="65"/>
      <c r="F40" s="121" t="str">
        <f>$F$9</f>
        <v>Akaa</v>
      </c>
      <c r="G40" s="134" t="s">
        <v>503</v>
      </c>
      <c r="H40" s="17"/>
      <c r="I40" s="18"/>
      <c r="J40" s="19"/>
    </row>
    <row r="41" spans="4:10" ht="15.75" customHeight="1">
      <c r="D41" s="5" t="s">
        <v>516</v>
      </c>
      <c r="E41" s="65"/>
      <c r="F41" s="30">
        <f>INDEX(muutla_8,MATCH($F$9,kunta,0),1,1)</f>
        <v>31</v>
      </c>
      <c r="G41" s="63">
        <f>SUM(muutla_8)</f>
        <v>261885</v>
      </c>
      <c r="H41" s="17"/>
      <c r="I41" s="18"/>
      <c r="J41" s="19"/>
    </row>
    <row r="42" spans="4:10" ht="15.75" customHeight="1">
      <c r="D42" s="5" t="s">
        <v>401</v>
      </c>
      <c r="F42" s="176"/>
      <c r="H42" s="97">
        <v>318.56</v>
      </c>
      <c r="I42" s="18"/>
      <c r="J42" s="162" t="s">
        <v>358</v>
      </c>
    </row>
    <row r="43" spans="4:10" ht="15.75" customHeight="1">
      <c r="D43" s="5" t="s">
        <v>514</v>
      </c>
      <c r="E43" s="65"/>
      <c r="G43" s="17"/>
      <c r="H43" s="17"/>
      <c r="I43" s="18"/>
      <c r="J43" s="19">
        <f>IF(OR($G$35=1,$G$35=3),$F$10*$H$42*0.07,0)</f>
        <v>0</v>
      </c>
    </row>
    <row r="44" spans="3:10" ht="15.75" customHeight="1" thickBot="1">
      <c r="C44" s="108"/>
      <c r="D44" s="155" t="s">
        <v>515</v>
      </c>
      <c r="E44" s="180"/>
      <c r="F44" s="108"/>
      <c r="G44" s="190"/>
      <c r="H44" s="190"/>
      <c r="I44" s="191"/>
      <c r="J44" s="109">
        <f>IF(OR($G$35=1,$G$35=3),$H$42*F41*0.93,0)</f>
        <v>0</v>
      </c>
    </row>
    <row r="45" spans="3:10" ht="15.75" customHeight="1" thickTop="1">
      <c r="C45" s="65" t="s">
        <v>522</v>
      </c>
      <c r="D45" s="5"/>
      <c r="E45" s="65"/>
      <c r="G45" s="17"/>
      <c r="H45" s="17"/>
      <c r="I45" s="18"/>
      <c r="J45" s="16">
        <f>SUM(J43:J44)</f>
        <v>0</v>
      </c>
    </row>
    <row r="46" spans="4:10" ht="15.75" customHeight="1">
      <c r="D46" s="65"/>
      <c r="E46" s="65"/>
      <c r="G46" s="17"/>
      <c r="H46" s="17"/>
      <c r="I46" s="18"/>
      <c r="J46" s="19"/>
    </row>
    <row r="47" spans="3:10" ht="15.75" customHeight="1">
      <c r="C47" s="12" t="s">
        <v>517</v>
      </c>
      <c r="D47" s="5"/>
      <c r="F47" s="173"/>
      <c r="G47" s="174"/>
      <c r="H47" s="24"/>
      <c r="I47" s="24"/>
      <c r="J47" s="25"/>
    </row>
    <row r="48" spans="4:10" ht="15.75" customHeight="1">
      <c r="D48" s="5" t="s">
        <v>518</v>
      </c>
      <c r="G48" s="30">
        <f>INDEX(muutla_10,MATCH($F$9,kunta,0),1,1)</f>
        <v>0</v>
      </c>
      <c r="H48" s="17"/>
      <c r="I48" s="18"/>
      <c r="J48" s="19"/>
    </row>
    <row r="49" spans="4:10" ht="15.75" customHeight="1">
      <c r="D49" s="5"/>
      <c r="E49" s="65" t="s">
        <v>519</v>
      </c>
      <c r="G49" s="17"/>
      <c r="H49" s="17"/>
      <c r="I49" s="18"/>
      <c r="J49" s="19"/>
    </row>
    <row r="50" spans="4:10" ht="15.75" customHeight="1">
      <c r="D50" s="5"/>
      <c r="E50" s="65" t="s">
        <v>569</v>
      </c>
      <c r="G50" s="17"/>
      <c r="H50" s="17"/>
      <c r="I50" s="18"/>
      <c r="J50" s="19"/>
    </row>
    <row r="51" spans="4:10" ht="15.75" customHeight="1">
      <c r="D51" s="5"/>
      <c r="E51" s="65" t="s">
        <v>568</v>
      </c>
      <c r="G51" s="17"/>
      <c r="H51" s="17"/>
      <c r="I51" s="18"/>
      <c r="J51" s="19"/>
    </row>
    <row r="52" spans="4:10" ht="15.75" customHeight="1">
      <c r="D52" s="5"/>
      <c r="E52" s="65" t="s">
        <v>570</v>
      </c>
      <c r="G52" s="17"/>
      <c r="H52" s="17"/>
      <c r="I52" s="18"/>
      <c r="J52" s="162"/>
    </row>
    <row r="53" spans="3:10" ht="15.75" customHeight="1" thickBot="1">
      <c r="C53" s="108"/>
      <c r="D53" s="155" t="s">
        <v>401</v>
      </c>
      <c r="E53" s="108"/>
      <c r="F53" s="192"/>
      <c r="G53" s="108"/>
      <c r="H53" s="195">
        <v>438.47</v>
      </c>
      <c r="I53" s="191"/>
      <c r="J53" s="194" t="s">
        <v>358</v>
      </c>
    </row>
    <row r="54" spans="3:10" ht="15.75" customHeight="1" thickTop="1">
      <c r="C54" s="65" t="s">
        <v>523</v>
      </c>
      <c r="D54" s="15"/>
      <c r="H54" s="17"/>
      <c r="I54" s="18"/>
      <c r="J54" s="16">
        <f>IF($G$48=2,3*$H$53*$F$10,IF($G$48=1,$H$53*$F$10,0))</f>
        <v>0</v>
      </c>
    </row>
    <row r="55" spans="4:10" ht="15.75" customHeight="1">
      <c r="D55" s="65"/>
      <c r="E55" s="65"/>
      <c r="G55" s="17"/>
      <c r="H55" s="17"/>
      <c r="I55" s="18"/>
      <c r="J55" s="19"/>
    </row>
    <row r="56" spans="3:10" ht="15.75" customHeight="1">
      <c r="C56" s="12" t="s">
        <v>564</v>
      </c>
      <c r="D56" s="5"/>
      <c r="F56" s="173"/>
      <c r="G56" s="423">
        <f>G48</f>
        <v>0</v>
      </c>
      <c r="H56" s="24"/>
      <c r="I56" s="24"/>
      <c r="J56" s="25"/>
    </row>
    <row r="57" spans="4:10" ht="15.75" customHeight="1">
      <c r="D57" s="5" t="s">
        <v>571</v>
      </c>
      <c r="G57" s="30">
        <f>INDEX(muutla_18,MATCH($F$9,kunta,0),1,1)</f>
        <v>0</v>
      </c>
      <c r="H57" s="17"/>
      <c r="I57" s="18"/>
      <c r="J57" s="19"/>
    </row>
    <row r="58" spans="3:10" ht="15.75" customHeight="1" thickBot="1">
      <c r="C58" s="108"/>
      <c r="D58" s="155" t="s">
        <v>401</v>
      </c>
      <c r="E58" s="108"/>
      <c r="F58" s="192"/>
      <c r="G58" s="108"/>
      <c r="H58" s="195">
        <v>320.75</v>
      </c>
      <c r="I58" s="191"/>
      <c r="J58" s="194" t="s">
        <v>358</v>
      </c>
    </row>
    <row r="59" spans="3:10" ht="15.75" customHeight="1" thickTop="1">
      <c r="C59" s="65" t="s">
        <v>565</v>
      </c>
      <c r="D59" s="15"/>
      <c r="H59" s="17"/>
      <c r="I59" s="18"/>
      <c r="J59" s="16">
        <f>IF($G$48=3,$H$58*$G$57,0)</f>
        <v>0</v>
      </c>
    </row>
    <row r="60" spans="4:10" ht="15.75" customHeight="1">
      <c r="D60" s="65"/>
      <c r="E60" s="65"/>
      <c r="G60" s="17"/>
      <c r="H60" s="17"/>
      <c r="I60" s="18"/>
      <c r="J60" s="19"/>
    </row>
    <row r="61" spans="3:10" ht="15.75" customHeight="1">
      <c r="C61" s="12" t="s">
        <v>492</v>
      </c>
      <c r="D61" s="5"/>
      <c r="F61" s="121" t="str">
        <f>$F$9</f>
        <v>Akaa</v>
      </c>
      <c r="G61" s="134" t="s">
        <v>503</v>
      </c>
      <c r="H61" s="24"/>
      <c r="I61" s="24"/>
      <c r="J61" s="25"/>
    </row>
    <row r="62" spans="4:10" ht="15.75" customHeight="1">
      <c r="D62" s="5" t="s">
        <v>524</v>
      </c>
      <c r="F62" s="30">
        <f>INDEX(muutla_11,MATCH($F$9,kunta,0),1,1)</f>
        <v>293.26</v>
      </c>
      <c r="G62" s="63">
        <f>SUM(muutla_11)</f>
        <v>302381.26999999996</v>
      </c>
      <c r="H62" s="17"/>
      <c r="I62" s="18"/>
      <c r="J62" s="19"/>
    </row>
    <row r="63" spans="4:10" ht="15.75" customHeight="1">
      <c r="D63" s="188" t="s">
        <v>492</v>
      </c>
      <c r="E63" s="53"/>
      <c r="F63" s="51">
        <f>$F$10/F62</f>
        <v>55.892382186455706</v>
      </c>
      <c r="G63" s="196">
        <f>SUM(vosC)/G62</f>
        <v>18.201074425013164</v>
      </c>
      <c r="H63" s="17"/>
      <c r="I63" s="18"/>
      <c r="J63" s="19"/>
    </row>
    <row r="64" spans="4:9" ht="15.75" customHeight="1">
      <c r="D64" s="5" t="s">
        <v>526</v>
      </c>
      <c r="F64" s="176"/>
      <c r="G64" s="175"/>
      <c r="H64" s="51">
        <f>$G$63/$F$63</f>
        <v>0.32564499334264907</v>
      </c>
      <c r="I64" s="18"/>
    </row>
    <row r="65" spans="3:10" ht="15.75" customHeight="1" thickBot="1">
      <c r="C65" s="108"/>
      <c r="D65" s="155" t="s">
        <v>401</v>
      </c>
      <c r="E65" s="108"/>
      <c r="F65" s="192"/>
      <c r="G65" s="108"/>
      <c r="H65" s="195">
        <v>45</v>
      </c>
      <c r="I65" s="191"/>
      <c r="J65" s="194" t="s">
        <v>358</v>
      </c>
    </row>
    <row r="66" spans="3:10" ht="15.75" customHeight="1" thickTop="1">
      <c r="C66" s="65" t="s">
        <v>525</v>
      </c>
      <c r="D66" s="15"/>
      <c r="H66" s="17"/>
      <c r="I66" s="18"/>
      <c r="J66" s="16">
        <f>$H$65*$F$10*MIN(20,H64)</f>
        <v>240194.11886457124</v>
      </c>
    </row>
    <row r="67" spans="4:10" ht="15.75" customHeight="1">
      <c r="D67" s="65"/>
      <c r="E67" s="65"/>
      <c r="G67" s="17"/>
      <c r="H67" s="17"/>
      <c r="I67" s="18"/>
      <c r="J67" s="19"/>
    </row>
    <row r="68" spans="3:10" ht="15.75" customHeight="1">
      <c r="C68" s="12" t="s">
        <v>527</v>
      </c>
      <c r="D68" s="5"/>
      <c r="F68" s="121" t="str">
        <f>$F$9</f>
        <v>Akaa</v>
      </c>
      <c r="G68" s="134" t="s">
        <v>503</v>
      </c>
      <c r="H68" s="24"/>
      <c r="I68" s="24"/>
      <c r="J68" s="25"/>
    </row>
    <row r="69" spans="3:10" ht="15.75" customHeight="1">
      <c r="C69" s="12"/>
      <c r="D69" s="5" t="s">
        <v>528</v>
      </c>
      <c r="F69" s="121"/>
      <c r="G69" s="134"/>
      <c r="H69" s="24"/>
      <c r="I69" s="24"/>
      <c r="J69" s="25"/>
    </row>
    <row r="70" spans="6:10" ht="15.75" customHeight="1">
      <c r="F70" s="30">
        <f>INDEX(muutla_14,MATCH($F$9,kunta,0),1,1)</f>
        <v>658</v>
      </c>
      <c r="G70" s="63">
        <f>SUM(muutla_14)</f>
        <v>231828</v>
      </c>
      <c r="H70" s="17"/>
      <c r="I70" s="18"/>
      <c r="J70" s="19"/>
    </row>
    <row r="71" spans="4:10" ht="15.75" customHeight="1">
      <c r="D71" s="188" t="s">
        <v>529</v>
      </c>
      <c r="E71" s="53"/>
      <c r="F71" s="30">
        <f>INDEX(muutla_15,MATCH($F$9,kunta,0),1,1)</f>
        <v>5350</v>
      </c>
      <c r="G71" s="63">
        <f>SUM(muutla_15)</f>
        <v>1722530</v>
      </c>
      <c r="H71" s="17"/>
      <c r="I71" s="18"/>
      <c r="J71" s="19"/>
    </row>
    <row r="72" spans="4:10" ht="15.75" customHeight="1">
      <c r="D72" s="188"/>
      <c r="E72" s="52"/>
      <c r="F72" s="178">
        <f>F70/F71</f>
        <v>0.12299065420560748</v>
      </c>
      <c r="G72" s="183">
        <f>G70/G71</f>
        <v>0.13458575467480974</v>
      </c>
      <c r="H72" s="17"/>
      <c r="I72" s="18"/>
      <c r="J72" s="19"/>
    </row>
    <row r="73" spans="4:10" ht="15.75" customHeight="1" thickBot="1">
      <c r="D73" s="189" t="s">
        <v>507</v>
      </c>
      <c r="E73" s="108"/>
      <c r="F73" s="182"/>
      <c r="G73" s="182">
        <f>MIN(muutla_16)</f>
        <v>0.053467000835421885</v>
      </c>
      <c r="H73" s="17"/>
      <c r="I73" s="18"/>
      <c r="J73" s="19"/>
    </row>
    <row r="74" spans="4:9" ht="15.75" customHeight="1" thickTop="1">
      <c r="D74" s="5" t="s">
        <v>531</v>
      </c>
      <c r="F74" s="176"/>
      <c r="G74" s="175"/>
      <c r="H74" s="177">
        <f>F72-G73</f>
        <v>0.0695236533701856</v>
      </c>
      <c r="I74" s="18"/>
    </row>
    <row r="75" spans="3:10" ht="15.75" customHeight="1" thickBot="1">
      <c r="C75" s="108"/>
      <c r="D75" s="155" t="s">
        <v>401</v>
      </c>
      <c r="E75" s="108"/>
      <c r="F75" s="192"/>
      <c r="G75" s="108"/>
      <c r="H75" s="195">
        <v>457.42</v>
      </c>
      <c r="I75" s="191"/>
      <c r="J75" s="194" t="s">
        <v>358</v>
      </c>
    </row>
    <row r="76" spans="3:10" ht="15.75" customHeight="1" thickTop="1">
      <c r="C76" s="65" t="s">
        <v>708</v>
      </c>
      <c r="D76" s="15"/>
      <c r="H76" s="17"/>
      <c r="I76" s="18"/>
      <c r="J76" s="16">
        <f>$H$75*$F$10*H74</f>
        <v>521258.54261755955</v>
      </c>
    </row>
    <row r="77" spans="4:10" ht="15.75" customHeight="1">
      <c r="D77" s="65"/>
      <c r="E77" s="65"/>
      <c r="G77" s="17"/>
      <c r="H77" s="17"/>
      <c r="I77" s="18"/>
      <c r="J77" s="19"/>
    </row>
    <row r="78" spans="3:10" ht="12.75" customHeight="1">
      <c r="C78" s="12"/>
      <c r="G78" s="9"/>
      <c r="H78" s="20"/>
      <c r="I78" s="20"/>
      <c r="J78" s="22"/>
    </row>
    <row r="79" spans="2:10" ht="15.75" customHeight="1">
      <c r="B79" s="81" t="s">
        <v>532</v>
      </c>
      <c r="C79" s="82"/>
      <c r="D79" s="82"/>
      <c r="E79" s="92"/>
      <c r="F79" s="82"/>
      <c r="G79" s="129"/>
      <c r="H79" s="161"/>
      <c r="I79" s="161"/>
      <c r="J79" s="98">
        <f>J24+J32+J45+J54+J59+J66+J76</f>
        <v>2950034.6884173877</v>
      </c>
    </row>
    <row r="80" spans="5:10" ht="12" customHeight="1">
      <c r="E80" s="13"/>
      <c r="G80" s="23"/>
      <c r="H80" s="8"/>
      <c r="I80" s="8"/>
      <c r="J80" s="8"/>
    </row>
    <row r="81" spans="7:10" ht="12" customHeight="1">
      <c r="G81" s="27"/>
      <c r="H81" s="27"/>
      <c r="I81" s="27"/>
      <c r="J81" s="27"/>
    </row>
    <row r="82" spans="1:10" ht="15.75" customHeight="1">
      <c r="A82" s="91" t="s">
        <v>533</v>
      </c>
      <c r="B82" s="82"/>
      <c r="C82" s="82"/>
      <c r="D82" s="82"/>
      <c r="E82" s="82"/>
      <c r="F82" s="82"/>
      <c r="G82" s="92"/>
      <c r="H82" s="92"/>
      <c r="I82" s="92"/>
      <c r="J82" s="98">
        <f>J15+J79</f>
        <v>23830446.125096638</v>
      </c>
    </row>
    <row r="83" spans="6:10" ht="15.75" customHeight="1">
      <c r="F83" s="12"/>
      <c r="G83" s="27"/>
      <c r="H83" s="27"/>
      <c r="I83" s="27"/>
      <c r="J83" s="134" t="s">
        <v>400</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36"/>
  <sheetViews>
    <sheetView zoomScalePageLayoutView="0" workbookViewId="0" topLeftCell="A13">
      <selection activeCell="M32" sqref="M32"/>
    </sheetView>
  </sheetViews>
  <sheetFormatPr defaultColWidth="9.28125" defaultRowHeight="12.75"/>
  <cols>
    <col min="1" max="2" width="2.28125" style="8" customWidth="1"/>
    <col min="3" max="4" width="3.7109375" style="8" customWidth="1"/>
    <col min="5" max="5" width="23.7109375" style="8" customWidth="1"/>
    <col min="6" max="6" width="13.57421875" style="8" customWidth="1"/>
    <col min="7" max="7" width="10.7109375" style="8" bestFit="1" customWidth="1"/>
    <col min="8" max="8" width="10.421875" style="8" customWidth="1"/>
    <col min="9" max="9" width="7.00390625" style="26" customWidth="1"/>
    <col min="10" max="10" width="12.28125" style="19" customWidth="1"/>
    <col min="11" max="16384" width="9.28125" style="8" customWidth="1"/>
  </cols>
  <sheetData>
    <row r="1" spans="1:6" ht="15">
      <c r="A1" s="79" t="str">
        <f>'2.Yhteenveto'!A1</f>
        <v>18.1.2022, Kuntaliitto / Mikko Mehtonen, Lähde: VM, Opetushallitus</v>
      </c>
      <c r="E1" s="47"/>
      <c r="F1" s="47"/>
    </row>
    <row r="2" spans="5:6" ht="15">
      <c r="E2" s="47"/>
      <c r="F2" s="47"/>
    </row>
    <row r="3" spans="1:10" ht="17.25">
      <c r="A3" s="529" t="s">
        <v>695</v>
      </c>
      <c r="B3" s="530"/>
      <c r="C3" s="530"/>
      <c r="D3" s="530"/>
      <c r="E3" s="530"/>
      <c r="F3" s="530"/>
      <c r="G3" s="530"/>
      <c r="H3" s="530"/>
      <c r="I3" s="530"/>
      <c r="J3" s="531"/>
    </row>
    <row r="4" spans="5:6" ht="12.75">
      <c r="E4" s="7"/>
      <c r="F4" s="7"/>
    </row>
    <row r="5" spans="3:6" ht="12.75">
      <c r="C5" s="54" t="s">
        <v>40</v>
      </c>
      <c r="D5" s="28"/>
      <c r="E5" s="40"/>
      <c r="F5" s="55" t="s">
        <v>399</v>
      </c>
    </row>
    <row r="6" spans="3:6" ht="12.75">
      <c r="C6" s="28"/>
      <c r="D6" s="28"/>
      <c r="E6" s="101"/>
      <c r="F6" s="55" t="s">
        <v>402</v>
      </c>
    </row>
    <row r="7" spans="5:6" ht="12.75">
      <c r="E7" s="7"/>
      <c r="F7" s="7"/>
    </row>
    <row r="8" spans="2:6" ht="12.75">
      <c r="B8" s="84" t="s">
        <v>0</v>
      </c>
      <c r="E8" s="12"/>
      <c r="F8" s="163" t="str">
        <f>'2.Yhteenveto'!G11</f>
        <v>Akaa</v>
      </c>
    </row>
    <row r="9" spans="2:6" ht="12.75">
      <c r="B9" s="84" t="str">
        <f>'2.Yhteenveto'!B12</f>
        <v>Asukasluku 31.12.2020:</v>
      </c>
      <c r="E9" s="7"/>
      <c r="F9" s="147">
        <f>'2.Yhteenveto'!$H$12</f>
        <v>16391</v>
      </c>
    </row>
    <row r="10" ht="12.75">
      <c r="H10" s="49"/>
    </row>
    <row r="11" spans="3:10" ht="12.75">
      <c r="C11" s="27" t="s">
        <v>390</v>
      </c>
      <c r="G11" s="10"/>
      <c r="H11" s="11"/>
      <c r="I11" s="68"/>
      <c r="J11" s="67"/>
    </row>
    <row r="12" spans="3:10" ht="12.75">
      <c r="C12" s="28"/>
      <c r="D12" s="5" t="s">
        <v>401</v>
      </c>
      <c r="E12"/>
      <c r="F12" s="176"/>
      <c r="G12"/>
      <c r="H12" s="97">
        <v>226.4</v>
      </c>
      <c r="I12" s="68"/>
      <c r="J12" s="67"/>
    </row>
    <row r="13" spans="3:10" ht="12.75">
      <c r="C13" s="28"/>
      <c r="D13" s="28" t="s">
        <v>534</v>
      </c>
      <c r="G13" s="177">
        <f>INDEX(lo_1,MATCH($F$8,kunta,0),1,1)</f>
        <v>0</v>
      </c>
      <c r="H13" s="11"/>
      <c r="I13" s="68"/>
      <c r="J13" s="67"/>
    </row>
    <row r="14" spans="4:9" ht="12.75">
      <c r="D14" s="28" t="s">
        <v>713</v>
      </c>
      <c r="G14" s="31"/>
      <c r="H14" s="114" t="s">
        <v>403</v>
      </c>
      <c r="I14" s="160">
        <v>1</v>
      </c>
    </row>
    <row r="15" spans="4:9" ht="12.75">
      <c r="D15" s="28" t="s">
        <v>714</v>
      </c>
      <c r="G15" s="31"/>
      <c r="H15" s="114" t="s">
        <v>403</v>
      </c>
      <c r="I15" s="159">
        <v>1.5</v>
      </c>
    </row>
    <row r="16" spans="3:10" ht="12.75" thickBot="1">
      <c r="C16" s="197"/>
      <c r="D16" s="198" t="s">
        <v>715</v>
      </c>
      <c r="E16" s="197"/>
      <c r="F16" s="197"/>
      <c r="G16" s="106"/>
      <c r="H16" s="199" t="s">
        <v>403</v>
      </c>
      <c r="I16" s="200">
        <v>3</v>
      </c>
      <c r="J16" s="194" t="s">
        <v>358</v>
      </c>
    </row>
    <row r="17" spans="3:10" ht="13.5" thickTop="1">
      <c r="C17" s="115" t="s">
        <v>535</v>
      </c>
      <c r="D17" s="36"/>
      <c r="H17" s="114"/>
      <c r="I17" s="160"/>
      <c r="J17" s="16">
        <f>IF(G13&gt;=1.5,3*($H$12*$F$9*G13),IF(G13&gt;=1,1.5*($H$12*$F$9*G13),($H$12*$F$9*G13)))</f>
        <v>0</v>
      </c>
    </row>
    <row r="18" spans="4:9" ht="12.75">
      <c r="D18" s="36"/>
      <c r="H18" s="114"/>
      <c r="I18" s="160"/>
    </row>
    <row r="19" spans="3:9" ht="12.75">
      <c r="C19" s="27" t="s">
        <v>536</v>
      </c>
      <c r="F19" s="121" t="str">
        <f>$F$8</f>
        <v>Akaa</v>
      </c>
      <c r="G19" s="134" t="s">
        <v>503</v>
      </c>
      <c r="H19" s="114"/>
      <c r="I19" s="160"/>
    </row>
    <row r="20" spans="4:9" ht="15.75" customHeight="1">
      <c r="D20" s="5" t="s">
        <v>537</v>
      </c>
      <c r="F20" s="30">
        <f>INDEX(lo_2,MATCH($F$8,kunta,0),1,1)</f>
        <v>4857</v>
      </c>
      <c r="G20" s="63">
        <f>SUM(lo_2)</f>
        <v>2357951</v>
      </c>
      <c r="H20" s="17"/>
      <c r="I20" s="18"/>
    </row>
    <row r="21" spans="4:9" ht="15.75" customHeight="1">
      <c r="D21" s="188" t="s">
        <v>538</v>
      </c>
      <c r="E21" s="53"/>
      <c r="F21" s="30">
        <f>INDEX(lo_3,MATCH($F$8,kunta,0),1,1)</f>
        <v>6897</v>
      </c>
      <c r="G21" s="201">
        <f>SUM(lo_3)</f>
        <v>2358985</v>
      </c>
      <c r="H21" s="17"/>
      <c r="I21" s="18"/>
    </row>
    <row r="22" spans="4:9" ht="15.75" customHeight="1">
      <c r="D22" s="5" t="s">
        <v>530</v>
      </c>
      <c r="F22" s="176">
        <f>F20/F21</f>
        <v>0.7042192257503262</v>
      </c>
      <c r="G22" s="175">
        <f>G20/G21</f>
        <v>0.9995616758902663</v>
      </c>
      <c r="I22" s="18"/>
    </row>
    <row r="23" spans="4:9" ht="15.75" customHeight="1">
      <c r="D23" s="5" t="s">
        <v>507</v>
      </c>
      <c r="F23" s="176"/>
      <c r="G23" s="175"/>
      <c r="H23" s="178">
        <f>MIN(lo_4)</f>
        <v>0.3985086992543496</v>
      </c>
      <c r="I23" s="18"/>
    </row>
    <row r="24" spans="4:9" ht="15.75" customHeight="1">
      <c r="D24" s="5" t="s">
        <v>539</v>
      </c>
      <c r="F24" s="176"/>
      <c r="G24" s="175"/>
      <c r="H24" s="184">
        <f>F22-H23</f>
        <v>0.30571052649597663</v>
      </c>
      <c r="I24" s="18"/>
    </row>
    <row r="25" spans="3:10" ht="15.75" customHeight="1" thickBot="1">
      <c r="C25" s="108"/>
      <c r="D25" s="155" t="s">
        <v>401</v>
      </c>
      <c r="E25" s="108"/>
      <c r="F25" s="192"/>
      <c r="G25" s="108"/>
      <c r="H25" s="193">
        <v>68.71</v>
      </c>
      <c r="I25" s="191"/>
      <c r="J25" s="194" t="s">
        <v>358</v>
      </c>
    </row>
    <row r="26" spans="3:10" ht="15.75" customHeight="1" thickTop="1">
      <c r="C26" s="65" t="s">
        <v>520</v>
      </c>
      <c r="D26" s="15"/>
      <c r="H26" s="17"/>
      <c r="I26" s="18"/>
      <c r="J26" s="16">
        <f>$F$9*$H$25*H24</f>
        <v>344299.0241863524</v>
      </c>
    </row>
    <row r="27" ht="12.75">
      <c r="H27" s="114"/>
    </row>
    <row r="28" spans="3:8" ht="12.75">
      <c r="C28" s="27" t="s">
        <v>540</v>
      </c>
      <c r="H28" s="114"/>
    </row>
    <row r="29" spans="3:8" ht="12.75">
      <c r="C29" s="27"/>
      <c r="D29" s="28" t="s">
        <v>541</v>
      </c>
      <c r="G29" s="31">
        <f>INDEX(lo_6,MATCH($F$8,kunta,0),1,1)</f>
        <v>0</v>
      </c>
      <c r="H29" s="114"/>
    </row>
    <row r="30" spans="4:9" ht="15.75" customHeight="1">
      <c r="D30" s="5" t="s">
        <v>542</v>
      </c>
      <c r="F30" s="30">
        <f>INDEX(lo_7,MATCH($F$8,kunta,0),1,1)</f>
        <v>0</v>
      </c>
      <c r="G30" s="63">
        <f>SUM(lo_7)</f>
        <v>2008</v>
      </c>
      <c r="H30" s="17"/>
      <c r="I30" s="18"/>
    </row>
    <row r="31" spans="3:10" ht="15.75" customHeight="1" thickBot="1">
      <c r="C31" s="108"/>
      <c r="D31" s="155" t="s">
        <v>401</v>
      </c>
      <c r="E31" s="108"/>
      <c r="F31" s="192"/>
      <c r="G31" s="108"/>
      <c r="H31" s="195">
        <v>2875.5</v>
      </c>
      <c r="I31" s="191"/>
      <c r="J31" s="194" t="s">
        <v>358</v>
      </c>
    </row>
    <row r="32" spans="3:10" ht="13.5" thickTop="1">
      <c r="C32" s="27"/>
      <c r="D32" s="28"/>
      <c r="G32" s="26"/>
      <c r="H32" s="114"/>
      <c r="J32" s="16">
        <f>IF(G29=1,$H$31*$F$9*(F30/F9),0)</f>
        <v>0</v>
      </c>
    </row>
    <row r="33" spans="3:8" ht="12.75">
      <c r="C33" s="27"/>
      <c r="D33" s="28"/>
      <c r="G33" s="26"/>
      <c r="H33" s="114"/>
    </row>
    <row r="35" spans="2:10" ht="15.75" customHeight="1">
      <c r="B35" s="91" t="s">
        <v>543</v>
      </c>
      <c r="C35" s="129"/>
      <c r="D35" s="129"/>
      <c r="E35" s="129"/>
      <c r="F35" s="92"/>
      <c r="G35" s="129"/>
      <c r="H35" s="129"/>
      <c r="I35" s="161"/>
      <c r="J35" s="98">
        <f>SUM(J14:J33)</f>
        <v>344299.0241863524</v>
      </c>
    </row>
    <row r="36" ht="12.75">
      <c r="J36" s="134" t="s">
        <v>400</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92D050"/>
  </sheetPr>
  <dimension ref="A1:V97"/>
  <sheetViews>
    <sheetView zoomScalePageLayoutView="0" workbookViewId="0" topLeftCell="A66">
      <selection activeCell="I75" sqref="I75"/>
    </sheetView>
  </sheetViews>
  <sheetFormatPr defaultColWidth="9.140625" defaultRowHeight="14.25" customHeight="1"/>
  <cols>
    <col min="1" max="4" width="2.57421875" style="0" customWidth="1"/>
    <col min="5" max="5" width="14.421875" style="0" customWidth="1"/>
    <col min="6" max="6" width="24.28125" style="0" customWidth="1"/>
    <col min="7" max="7" width="10.7109375" style="0" customWidth="1"/>
    <col min="8" max="8" width="16.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4.25" customHeight="1">
      <c r="A1" s="79" t="str">
        <f>'2.Yhteenveto'!A1</f>
        <v>18.1.2022, Kuntaliitto / Mikko Mehtonen, Lähde: VM, Opetushallitus</v>
      </c>
      <c r="F1" s="47"/>
      <c r="G1" s="47"/>
      <c r="H1" s="69"/>
      <c r="I1" s="63"/>
    </row>
    <row r="2" spans="6:9" ht="14.25" customHeight="1">
      <c r="F2" s="60"/>
      <c r="G2" s="60"/>
      <c r="H2" s="69"/>
      <c r="I2" s="63"/>
    </row>
    <row r="3" spans="1:9" ht="17.25" customHeight="1">
      <c r="A3" s="529" t="s">
        <v>699</v>
      </c>
      <c r="B3" s="530"/>
      <c r="C3" s="530"/>
      <c r="D3" s="530"/>
      <c r="E3" s="530"/>
      <c r="F3" s="530"/>
      <c r="G3" s="530"/>
      <c r="H3" s="530"/>
      <c r="I3" s="531"/>
    </row>
    <row r="4" spans="8:9" ht="14.25" customHeight="1">
      <c r="H4" s="69"/>
      <c r="I4" s="63"/>
    </row>
    <row r="5" spans="2:9" ht="14.25" customHeight="1">
      <c r="B5" s="54" t="s">
        <v>40</v>
      </c>
      <c r="C5" s="28"/>
      <c r="D5" s="28"/>
      <c r="E5" s="40"/>
      <c r="F5" s="55" t="s">
        <v>399</v>
      </c>
      <c r="G5" s="55"/>
      <c r="I5" s="63"/>
    </row>
    <row r="6" spans="2:9" ht="14.25" customHeight="1">
      <c r="B6" s="28"/>
      <c r="C6" s="28"/>
      <c r="D6" s="28"/>
      <c r="E6" s="101"/>
      <c r="F6" s="55" t="s">
        <v>398</v>
      </c>
      <c r="G6" s="55"/>
      <c r="I6" s="63"/>
    </row>
    <row r="7" spans="8:9" ht="14.25" customHeight="1">
      <c r="H7" s="69"/>
      <c r="I7" s="63"/>
    </row>
    <row r="8" spans="2:9" ht="14.25" customHeight="1">
      <c r="B8" s="84" t="s">
        <v>0</v>
      </c>
      <c r="F8" s="164" t="str">
        <f>'2.Yhteenveto'!G11</f>
        <v>Akaa</v>
      </c>
      <c r="I8" s="63"/>
    </row>
    <row r="9" spans="2:9" ht="14.25" customHeight="1">
      <c r="B9" s="84" t="str">
        <f>'2.Yhteenveto'!B12</f>
        <v>Asukasluku 31.12.2020:</v>
      </c>
      <c r="F9" s="165">
        <f>'2.Yhteenveto'!H12</f>
        <v>16391</v>
      </c>
      <c r="I9" s="63"/>
    </row>
    <row r="10" spans="8:9" ht="14.25" customHeight="1">
      <c r="H10" s="69"/>
      <c r="I10" s="63"/>
    </row>
    <row r="11" spans="2:9" ht="14.25" customHeight="1">
      <c r="B11" s="1" t="s">
        <v>46</v>
      </c>
      <c r="H11" s="120" t="s">
        <v>1</v>
      </c>
      <c r="I11" s="121" t="s">
        <v>358</v>
      </c>
    </row>
    <row r="12" spans="8:9" ht="14.25" customHeight="1">
      <c r="H12" s="69"/>
      <c r="I12" s="63"/>
    </row>
    <row r="13" spans="3:11" ht="14.25" customHeight="1" hidden="1">
      <c r="C13" s="166" t="s">
        <v>588</v>
      </c>
      <c r="D13" s="166"/>
      <c r="E13" s="166"/>
      <c r="F13" s="166"/>
      <c r="G13" s="166"/>
      <c r="H13" s="408">
        <v>-0.05</v>
      </c>
      <c r="I13" s="409">
        <f>$F$9*H13</f>
        <v>-819.5500000000001</v>
      </c>
      <c r="K13" s="65" t="s">
        <v>675</v>
      </c>
    </row>
    <row r="14" spans="3:11" ht="14.25" customHeight="1" hidden="1">
      <c r="C14" s="166"/>
      <c r="D14" s="166"/>
      <c r="E14" s="166"/>
      <c r="F14" s="166"/>
      <c r="G14" s="166"/>
      <c r="H14" s="410"/>
      <c r="I14" s="409"/>
      <c r="K14" s="65" t="s">
        <v>676</v>
      </c>
    </row>
    <row r="15" spans="3:9" ht="14.25" customHeight="1" hidden="1">
      <c r="C15" s="166" t="s">
        <v>411</v>
      </c>
      <c r="D15" s="166"/>
      <c r="E15" s="166"/>
      <c r="F15" s="166"/>
      <c r="G15" s="166"/>
      <c r="H15" s="408">
        <v>-0.24</v>
      </c>
      <c r="I15" s="409">
        <f>$F$9*H15</f>
        <v>-3933.8399999999997</v>
      </c>
    </row>
    <row r="16" spans="3:9" ht="14.25" customHeight="1" hidden="1">
      <c r="C16" s="166"/>
      <c r="D16" s="166"/>
      <c r="E16" s="166"/>
      <c r="F16" s="166"/>
      <c r="G16" s="166"/>
      <c r="H16" s="410"/>
      <c r="I16" s="409"/>
    </row>
    <row r="17" spans="3:9" ht="14.25" customHeight="1" hidden="1">
      <c r="C17" s="166" t="s">
        <v>412</v>
      </c>
      <c r="D17" s="166"/>
      <c r="E17" s="166"/>
      <c r="F17" s="166"/>
      <c r="G17" s="166"/>
      <c r="H17" s="408">
        <v>-0.28</v>
      </c>
      <c r="I17" s="409">
        <f>$F$9*H17</f>
        <v>-4589.4800000000005</v>
      </c>
    </row>
    <row r="18" spans="3:10" ht="14.25" customHeight="1">
      <c r="C18" s="166"/>
      <c r="D18" s="166"/>
      <c r="E18" s="166"/>
      <c r="F18" s="166"/>
      <c r="G18" s="166"/>
      <c r="H18" s="411"/>
      <c r="I18" s="409"/>
      <c r="J18" s="2"/>
    </row>
    <row r="19" spans="3:10" ht="14.25" customHeight="1">
      <c r="C19" s="5" t="s">
        <v>413</v>
      </c>
      <c r="H19" s="117">
        <v>-4.1</v>
      </c>
      <c r="I19" s="213">
        <f>$F$9*H19</f>
        <v>-67203.09999999999</v>
      </c>
      <c r="J19" s="2"/>
    </row>
    <row r="20" spans="8:10" ht="14.25" customHeight="1">
      <c r="H20" s="69"/>
      <c r="I20" s="213"/>
      <c r="J20" s="2"/>
    </row>
    <row r="21" spans="3:10" ht="14.25" customHeight="1">
      <c r="C21" s="5" t="s">
        <v>612</v>
      </c>
      <c r="H21" s="117">
        <v>-1.82</v>
      </c>
      <c r="I21" s="213">
        <f>$F$9*H21</f>
        <v>-29831.620000000003</v>
      </c>
      <c r="J21" s="2"/>
    </row>
    <row r="22" spans="8:10" ht="14.25" customHeight="1">
      <c r="H22" s="69"/>
      <c r="I22" s="213"/>
      <c r="J22" s="2"/>
    </row>
    <row r="23" spans="3:10" ht="14.25" customHeight="1">
      <c r="C23" s="5" t="s">
        <v>613</v>
      </c>
      <c r="H23" s="117">
        <v>-1.82</v>
      </c>
      <c r="I23" s="213">
        <f>$F$9*H23</f>
        <v>-29831.620000000003</v>
      </c>
      <c r="J23" s="2"/>
    </row>
    <row r="24" spans="8:10" ht="14.25" customHeight="1">
      <c r="H24" s="70"/>
      <c r="I24" s="213"/>
      <c r="J24" s="2"/>
    </row>
    <row r="25" spans="3:10" ht="14.25" customHeight="1">
      <c r="C25" s="5" t="s">
        <v>584</v>
      </c>
      <c r="H25" s="117">
        <v>-0.02</v>
      </c>
      <c r="I25" s="213">
        <f>$F$9*H25</f>
        <v>-327.82</v>
      </c>
      <c r="J25" s="2"/>
    </row>
    <row r="26" spans="3:10" ht="14.25" customHeight="1">
      <c r="C26" s="5"/>
      <c r="H26" s="426"/>
      <c r="I26" s="213"/>
      <c r="J26" s="2"/>
    </row>
    <row r="27" spans="3:10" ht="14.25" customHeight="1">
      <c r="C27" s="5" t="s">
        <v>681</v>
      </c>
      <c r="H27" s="117">
        <v>-1.82</v>
      </c>
      <c r="I27" s="213">
        <f>$F$9*H27</f>
        <v>-29831.620000000003</v>
      </c>
      <c r="J27" s="2"/>
    </row>
    <row r="28" spans="3:10" ht="14.25" customHeight="1">
      <c r="C28" s="5"/>
      <c r="H28" s="70"/>
      <c r="I28" s="213"/>
      <c r="J28" s="2"/>
    </row>
    <row r="29" spans="3:10" ht="14.25" customHeight="1">
      <c r="C29" s="5" t="s">
        <v>700</v>
      </c>
      <c r="H29" s="117">
        <v>-1.82</v>
      </c>
      <c r="I29" s="213">
        <f>$F$9*H29</f>
        <v>-29831.620000000003</v>
      </c>
      <c r="J29" s="2"/>
    </row>
    <row r="30" spans="8:10" ht="14.25" customHeight="1">
      <c r="H30" s="69"/>
      <c r="I30" s="213"/>
      <c r="J30" s="2"/>
    </row>
    <row r="31" spans="3:10" ht="14.25" customHeight="1">
      <c r="C31" s="5" t="s">
        <v>589</v>
      </c>
      <c r="H31" s="117">
        <v>-19.21</v>
      </c>
      <c r="I31" s="213">
        <f>$F$9*H31</f>
        <v>-314871.11</v>
      </c>
      <c r="J31" s="2"/>
    </row>
    <row r="32" spans="8:10" ht="14.25" customHeight="1">
      <c r="H32" s="69"/>
      <c r="I32" s="63"/>
      <c r="J32" s="2"/>
    </row>
    <row r="33" spans="3:10" ht="14.25" customHeight="1">
      <c r="C33" s="5" t="s">
        <v>576</v>
      </c>
      <c r="H33" s="117">
        <v>-1.27</v>
      </c>
      <c r="I33" s="213">
        <f>$F$9*H33</f>
        <v>-20816.57</v>
      </c>
      <c r="J33" s="2"/>
    </row>
    <row r="34" spans="8:10" ht="14.25" customHeight="1">
      <c r="H34" s="69"/>
      <c r="I34" s="63"/>
      <c r="J34" s="2"/>
    </row>
    <row r="35" spans="3:10" ht="14.25" customHeight="1">
      <c r="C35" s="5" t="s">
        <v>573</v>
      </c>
      <c r="H35" s="69"/>
      <c r="I35" s="30">
        <f>INDEX(vl_20,MATCH($F$8,kunta,0),1,1)</f>
        <v>-999936.605</v>
      </c>
      <c r="J35" s="2"/>
    </row>
    <row r="36" spans="3:9" ht="14.25" customHeight="1">
      <c r="C36" s="5"/>
      <c r="H36" s="69"/>
      <c r="I36" s="425"/>
    </row>
    <row r="37" spans="8:9" ht="14.25" customHeight="1">
      <c r="H37" s="69"/>
      <c r="I37" s="63"/>
    </row>
    <row r="38" spans="2:9" ht="14.25" customHeight="1">
      <c r="B38" s="88" t="s">
        <v>50</v>
      </c>
      <c r="C38" s="89"/>
      <c r="D38" s="89"/>
      <c r="E38" s="89"/>
      <c r="F38" s="89"/>
      <c r="G38" s="89"/>
      <c r="H38" s="118"/>
      <c r="I38" s="90">
        <f>SUM(I19:I35)</f>
        <v>-1522481.685</v>
      </c>
    </row>
    <row r="39" spans="8:9" ht="14.25" customHeight="1">
      <c r="H39" s="69"/>
      <c r="I39" s="63"/>
    </row>
    <row r="40" spans="8:9" ht="14.25" customHeight="1">
      <c r="H40" s="69"/>
      <c r="I40" s="63"/>
    </row>
    <row r="41" spans="2:11" ht="14.25" customHeight="1">
      <c r="B41" s="1" t="s">
        <v>47</v>
      </c>
      <c r="H41" s="120" t="s">
        <v>1</v>
      </c>
      <c r="I41" s="121" t="s">
        <v>358</v>
      </c>
      <c r="J41" s="2"/>
      <c r="K41" s="2"/>
    </row>
    <row r="42" spans="2:11" ht="14.25" customHeight="1">
      <c r="B42" s="1"/>
      <c r="H42" s="69"/>
      <c r="I42" s="63"/>
      <c r="J42" s="2"/>
      <c r="K42" s="2"/>
    </row>
    <row r="43" spans="3:11" ht="14.25" customHeight="1">
      <c r="C43" s="5" t="s">
        <v>408</v>
      </c>
      <c r="H43" s="69"/>
      <c r="I43" s="30">
        <f>INDEX(vl_7,MATCH($F$8,kunta,0),1,1)</f>
        <v>140004</v>
      </c>
      <c r="J43" s="2"/>
      <c r="K43" s="2"/>
    </row>
    <row r="44" spans="8:11" ht="14.25" customHeight="1">
      <c r="H44" s="69"/>
      <c r="I44" s="63"/>
      <c r="J44" s="2"/>
      <c r="K44" s="2"/>
    </row>
    <row r="45" spans="3:11" ht="14.25" customHeight="1">
      <c r="C45" s="5" t="s">
        <v>546</v>
      </c>
      <c r="H45" s="69"/>
      <c r="I45" s="30">
        <f>INDEX(vl_8,MATCH($F$8,kunta,0),1,1)</f>
        <v>-115745.45612722076</v>
      </c>
      <c r="J45" s="2"/>
      <c r="K45" s="2"/>
    </row>
    <row r="46" spans="3:11" ht="14.25" customHeight="1">
      <c r="C46" s="5"/>
      <c r="H46" s="69"/>
      <c r="J46" s="2"/>
      <c r="K46" s="2"/>
    </row>
    <row r="47" spans="3:11" ht="14.25" customHeight="1">
      <c r="C47" s="5" t="s">
        <v>720</v>
      </c>
      <c r="H47" s="117">
        <v>0.09</v>
      </c>
      <c r="I47" s="63">
        <f>$F$9*H47</f>
        <v>1475.19</v>
      </c>
      <c r="J47" s="2"/>
      <c r="K47" s="2"/>
    </row>
    <row r="48" spans="3:11" ht="14.25" customHeight="1">
      <c r="C48" s="5"/>
      <c r="I48" s="63"/>
      <c r="J48" s="2"/>
      <c r="K48" s="2"/>
    </row>
    <row r="49" spans="3:11" ht="14.25" customHeight="1">
      <c r="C49" s="5" t="s">
        <v>559</v>
      </c>
      <c r="H49" s="69"/>
      <c r="I49" s="30">
        <f>INDEX(vl_16,MATCH($F$8,kunta,0),1,1)</f>
        <v>149281.52027416526</v>
      </c>
      <c r="J49" s="2"/>
      <c r="K49" s="2"/>
    </row>
    <row r="50" spans="3:11" ht="14.25" customHeight="1">
      <c r="C50" s="5"/>
      <c r="H50" s="69"/>
      <c r="J50" s="2"/>
      <c r="K50" s="2"/>
    </row>
    <row r="51" spans="3:11" ht="14.25" customHeight="1">
      <c r="C51" s="5" t="s">
        <v>716</v>
      </c>
      <c r="H51" s="117">
        <v>0.36</v>
      </c>
      <c r="I51" s="63">
        <f>H51*F9</f>
        <v>5900.76</v>
      </c>
      <c r="J51" s="2"/>
      <c r="K51" s="2"/>
    </row>
    <row r="52" spans="3:11" ht="14.25" customHeight="1">
      <c r="C52" s="5"/>
      <c r="H52" s="69"/>
      <c r="J52" s="2"/>
      <c r="K52" s="2"/>
    </row>
    <row r="53" spans="8:11" ht="14.25" customHeight="1">
      <c r="H53" s="69"/>
      <c r="I53" s="63"/>
      <c r="J53" s="2"/>
      <c r="K53" s="2"/>
    </row>
    <row r="54" spans="2:11" ht="14.25" customHeight="1">
      <c r="B54" s="88" t="s">
        <v>48</v>
      </c>
      <c r="C54" s="89"/>
      <c r="D54" s="89"/>
      <c r="E54" s="89"/>
      <c r="F54" s="89"/>
      <c r="G54" s="89"/>
      <c r="H54" s="118"/>
      <c r="I54" s="202">
        <f>SUM(I42:I53)</f>
        <v>180916.0141469445</v>
      </c>
      <c r="J54" s="2"/>
      <c r="K54" s="2"/>
    </row>
    <row r="55" spans="8:11" ht="14.25" customHeight="1">
      <c r="H55" s="69"/>
      <c r="I55" s="63"/>
      <c r="J55" s="2"/>
      <c r="K55" s="2"/>
    </row>
    <row r="56" spans="1:11" ht="14.25" customHeight="1">
      <c r="A56" s="81" t="s">
        <v>49</v>
      </c>
      <c r="B56" s="82"/>
      <c r="C56" s="82"/>
      <c r="D56" s="82"/>
      <c r="E56" s="82"/>
      <c r="F56" s="82"/>
      <c r="G56" s="82"/>
      <c r="H56" s="119"/>
      <c r="I56" s="83">
        <f>I38+I54</f>
        <v>-1341565.6708530555</v>
      </c>
      <c r="J56" s="2"/>
      <c r="K56" s="2"/>
    </row>
    <row r="57" spans="9:11" ht="14.25" customHeight="1">
      <c r="I57" s="134" t="s">
        <v>400</v>
      </c>
      <c r="J57" s="2"/>
      <c r="K57" s="2"/>
    </row>
    <row r="60" ht="14.25" customHeight="1">
      <c r="A60" s="1" t="s">
        <v>712</v>
      </c>
    </row>
    <row r="61" spans="8:9" ht="14.25" customHeight="1">
      <c r="H61" s="69"/>
      <c r="I61" s="63"/>
    </row>
    <row r="62" spans="3:9" ht="14.25" customHeight="1">
      <c r="C62" s="5" t="s">
        <v>404</v>
      </c>
      <c r="H62" s="69"/>
      <c r="I62" s="30">
        <f>INDEX(vl_9,MATCH($F$8,kunta,0),1,1)</f>
        <v>1334279</v>
      </c>
    </row>
    <row r="63" spans="8:9" ht="14.25" customHeight="1">
      <c r="H63" s="69"/>
      <c r="I63" s="63"/>
    </row>
    <row r="64" spans="3:9" ht="14.25" customHeight="1">
      <c r="C64" s="5" t="s">
        <v>405</v>
      </c>
      <c r="H64" s="69"/>
      <c r="I64" s="30">
        <f>INDEX(vl_10,MATCH($F$8,kunta,0),1,1)</f>
        <v>410543</v>
      </c>
    </row>
    <row r="65" spans="8:9" ht="14.25" customHeight="1">
      <c r="H65" s="69"/>
      <c r="I65" s="63"/>
    </row>
    <row r="66" spans="3:9" ht="14.25" customHeight="1">
      <c r="C66" s="5" t="s">
        <v>406</v>
      </c>
      <c r="H66" s="69"/>
      <c r="I66" s="30">
        <f>INDEX(vl_11,MATCH($F$8,kunta,0),1,1)</f>
        <v>897394.9424826249</v>
      </c>
    </row>
    <row r="67" spans="8:9" ht="14.25" customHeight="1">
      <c r="H67" s="69"/>
      <c r="I67" s="63"/>
    </row>
    <row r="68" spans="3:9" ht="14.25" customHeight="1">
      <c r="C68" s="5" t="s">
        <v>407</v>
      </c>
      <c r="H68" s="69"/>
      <c r="I68" s="30">
        <f>INDEX(vl_12,MATCH($F$8,kunta,0),1,1)</f>
        <v>27428.68789498369</v>
      </c>
    </row>
    <row r="69" spans="8:9" ht="14.25" customHeight="1">
      <c r="H69" s="69"/>
      <c r="I69" s="63"/>
    </row>
    <row r="70" spans="3:9" ht="14.25" customHeight="1">
      <c r="C70" s="5" t="s">
        <v>544</v>
      </c>
      <c r="H70" s="69"/>
      <c r="I70" s="30">
        <f>INDEX(vl_13,MATCH($F$8,kunta,0),1,1)</f>
        <v>125948.33979683967</v>
      </c>
    </row>
    <row r="71" spans="8:9" ht="14.25" customHeight="1">
      <c r="H71" s="69"/>
      <c r="I71" s="63"/>
    </row>
    <row r="72" spans="3:9" ht="14.25" customHeight="1">
      <c r="C72" s="5" t="s">
        <v>545</v>
      </c>
      <c r="H72" s="69"/>
      <c r="I72" s="30">
        <f>INDEX(vl_14,MATCH($F$8,kunta,0),1,1)</f>
        <v>413526.2233831386</v>
      </c>
    </row>
    <row r="73" spans="3:8" ht="14.25" customHeight="1">
      <c r="C73" s="5"/>
      <c r="H73" s="69"/>
    </row>
    <row r="74" spans="3:9" ht="14.25" customHeight="1">
      <c r="C74" s="5" t="s">
        <v>560</v>
      </c>
      <c r="H74" s="69"/>
      <c r="I74" s="30">
        <f>INDEX(vl_19,MATCH($F$8,kunta,0),1,1)</f>
        <v>833777.015607583</v>
      </c>
    </row>
    <row r="75" spans="3:8" ht="14.25" customHeight="1">
      <c r="C75" s="5"/>
      <c r="H75" s="69"/>
    </row>
    <row r="76" spans="3:9" ht="14.25" customHeight="1">
      <c r="C76" s="5" t="s">
        <v>585</v>
      </c>
      <c r="H76" s="69"/>
      <c r="I76" s="30">
        <f>INDEX(vl_22,MATCH($F$8,kunta,0),1,1)</f>
        <v>1346679.5531167898</v>
      </c>
    </row>
    <row r="77" spans="3:8" ht="14.25" customHeight="1">
      <c r="C77" s="5"/>
      <c r="H77" s="69"/>
    </row>
    <row r="78" spans="3:9" ht="14.25" customHeight="1">
      <c r="C78" s="5" t="s">
        <v>586</v>
      </c>
      <c r="H78" s="69"/>
      <c r="I78" s="30">
        <f>INDEX(vl_23,MATCH($F$8,kunta,0),1,1)</f>
        <v>355892.2472376277</v>
      </c>
    </row>
    <row r="79" spans="3:8" ht="14.25" customHeight="1">
      <c r="C79" s="5"/>
      <c r="H79" s="69"/>
    </row>
    <row r="80" spans="3:9" ht="14.25" customHeight="1">
      <c r="C80" s="5" t="s">
        <v>611</v>
      </c>
      <c r="H80" s="69"/>
      <c r="I80" s="30">
        <f>INDEX(vl_24,MATCH($F$8,kunta,0),1,1)</f>
        <v>697081.5574756723</v>
      </c>
    </row>
    <row r="82" spans="3:9" ht="14.25" customHeight="1">
      <c r="C82" s="5" t="s">
        <v>672</v>
      </c>
      <c r="H82" s="69"/>
      <c r="I82" s="30">
        <f>INDEX(vl_26,MATCH($F$8,kunta,0),1,1)</f>
        <v>881263.9025903177</v>
      </c>
    </row>
    <row r="84" spans="3:9" ht="14.25" customHeight="1">
      <c r="C84" s="5" t="s">
        <v>682</v>
      </c>
      <c r="I84" s="30">
        <f>INDEX(vl_27,MATCH($F$8,kunta,0),1,1)</f>
        <v>552531.8486549061</v>
      </c>
    </row>
    <row r="85" ht="14.25" customHeight="1">
      <c r="C85" s="5"/>
    </row>
    <row r="86" spans="3:9" ht="14.25" customHeight="1">
      <c r="C86" s="5" t="s">
        <v>692</v>
      </c>
      <c r="I86" s="30">
        <f>INDEX(vl_28,MATCH($F$8,kunta,0),1,1)</f>
        <v>713642.6813002726</v>
      </c>
    </row>
    <row r="87" spans="3:9" ht="14.25" customHeight="1">
      <c r="C87" s="5"/>
      <c r="I87" s="425"/>
    </row>
    <row r="88" spans="3:9" ht="14.25" customHeight="1">
      <c r="C88" s="65" t="s">
        <v>691</v>
      </c>
      <c r="I88" s="30">
        <f>INDEX(vl_29,MATCH($F$8,kunta,0),1,1)</f>
        <v>-75065.44174165497</v>
      </c>
    </row>
    <row r="90" spans="1:9" ht="14.25" customHeight="1">
      <c r="A90" s="81" t="s">
        <v>686</v>
      </c>
      <c r="B90" s="82"/>
      <c r="C90" s="82"/>
      <c r="D90" s="82"/>
      <c r="E90" s="82"/>
      <c r="F90" s="82"/>
      <c r="G90" s="82"/>
      <c r="H90" s="119"/>
      <c r="I90" s="83">
        <f>SUM(I61:I88)</f>
        <v>8514923.5577991</v>
      </c>
    </row>
    <row r="97" spans="5:22" ht="14.25" customHeight="1">
      <c r="E97" s="167"/>
      <c r="F97" s="167"/>
      <c r="G97" s="167"/>
      <c r="H97" s="167"/>
      <c r="I97" s="167"/>
      <c r="J97" s="167"/>
      <c r="K97" s="167"/>
      <c r="L97" s="167"/>
      <c r="M97" s="167"/>
      <c r="N97" s="167"/>
      <c r="O97" s="167"/>
      <c r="P97" s="167"/>
      <c r="Q97" s="167"/>
      <c r="R97" s="167"/>
      <c r="S97" s="167"/>
      <c r="T97" s="167"/>
      <c r="U97" s="167"/>
      <c r="V97" s="167"/>
    </row>
  </sheetData>
  <sheetProtection/>
  <protectedRanges>
    <protectedRange sqref="H13:H16 H31 H33 H35:H36 H23:H24" name="Alue1"/>
    <protectedRange sqref="I54 I61:I80 I43:I46 I82 I84:I88 I49:I52" name="Alue2"/>
    <protectedRange sqref="H47:H48" name="Alue3"/>
    <protectedRange sqref="H17 H21 H25:H29"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G39" sqref="G39"/>
    </sheetView>
  </sheetViews>
  <sheetFormatPr defaultColWidth="9.140625" defaultRowHeight="12.75"/>
  <cols>
    <col min="1" max="2" width="2.00390625" style="0" customWidth="1"/>
    <col min="3" max="3" width="3.28125" style="0" customWidth="1"/>
    <col min="4" max="4" width="3.7109375" style="0" customWidth="1"/>
    <col min="5" max="5" width="13.57421875" style="0" customWidth="1"/>
    <col min="6" max="6" width="21.421875" style="0" customWidth="1"/>
    <col min="7" max="7" width="16.7109375" style="0" customWidth="1"/>
    <col min="8" max="8" width="8.421875" style="0" customWidth="1"/>
    <col min="9" max="9" width="6.28125" style="0" customWidth="1"/>
    <col min="10" max="10" width="13.7109375" style="0" bestFit="1" customWidth="1"/>
  </cols>
  <sheetData>
    <row r="1" spans="1:10" ht="12.75">
      <c r="A1" s="79" t="str">
        <f>'2.Yhteenveto'!A1</f>
        <v>18.1.2022, Kuntaliitto / Mikko Mehtonen, Lähde: VM, Opetushallitus</v>
      </c>
      <c r="F1" s="93"/>
      <c r="G1" s="6"/>
      <c r="H1" s="6"/>
      <c r="I1" s="6"/>
      <c r="J1" s="6"/>
    </row>
    <row r="2" spans="6:10" ht="12.75">
      <c r="F2" s="93"/>
      <c r="G2" s="6"/>
      <c r="H2" s="6"/>
      <c r="I2" s="6"/>
      <c r="J2" s="6"/>
    </row>
    <row r="3" spans="1:10" ht="15">
      <c r="A3" s="544" t="s">
        <v>633</v>
      </c>
      <c r="B3" s="545"/>
      <c r="C3" s="545"/>
      <c r="D3" s="545"/>
      <c r="E3" s="545"/>
      <c r="F3" s="545"/>
      <c r="G3" s="545"/>
      <c r="H3" s="545"/>
      <c r="I3" s="545"/>
      <c r="J3" s="546"/>
    </row>
    <row r="4" spans="6:10" ht="12.75">
      <c r="F4" s="8"/>
      <c r="G4" s="8"/>
      <c r="H4" s="6"/>
      <c r="I4" s="6"/>
      <c r="J4" s="6"/>
    </row>
    <row r="5" spans="3:10" ht="12.75">
      <c r="C5" s="54" t="s">
        <v>40</v>
      </c>
      <c r="D5" s="28"/>
      <c r="E5" s="40"/>
      <c r="F5" s="55" t="s">
        <v>399</v>
      </c>
      <c r="I5" s="6"/>
      <c r="J5" s="6"/>
    </row>
    <row r="6" spans="6:10" ht="12.75">
      <c r="F6" s="8"/>
      <c r="G6" s="8"/>
      <c r="H6" s="6"/>
      <c r="I6" s="6"/>
      <c r="J6" s="6"/>
    </row>
    <row r="7" spans="2:10" ht="12.75">
      <c r="B7" s="84" t="s">
        <v>0</v>
      </c>
      <c r="E7" s="9"/>
      <c r="F7" s="147" t="str">
        <f>'2.Yhteenveto'!G11</f>
        <v>Akaa</v>
      </c>
      <c r="H7" s="6"/>
      <c r="I7" s="6"/>
      <c r="J7" s="6"/>
    </row>
    <row r="8" spans="2:10" ht="12.75">
      <c r="B8" s="84" t="str">
        <f>'2.Yhteenveto'!B12</f>
        <v>Asukasluku 31.12.2020:</v>
      </c>
      <c r="E8" s="8"/>
      <c r="F8" s="147">
        <f>'2.Yhteenveto'!$H$12</f>
        <v>16391</v>
      </c>
      <c r="H8" s="6"/>
      <c r="I8" s="6"/>
      <c r="J8" s="6"/>
    </row>
    <row r="9" spans="2:10" ht="12.75">
      <c r="B9" s="84"/>
      <c r="E9" s="8"/>
      <c r="G9" s="8"/>
      <c r="H9" s="6"/>
      <c r="I9" s="6"/>
      <c r="J9" s="6"/>
    </row>
    <row r="10" spans="2:10" ht="12.75">
      <c r="B10" s="84"/>
      <c r="E10" s="8"/>
      <c r="G10" s="8"/>
      <c r="H10" s="6"/>
      <c r="I10" s="6"/>
      <c r="J10" s="6"/>
    </row>
    <row r="11" spans="2:10" ht="12.75">
      <c r="B11" s="84"/>
      <c r="E11" s="8"/>
      <c r="G11" s="8"/>
      <c r="H11" s="6"/>
      <c r="I11" s="6"/>
      <c r="J11" s="6"/>
    </row>
    <row r="12" spans="2:10" ht="12.75">
      <c r="B12" s="84"/>
      <c r="E12" s="8"/>
      <c r="G12" s="8"/>
      <c r="H12" s="6"/>
      <c r="I12" s="6"/>
      <c r="J12" s="6"/>
    </row>
    <row r="13" spans="2:10" ht="12.75">
      <c r="B13" s="84"/>
      <c r="E13" s="8"/>
      <c r="G13" s="8"/>
      <c r="H13" s="6"/>
      <c r="I13" s="6"/>
      <c r="J13" s="6"/>
    </row>
    <row r="14" spans="2:10" ht="12.75">
      <c r="B14" s="84"/>
      <c r="E14" s="8"/>
      <c r="G14" s="8"/>
      <c r="H14" s="6"/>
      <c r="I14" s="6"/>
      <c r="J14" s="6"/>
    </row>
    <row r="15" spans="2:10" ht="12.75">
      <c r="B15" s="84"/>
      <c r="E15" s="8"/>
      <c r="G15" s="8"/>
      <c r="H15" s="6"/>
      <c r="I15" s="6"/>
      <c r="J15" s="6"/>
    </row>
    <row r="16" spans="2:10" ht="12.75">
      <c r="B16" s="84"/>
      <c r="E16" s="8"/>
      <c r="G16" s="8"/>
      <c r="H16" s="6"/>
      <c r="I16" s="6"/>
      <c r="J16" s="6"/>
    </row>
    <row r="17" spans="2:10" ht="12.75">
      <c r="B17" s="84"/>
      <c r="E17" s="8"/>
      <c r="G17" s="8"/>
      <c r="H17" s="6"/>
      <c r="I17" s="6"/>
      <c r="J17" s="6"/>
    </row>
    <row r="18" spans="2:10" ht="12.75">
      <c r="B18" s="84"/>
      <c r="E18" s="8"/>
      <c r="G18" s="8"/>
      <c r="H18" s="6"/>
      <c r="I18" s="6"/>
      <c r="J18" s="6"/>
    </row>
    <row r="19" spans="2:10" ht="12.75">
      <c r="B19" s="84"/>
      <c r="E19" s="8"/>
      <c r="G19" s="8"/>
      <c r="H19" s="6"/>
      <c r="I19" s="6"/>
      <c r="J19" s="6"/>
    </row>
    <row r="20" spans="2:10" ht="12.75">
      <c r="B20" s="84"/>
      <c r="E20" s="8"/>
      <c r="G20" s="8"/>
      <c r="H20" s="6"/>
      <c r="I20" s="6"/>
      <c r="J20" s="6"/>
    </row>
    <row r="21" spans="5:9" ht="12.75">
      <c r="E21" s="8"/>
      <c r="G21" s="8"/>
      <c r="H21" s="6"/>
      <c r="I21" s="6"/>
    </row>
    <row r="22" spans="2:10" ht="12.75">
      <c r="B22" s="28" t="s">
        <v>634</v>
      </c>
      <c r="H22" s="6"/>
      <c r="I22" s="6"/>
      <c r="J22" s="30">
        <f>INDEX(jm_1,MATCH($F$7,kunta,0),1,1)</f>
        <v>0</v>
      </c>
    </row>
    <row r="23" spans="3:10" ht="12.75">
      <c r="C23" s="5"/>
      <c r="E23" s="8"/>
      <c r="I23" s="15"/>
      <c r="J23" s="21"/>
    </row>
    <row r="24" spans="7:10" ht="12.75">
      <c r="G24" s="27"/>
      <c r="H24" s="27"/>
      <c r="I24" s="27"/>
      <c r="J24" s="27"/>
    </row>
    <row r="25" spans="1:10" ht="12.75">
      <c r="A25" s="91" t="s">
        <v>547</v>
      </c>
      <c r="B25" s="82"/>
      <c r="C25" s="82"/>
      <c r="D25" s="82"/>
      <c r="E25" s="82"/>
      <c r="F25" s="82"/>
      <c r="G25" s="92"/>
      <c r="H25" s="92"/>
      <c r="I25" s="92"/>
      <c r="J25" s="98">
        <f>J22</f>
        <v>0</v>
      </c>
    </row>
    <row r="26" spans="6:10" ht="12.75">
      <c r="F26" s="12"/>
      <c r="G26" s="27"/>
      <c r="H26" s="27"/>
      <c r="I26" s="27"/>
      <c r="J26" s="134" t="s">
        <v>400</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B1:AK312"/>
  <sheetViews>
    <sheetView zoomScalePageLayoutView="0" workbookViewId="0" topLeftCell="A1">
      <selection activeCell="A1" sqref="A1"/>
    </sheetView>
  </sheetViews>
  <sheetFormatPr defaultColWidth="9.140625" defaultRowHeight="12.75"/>
  <cols>
    <col min="1" max="1" width="3.8515625" style="0" bestFit="1" customWidth="1"/>
    <col min="2" max="2" width="23.00390625" style="0" customWidth="1"/>
    <col min="3" max="3" width="8.57421875" style="0" customWidth="1"/>
    <col min="4" max="4" width="14.28125" style="0" customWidth="1"/>
    <col min="5" max="6" width="12.28125" style="0" customWidth="1"/>
    <col min="7" max="7" width="13.28125" style="0" customWidth="1"/>
    <col min="8" max="8" width="8.421875" style="3" customWidth="1"/>
    <col min="9" max="9" width="8.421875" style="0" customWidth="1"/>
    <col min="10" max="10" width="9.00390625" style="0" customWidth="1"/>
    <col min="11" max="11" width="8.57421875" style="0" customWidth="1"/>
    <col min="12" max="12" width="6.7109375" style="1" customWidth="1"/>
    <col min="13" max="13" width="12.28125" style="1" bestFit="1" customWidth="1"/>
    <col min="14" max="14" width="12.28125" style="1" customWidth="1"/>
    <col min="15" max="15" width="8.28125" style="0" customWidth="1"/>
    <col min="16" max="18" width="9.57421875" style="0" customWidth="1"/>
    <col min="21" max="21" width="11.7109375" style="0" bestFit="1" customWidth="1"/>
    <col min="25" max="25" width="10.421875" style="0" customWidth="1"/>
    <col min="27" max="27" width="16.140625" style="0" bestFit="1" customWidth="1"/>
    <col min="28" max="28" width="20.7109375" style="0" bestFit="1" customWidth="1"/>
    <col min="29" max="29" width="13.00390625" style="0" customWidth="1"/>
    <col min="31" max="31" width="11.28125" style="0" bestFit="1" customWidth="1"/>
  </cols>
  <sheetData>
    <row r="1" ht="13.5" customHeight="1">
      <c r="B1" s="356"/>
    </row>
    <row r="2" spans="2:14" ht="18.75" customHeight="1">
      <c r="B2" s="357"/>
      <c r="C2" s="357"/>
      <c r="D2" s="357"/>
      <c r="E2" s="357"/>
      <c r="F2" s="357"/>
      <c r="G2" s="357"/>
      <c r="H2" s="358"/>
      <c r="I2" s="357"/>
      <c r="J2" s="357"/>
      <c r="K2" s="357"/>
      <c r="L2" s="359"/>
      <c r="M2" s="360"/>
      <c r="N2" s="360"/>
    </row>
    <row r="3" spans="2:14" ht="14.25" customHeight="1">
      <c r="B3" s="213"/>
      <c r="M3" s="360"/>
      <c r="N3" s="360"/>
    </row>
    <row r="4" spans="2:29" ht="15" customHeight="1">
      <c r="B4" s="361"/>
      <c r="M4" s="362"/>
      <c r="N4" s="362"/>
      <c r="AC4" s="362"/>
    </row>
    <row r="5" spans="2:12" ht="15" customHeight="1">
      <c r="B5" s="361"/>
      <c r="L5" s="428"/>
    </row>
    <row r="6" ht="14.25" customHeight="1">
      <c r="B6" s="363"/>
    </row>
    <row r="7" spans="2:29" ht="14.25" customHeight="1">
      <c r="B7" s="429"/>
      <c r="AA7" s="412"/>
      <c r="AB7" s="412"/>
      <c r="AC7" s="412"/>
    </row>
    <row r="8" ht="10.5" customHeight="1"/>
    <row r="9" spans="2:29" ht="17.25" customHeight="1">
      <c r="B9" s="365"/>
      <c r="C9" s="366"/>
      <c r="D9" s="366"/>
      <c r="E9" s="366"/>
      <c r="F9" s="366"/>
      <c r="G9" s="365"/>
      <c r="H9" s="366"/>
      <c r="I9" s="366"/>
      <c r="J9" s="430"/>
      <c r="K9" s="430"/>
      <c r="L9" s="367"/>
      <c r="M9" s="367"/>
      <c r="N9" s="367"/>
      <c r="O9" s="431"/>
      <c r="P9" s="432"/>
      <c r="Q9" s="377"/>
      <c r="R9" s="433"/>
      <c r="S9" s="171"/>
      <c r="U9" s="5"/>
      <c r="Y9" s="368"/>
      <c r="Z9" s="382"/>
      <c r="AA9" s="378"/>
      <c r="AB9" s="368"/>
      <c r="AC9" s="368"/>
    </row>
    <row r="10" spans="2:32" ht="13.5" customHeight="1">
      <c r="B10" s="365"/>
      <c r="C10" s="366"/>
      <c r="D10" s="366"/>
      <c r="E10" s="366"/>
      <c r="F10" s="366"/>
      <c r="G10" s="369"/>
      <c r="H10" s="370"/>
      <c r="I10" s="366"/>
      <c r="J10" s="430"/>
      <c r="K10" s="430"/>
      <c r="L10" s="371"/>
      <c r="M10" s="371"/>
      <c r="N10" s="367"/>
      <c r="O10" s="372"/>
      <c r="P10" s="373"/>
      <c r="Q10" s="377"/>
      <c r="R10" s="433"/>
      <c r="S10" s="171"/>
      <c r="U10" s="5"/>
      <c r="Y10" s="368"/>
      <c r="Z10" s="434"/>
      <c r="AA10" s="404"/>
      <c r="AB10" s="405"/>
      <c r="AC10" s="405"/>
      <c r="AD10" s="362"/>
      <c r="AE10" s="435"/>
      <c r="AF10" s="435"/>
    </row>
    <row r="11" spans="2:31" ht="13.5" customHeight="1">
      <c r="B11" s="365"/>
      <c r="C11" s="374"/>
      <c r="D11" s="374"/>
      <c r="E11" s="374"/>
      <c r="F11" s="366"/>
      <c r="G11" s="365"/>
      <c r="H11" s="366"/>
      <c r="I11" s="366"/>
      <c r="J11" s="430"/>
      <c r="K11" s="436"/>
      <c r="L11" s="375"/>
      <c r="M11" s="375"/>
      <c r="N11" s="375"/>
      <c r="O11" s="376"/>
      <c r="P11" s="376"/>
      <c r="Q11" s="377"/>
      <c r="R11" s="433"/>
      <c r="S11" s="171"/>
      <c r="Y11" s="378"/>
      <c r="Z11" s="437"/>
      <c r="AA11" s="364"/>
      <c r="AB11" s="364"/>
      <c r="AC11" s="364"/>
      <c r="AE11" s="438"/>
    </row>
    <row r="12" spans="2:29" ht="13.5" customHeight="1">
      <c r="B12" s="365"/>
      <c r="C12" s="374"/>
      <c r="D12" s="374"/>
      <c r="E12" s="374"/>
      <c r="F12" s="374"/>
      <c r="G12" s="366"/>
      <c r="H12" s="366"/>
      <c r="I12" s="366"/>
      <c r="J12" s="430"/>
      <c r="K12" s="436"/>
      <c r="L12" s="375"/>
      <c r="M12" s="367"/>
      <c r="N12" s="367"/>
      <c r="O12" s="376"/>
      <c r="P12" s="376"/>
      <c r="Q12" s="171"/>
      <c r="R12" s="433"/>
      <c r="Y12" s="364"/>
      <c r="Z12" s="379"/>
      <c r="AA12" s="381"/>
      <c r="AB12" s="381"/>
      <c r="AC12" s="381"/>
    </row>
    <row r="13" spans="2:29" ht="13.5" customHeight="1">
      <c r="B13" s="365"/>
      <c r="C13" s="366"/>
      <c r="D13" s="366"/>
      <c r="E13" s="366"/>
      <c r="F13" s="374"/>
      <c r="G13" s="366"/>
      <c r="H13" s="366"/>
      <c r="I13" s="366"/>
      <c r="J13" s="430"/>
      <c r="K13" s="366"/>
      <c r="L13" s="375"/>
      <c r="M13" s="367"/>
      <c r="N13" s="367"/>
      <c r="O13" s="376"/>
      <c r="P13" s="376"/>
      <c r="Q13" s="380"/>
      <c r="Y13" s="381"/>
      <c r="Z13" s="382"/>
      <c r="AA13" s="390"/>
      <c r="AB13" s="390"/>
      <c r="AC13" s="390"/>
    </row>
    <row r="14" spans="2:29" ht="9.75" customHeight="1">
      <c r="B14" s="376"/>
      <c r="C14" s="383"/>
      <c r="D14" s="384"/>
      <c r="E14" s="384"/>
      <c r="F14" s="384"/>
      <c r="G14" s="385"/>
      <c r="H14" s="386"/>
      <c r="I14" s="387"/>
      <c r="J14" s="387"/>
      <c r="K14" s="387"/>
      <c r="L14" s="388"/>
      <c r="M14" s="389"/>
      <c r="N14" s="389"/>
      <c r="O14" s="376"/>
      <c r="P14" s="376"/>
      <c r="Q14" s="376"/>
      <c r="R14" s="376"/>
      <c r="Y14" s="381"/>
      <c r="Z14" s="391"/>
      <c r="AA14" s="439"/>
      <c r="AB14" s="439"/>
      <c r="AC14" s="440"/>
    </row>
    <row r="15" spans="2:29" s="393" customFormat="1" ht="15" customHeight="1">
      <c r="B15" s="441"/>
      <c r="C15" s="442"/>
      <c r="D15" s="442"/>
      <c r="E15" s="442"/>
      <c r="F15" s="442"/>
      <c r="G15" s="442"/>
      <c r="H15" s="443"/>
      <c r="I15" s="444"/>
      <c r="J15" s="444"/>
      <c r="K15" s="444"/>
      <c r="L15" s="445"/>
      <c r="M15" s="442"/>
      <c r="N15" s="442"/>
      <c r="O15" s="446"/>
      <c r="P15" s="441"/>
      <c r="Q15" s="392"/>
      <c r="R15" s="392"/>
      <c r="Y15" s="394"/>
      <c r="Z15" s="447"/>
      <c r="AA15" s="448"/>
      <c r="AB15" s="448"/>
      <c r="AC15" s="448"/>
    </row>
    <row r="16" spans="2:29" s="396" customFormat="1" ht="15" customHeight="1">
      <c r="B16" s="449"/>
      <c r="C16" s="450"/>
      <c r="D16" s="451"/>
      <c r="E16" s="451"/>
      <c r="F16" s="451"/>
      <c r="G16" s="451"/>
      <c r="H16" s="452"/>
      <c r="I16" s="453"/>
      <c r="J16" s="453"/>
      <c r="K16" s="453"/>
      <c r="L16" s="454"/>
      <c r="M16" s="455"/>
      <c r="N16" s="455"/>
      <c r="O16" s="456"/>
      <c r="P16" s="449"/>
      <c r="Q16" s="395"/>
      <c r="R16" s="395"/>
      <c r="Y16" s="397"/>
      <c r="Z16" s="457"/>
      <c r="AA16" s="458"/>
      <c r="AB16" s="458"/>
      <c r="AC16" s="458"/>
    </row>
    <row r="17" spans="2:29" ht="15" customHeight="1">
      <c r="B17" s="459"/>
      <c r="C17" s="460"/>
      <c r="E17" s="460"/>
      <c r="F17" s="460"/>
      <c r="G17" s="460"/>
      <c r="H17" s="461"/>
      <c r="I17" s="462"/>
      <c r="J17" s="462"/>
      <c r="K17" s="462"/>
      <c r="L17" s="463"/>
      <c r="M17" s="463"/>
      <c r="N17" s="463"/>
      <c r="O17" s="464"/>
      <c r="P17" s="465"/>
      <c r="Q17" s="398"/>
      <c r="R17" s="398"/>
      <c r="Y17" s="381"/>
      <c r="Z17" s="466"/>
      <c r="AA17" s="467"/>
      <c r="AB17" s="467"/>
      <c r="AC17" s="467"/>
    </row>
    <row r="18" spans="2:29" ht="12.75">
      <c r="B18" s="468"/>
      <c r="C18" s="469"/>
      <c r="D18" s="469"/>
      <c r="E18" s="469"/>
      <c r="F18" s="469"/>
      <c r="G18" s="469"/>
      <c r="H18" s="470"/>
      <c r="I18" s="471"/>
      <c r="J18" s="471"/>
      <c r="K18" s="471"/>
      <c r="L18" s="472"/>
      <c r="M18" s="472"/>
      <c r="N18" s="472"/>
      <c r="O18" s="473"/>
      <c r="P18" s="474"/>
      <c r="Q18" s="398"/>
      <c r="R18" s="475"/>
      <c r="Y18" s="381"/>
      <c r="Z18" s="399"/>
      <c r="AA18" s="381"/>
      <c r="AB18" s="381"/>
      <c r="AC18" s="390"/>
    </row>
    <row r="19" spans="2:37" ht="15" customHeight="1">
      <c r="B19" s="476"/>
      <c r="C19" s="400"/>
      <c r="D19" s="477"/>
      <c r="E19" s="477"/>
      <c r="F19" s="477"/>
      <c r="G19" s="477"/>
      <c r="H19" s="383"/>
      <c r="I19" s="471"/>
      <c r="J19" s="428"/>
      <c r="K19" s="428"/>
      <c r="L19" s="472"/>
      <c r="M19" s="478"/>
      <c r="N19" s="478"/>
      <c r="O19" s="479"/>
      <c r="P19" s="432"/>
      <c r="Q19" s="480"/>
      <c r="R19" s="481"/>
      <c r="Y19" s="482"/>
      <c r="Z19" s="401"/>
      <c r="AA19" s="390"/>
      <c r="AB19" s="402"/>
      <c r="AC19" s="390"/>
      <c r="AE19" s="390"/>
      <c r="AF19" s="483"/>
      <c r="AJ19" s="484"/>
      <c r="AK19" s="63"/>
    </row>
    <row r="20" spans="2:37" ht="15" customHeight="1">
      <c r="B20" s="465"/>
      <c r="C20" s="400"/>
      <c r="D20" s="477"/>
      <c r="E20" s="477"/>
      <c r="F20" s="477"/>
      <c r="G20" s="477"/>
      <c r="H20" s="383"/>
      <c r="I20" s="471"/>
      <c r="J20" s="428"/>
      <c r="K20" s="428"/>
      <c r="L20" s="472"/>
      <c r="M20" s="478"/>
      <c r="N20" s="478"/>
      <c r="O20" s="376"/>
      <c r="P20" s="432"/>
      <c r="Q20" s="480"/>
      <c r="R20" s="481"/>
      <c r="Y20" s="482"/>
      <c r="Z20" s="401"/>
      <c r="AA20" s="390"/>
      <c r="AB20" s="402"/>
      <c r="AC20" s="390"/>
      <c r="AE20" s="390"/>
      <c r="AF20" s="483"/>
      <c r="AJ20" s="484"/>
      <c r="AK20" s="63"/>
    </row>
    <row r="21" spans="2:37" ht="15" customHeight="1">
      <c r="B21" s="465"/>
      <c r="C21" s="400"/>
      <c r="D21" s="477"/>
      <c r="E21" s="477"/>
      <c r="F21" s="477"/>
      <c r="G21" s="477"/>
      <c r="H21" s="383"/>
      <c r="I21" s="471"/>
      <c r="J21" s="428"/>
      <c r="K21" s="428"/>
      <c r="L21" s="472"/>
      <c r="M21" s="478"/>
      <c r="N21" s="478"/>
      <c r="O21" s="376"/>
      <c r="P21" s="432"/>
      <c r="Q21" s="480"/>
      <c r="R21" s="481"/>
      <c r="Y21" s="482"/>
      <c r="Z21" s="401"/>
      <c r="AA21" s="390"/>
      <c r="AB21" s="402"/>
      <c r="AC21" s="390"/>
      <c r="AE21" s="390"/>
      <c r="AF21" s="483"/>
      <c r="AJ21" s="484"/>
      <c r="AK21" s="63"/>
    </row>
    <row r="22" spans="2:37" ht="15" customHeight="1">
      <c r="B22" s="465"/>
      <c r="C22" s="400"/>
      <c r="D22" s="477"/>
      <c r="E22" s="477"/>
      <c r="F22" s="477"/>
      <c r="G22" s="477"/>
      <c r="H22" s="383"/>
      <c r="I22" s="471"/>
      <c r="J22" s="428"/>
      <c r="K22" s="428"/>
      <c r="L22" s="472"/>
      <c r="M22" s="478"/>
      <c r="N22" s="478"/>
      <c r="O22" s="376"/>
      <c r="P22" s="432"/>
      <c r="Q22" s="480"/>
      <c r="R22" s="481"/>
      <c r="Y22" s="482"/>
      <c r="Z22" s="401"/>
      <c r="AA22" s="390"/>
      <c r="AB22" s="402"/>
      <c r="AC22" s="390"/>
      <c r="AE22" s="390"/>
      <c r="AF22" s="483"/>
      <c r="AJ22" s="484"/>
      <c r="AK22" s="63"/>
    </row>
    <row r="23" spans="2:37" ht="15" customHeight="1">
      <c r="B23" s="465"/>
      <c r="C23" s="400"/>
      <c r="D23" s="477"/>
      <c r="E23" s="477"/>
      <c r="F23" s="477"/>
      <c r="G23" s="477"/>
      <c r="H23" s="383"/>
      <c r="I23" s="471"/>
      <c r="J23" s="428"/>
      <c r="K23" s="428"/>
      <c r="L23" s="472"/>
      <c r="M23" s="478"/>
      <c r="N23" s="478"/>
      <c r="O23" s="376"/>
      <c r="P23" s="432"/>
      <c r="Q23" s="480"/>
      <c r="R23" s="481"/>
      <c r="Y23" s="482"/>
      <c r="Z23" s="401"/>
      <c r="AA23" s="390"/>
      <c r="AB23" s="402"/>
      <c r="AC23" s="390"/>
      <c r="AE23" s="390"/>
      <c r="AF23" s="483"/>
      <c r="AJ23" s="484"/>
      <c r="AK23" s="63"/>
    </row>
    <row r="24" spans="2:37" ht="15" customHeight="1">
      <c r="B24" s="465"/>
      <c r="C24" s="400"/>
      <c r="D24" s="477"/>
      <c r="E24" s="477"/>
      <c r="F24" s="477"/>
      <c r="G24" s="477"/>
      <c r="H24" s="383"/>
      <c r="I24" s="471"/>
      <c r="J24" s="428"/>
      <c r="K24" s="428"/>
      <c r="L24" s="472"/>
      <c r="M24" s="478"/>
      <c r="N24" s="478"/>
      <c r="O24" s="376"/>
      <c r="P24" s="432"/>
      <c r="Q24" s="480"/>
      <c r="R24" s="481"/>
      <c r="Y24" s="482"/>
      <c r="Z24" s="401"/>
      <c r="AA24" s="390"/>
      <c r="AB24" s="402"/>
      <c r="AC24" s="390"/>
      <c r="AE24" s="390"/>
      <c r="AF24" s="483"/>
      <c r="AJ24" s="484"/>
      <c r="AK24" s="63"/>
    </row>
    <row r="25" spans="2:37" ht="15" customHeight="1">
      <c r="B25" s="465"/>
      <c r="C25" s="400"/>
      <c r="D25" s="477"/>
      <c r="E25" s="477"/>
      <c r="F25" s="477"/>
      <c r="G25" s="477"/>
      <c r="H25" s="383"/>
      <c r="I25" s="471"/>
      <c r="J25" s="428"/>
      <c r="K25" s="428"/>
      <c r="L25" s="472"/>
      <c r="M25" s="478"/>
      <c r="N25" s="478"/>
      <c r="O25" s="376"/>
      <c r="P25" s="432"/>
      <c r="Q25" s="480"/>
      <c r="R25" s="481"/>
      <c r="Y25" s="482"/>
      <c r="Z25" s="401"/>
      <c r="AA25" s="390"/>
      <c r="AB25" s="402"/>
      <c r="AC25" s="390"/>
      <c r="AE25" s="390"/>
      <c r="AF25" s="483"/>
      <c r="AJ25" s="484"/>
      <c r="AK25" s="63"/>
    </row>
    <row r="26" spans="2:37" ht="15" customHeight="1">
      <c r="B26" s="465"/>
      <c r="C26" s="400"/>
      <c r="D26" s="477"/>
      <c r="E26" s="477"/>
      <c r="F26" s="477"/>
      <c r="G26" s="477"/>
      <c r="H26" s="383"/>
      <c r="I26" s="471"/>
      <c r="J26" s="428"/>
      <c r="K26" s="428"/>
      <c r="L26" s="472"/>
      <c r="M26" s="478"/>
      <c r="N26" s="478"/>
      <c r="O26" s="376"/>
      <c r="P26" s="432"/>
      <c r="Q26" s="480"/>
      <c r="R26" s="481"/>
      <c r="Y26" s="482"/>
      <c r="Z26" s="401"/>
      <c r="AA26" s="390"/>
      <c r="AB26" s="402"/>
      <c r="AC26" s="390"/>
      <c r="AE26" s="390"/>
      <c r="AF26" s="483"/>
      <c r="AJ26" s="484"/>
      <c r="AK26" s="63"/>
    </row>
    <row r="27" spans="2:37" ht="15" customHeight="1">
      <c r="B27" s="465"/>
      <c r="C27" s="400"/>
      <c r="D27" s="477"/>
      <c r="E27" s="477"/>
      <c r="F27" s="477"/>
      <c r="G27" s="477"/>
      <c r="H27" s="383"/>
      <c r="I27" s="471"/>
      <c r="J27" s="428"/>
      <c r="K27" s="428"/>
      <c r="L27" s="472"/>
      <c r="M27" s="478"/>
      <c r="N27" s="478"/>
      <c r="O27" s="376"/>
      <c r="P27" s="485"/>
      <c r="Q27" s="480"/>
      <c r="R27" s="481"/>
      <c r="Y27" s="482"/>
      <c r="Z27" s="401"/>
      <c r="AA27" s="390"/>
      <c r="AB27" s="402"/>
      <c r="AC27" s="390"/>
      <c r="AE27" s="390"/>
      <c r="AF27" s="483"/>
      <c r="AJ27" s="484"/>
      <c r="AK27" s="63"/>
    </row>
    <row r="28" spans="2:37" ht="15" customHeight="1">
      <c r="B28" s="465"/>
      <c r="C28" s="400"/>
      <c r="D28" s="477"/>
      <c r="E28" s="477"/>
      <c r="F28" s="477"/>
      <c r="G28" s="477"/>
      <c r="H28" s="383"/>
      <c r="I28" s="471"/>
      <c r="J28" s="428"/>
      <c r="K28" s="428"/>
      <c r="L28" s="472"/>
      <c r="M28" s="478"/>
      <c r="N28" s="478"/>
      <c r="O28" s="376"/>
      <c r="P28" s="485"/>
      <c r="Q28" s="480"/>
      <c r="R28" s="481"/>
      <c r="U28" s="63"/>
      <c r="Y28" s="482"/>
      <c r="Z28" s="401"/>
      <c r="AA28" s="390"/>
      <c r="AB28" s="402"/>
      <c r="AC28" s="390"/>
      <c r="AE28" s="390"/>
      <c r="AF28" s="483"/>
      <c r="AJ28" s="484"/>
      <c r="AK28" s="63"/>
    </row>
    <row r="29" spans="2:37" ht="15" customHeight="1">
      <c r="B29" s="476"/>
      <c r="C29" s="400"/>
      <c r="D29" s="477"/>
      <c r="E29" s="477"/>
      <c r="F29" s="477"/>
      <c r="G29" s="477"/>
      <c r="H29" s="383"/>
      <c r="I29" s="471"/>
      <c r="J29" s="428"/>
      <c r="K29" s="428"/>
      <c r="L29" s="472"/>
      <c r="M29" s="478"/>
      <c r="N29" s="478"/>
      <c r="O29" s="479"/>
      <c r="P29" s="432"/>
      <c r="Q29" s="480"/>
      <c r="R29" s="481"/>
      <c r="Y29" s="482"/>
      <c r="Z29" s="401"/>
      <c r="AA29" s="390"/>
      <c r="AB29" s="402"/>
      <c r="AC29" s="390"/>
      <c r="AD29" s="390"/>
      <c r="AE29" s="390"/>
      <c r="AF29" s="483"/>
      <c r="AJ29" s="484"/>
      <c r="AK29" s="63"/>
    </row>
    <row r="30" spans="2:37" ht="15" customHeight="1">
      <c r="B30" s="465"/>
      <c r="C30" s="400"/>
      <c r="D30" s="477"/>
      <c r="E30" s="477"/>
      <c r="F30" s="477"/>
      <c r="G30" s="477"/>
      <c r="H30" s="383"/>
      <c r="I30" s="471"/>
      <c r="J30" s="428"/>
      <c r="K30" s="428"/>
      <c r="L30" s="472"/>
      <c r="M30" s="478"/>
      <c r="N30" s="478"/>
      <c r="O30" s="376"/>
      <c r="P30" s="485"/>
      <c r="Q30" s="480"/>
      <c r="R30" s="481"/>
      <c r="U30" s="486"/>
      <c r="V30" s="406"/>
      <c r="Y30" s="482"/>
      <c r="Z30" s="401"/>
      <c r="AA30" s="390"/>
      <c r="AB30" s="402"/>
      <c r="AC30" s="390"/>
      <c r="AD30" s="390"/>
      <c r="AE30" s="390"/>
      <c r="AF30" s="483"/>
      <c r="AJ30" s="484"/>
      <c r="AK30" s="63"/>
    </row>
    <row r="31" spans="2:37" ht="15" customHeight="1">
      <c r="B31" s="465"/>
      <c r="C31" s="400"/>
      <c r="D31" s="477"/>
      <c r="E31" s="477"/>
      <c r="F31" s="477"/>
      <c r="G31" s="477"/>
      <c r="H31" s="383"/>
      <c r="I31" s="471"/>
      <c r="J31" s="428"/>
      <c r="K31" s="428"/>
      <c r="L31" s="472"/>
      <c r="M31" s="478"/>
      <c r="N31" s="478"/>
      <c r="O31" s="376"/>
      <c r="P31" s="432"/>
      <c r="Q31" s="480"/>
      <c r="R31" s="481"/>
      <c r="Y31" s="482"/>
      <c r="Z31" s="401"/>
      <c r="AA31" s="390"/>
      <c r="AB31" s="402"/>
      <c r="AC31" s="390"/>
      <c r="AE31" s="390"/>
      <c r="AF31" s="483"/>
      <c r="AJ31" s="484"/>
      <c r="AK31" s="63"/>
    </row>
    <row r="32" spans="2:37" ht="15" customHeight="1">
      <c r="B32" s="465"/>
      <c r="C32" s="400"/>
      <c r="D32" s="477"/>
      <c r="E32" s="477"/>
      <c r="F32" s="477"/>
      <c r="G32" s="477"/>
      <c r="H32" s="383"/>
      <c r="I32" s="471"/>
      <c r="J32" s="428"/>
      <c r="K32" s="428"/>
      <c r="L32" s="472"/>
      <c r="M32" s="478"/>
      <c r="N32" s="478"/>
      <c r="O32" s="376"/>
      <c r="P32" s="432"/>
      <c r="Q32" s="480"/>
      <c r="R32" s="481"/>
      <c r="Y32" s="482"/>
      <c r="Z32" s="401"/>
      <c r="AA32" s="390"/>
      <c r="AB32" s="402"/>
      <c r="AC32" s="390"/>
      <c r="AE32" s="390"/>
      <c r="AF32" s="483"/>
      <c r="AJ32" s="484"/>
      <c r="AK32" s="63"/>
    </row>
    <row r="33" spans="2:37" ht="15" customHeight="1">
      <c r="B33" s="465"/>
      <c r="C33" s="400"/>
      <c r="D33" s="477"/>
      <c r="E33" s="477"/>
      <c r="F33" s="477"/>
      <c r="G33" s="477"/>
      <c r="H33" s="383"/>
      <c r="I33" s="471"/>
      <c r="J33" s="428"/>
      <c r="K33" s="428"/>
      <c r="L33" s="472"/>
      <c r="M33" s="478"/>
      <c r="N33" s="478"/>
      <c r="O33" s="376"/>
      <c r="P33" s="432"/>
      <c r="Q33" s="480"/>
      <c r="R33" s="481"/>
      <c r="Y33" s="482"/>
      <c r="Z33" s="401"/>
      <c r="AA33" s="390"/>
      <c r="AB33" s="402"/>
      <c r="AC33" s="390"/>
      <c r="AE33" s="390"/>
      <c r="AF33" s="483"/>
      <c r="AJ33" s="484"/>
      <c r="AK33" s="63"/>
    </row>
    <row r="34" spans="2:37" ht="15" customHeight="1">
      <c r="B34" s="465"/>
      <c r="C34" s="400"/>
      <c r="D34" s="477"/>
      <c r="E34" s="477"/>
      <c r="F34" s="477"/>
      <c r="G34" s="477"/>
      <c r="H34" s="383"/>
      <c r="I34" s="471"/>
      <c r="J34" s="428"/>
      <c r="K34" s="428"/>
      <c r="L34" s="472"/>
      <c r="M34" s="478"/>
      <c r="N34" s="478"/>
      <c r="O34" s="376"/>
      <c r="P34" s="432"/>
      <c r="Q34" s="480"/>
      <c r="R34" s="481"/>
      <c r="Y34" s="482"/>
      <c r="Z34" s="401"/>
      <c r="AA34" s="390"/>
      <c r="AB34" s="402"/>
      <c r="AC34" s="390"/>
      <c r="AE34" s="390"/>
      <c r="AF34" s="483"/>
      <c r="AJ34" s="484"/>
      <c r="AK34" s="63"/>
    </row>
    <row r="35" spans="2:37" ht="15" customHeight="1">
      <c r="B35" s="465"/>
      <c r="C35" s="400"/>
      <c r="D35" s="477"/>
      <c r="E35" s="477"/>
      <c r="F35" s="477"/>
      <c r="G35" s="477"/>
      <c r="H35" s="383"/>
      <c r="I35" s="471"/>
      <c r="J35" s="428"/>
      <c r="K35" s="428"/>
      <c r="L35" s="472"/>
      <c r="M35" s="478"/>
      <c r="N35" s="478"/>
      <c r="O35" s="376"/>
      <c r="P35" s="485"/>
      <c r="Q35" s="480"/>
      <c r="R35" s="481"/>
      <c r="Y35" s="482"/>
      <c r="Z35" s="401"/>
      <c r="AA35" s="390"/>
      <c r="AB35" s="402"/>
      <c r="AC35" s="390"/>
      <c r="AE35" s="390"/>
      <c r="AF35" s="483"/>
      <c r="AJ35" s="484"/>
      <c r="AK35" s="63"/>
    </row>
    <row r="36" spans="2:37" ht="15" customHeight="1">
      <c r="B36" s="465"/>
      <c r="C36" s="400"/>
      <c r="D36" s="477"/>
      <c r="E36" s="477"/>
      <c r="F36" s="477"/>
      <c r="G36" s="477"/>
      <c r="H36" s="383"/>
      <c r="I36" s="471"/>
      <c r="J36" s="428"/>
      <c r="K36" s="428"/>
      <c r="L36" s="472"/>
      <c r="M36" s="478"/>
      <c r="N36" s="478"/>
      <c r="O36" s="376"/>
      <c r="P36" s="432"/>
      <c r="Q36" s="480"/>
      <c r="R36" s="481"/>
      <c r="Y36" s="482"/>
      <c r="Z36" s="401"/>
      <c r="AA36" s="390"/>
      <c r="AB36" s="402"/>
      <c r="AC36" s="390"/>
      <c r="AE36" s="390"/>
      <c r="AF36" s="483"/>
      <c r="AJ36" s="484"/>
      <c r="AK36" s="63"/>
    </row>
    <row r="37" spans="2:37" ht="15" customHeight="1">
      <c r="B37" s="465"/>
      <c r="C37" s="400"/>
      <c r="D37" s="477"/>
      <c r="E37" s="477"/>
      <c r="F37" s="477"/>
      <c r="G37" s="477"/>
      <c r="H37" s="383"/>
      <c r="I37" s="471"/>
      <c r="J37" s="428"/>
      <c r="K37" s="428"/>
      <c r="L37" s="472"/>
      <c r="M37" s="478"/>
      <c r="N37" s="478"/>
      <c r="O37" s="376"/>
      <c r="P37" s="485"/>
      <c r="Q37" s="480"/>
      <c r="R37" s="481"/>
      <c r="Y37" s="482"/>
      <c r="Z37" s="401"/>
      <c r="AA37" s="390"/>
      <c r="AB37" s="402"/>
      <c r="AC37" s="390"/>
      <c r="AE37" s="390"/>
      <c r="AF37" s="483"/>
      <c r="AJ37" s="484"/>
      <c r="AK37" s="63"/>
    </row>
    <row r="38" spans="2:37" ht="15" customHeight="1">
      <c r="B38" s="465"/>
      <c r="C38" s="400"/>
      <c r="D38" s="477"/>
      <c r="E38" s="477"/>
      <c r="F38" s="477"/>
      <c r="G38" s="477"/>
      <c r="H38" s="383"/>
      <c r="I38" s="471"/>
      <c r="J38" s="428"/>
      <c r="K38" s="428"/>
      <c r="L38" s="472"/>
      <c r="M38" s="478"/>
      <c r="N38" s="478"/>
      <c r="O38" s="376"/>
      <c r="P38" s="432"/>
      <c r="Q38" s="480"/>
      <c r="R38" s="481"/>
      <c r="Y38" s="482"/>
      <c r="Z38" s="401"/>
      <c r="AA38" s="390"/>
      <c r="AB38" s="402"/>
      <c r="AC38" s="390"/>
      <c r="AE38" s="390"/>
      <c r="AF38" s="483"/>
      <c r="AJ38" s="484"/>
      <c r="AK38" s="63"/>
    </row>
    <row r="39" spans="2:37" ht="15" customHeight="1">
      <c r="B39" s="465"/>
      <c r="C39" s="400"/>
      <c r="D39" s="477"/>
      <c r="E39" s="477"/>
      <c r="F39" s="477"/>
      <c r="G39" s="477"/>
      <c r="H39" s="383"/>
      <c r="I39" s="471"/>
      <c r="J39" s="428"/>
      <c r="K39" s="428"/>
      <c r="L39" s="472"/>
      <c r="M39" s="478"/>
      <c r="N39" s="478"/>
      <c r="O39" s="376"/>
      <c r="P39" s="485"/>
      <c r="Q39" s="480"/>
      <c r="R39" s="481"/>
      <c r="Y39" s="482"/>
      <c r="Z39" s="401"/>
      <c r="AA39" s="390"/>
      <c r="AB39" s="402"/>
      <c r="AC39" s="390"/>
      <c r="AE39" s="390"/>
      <c r="AF39" s="483"/>
      <c r="AJ39" s="484"/>
      <c r="AK39" s="63"/>
    </row>
    <row r="40" spans="2:37" ht="15" customHeight="1">
      <c r="B40" s="465"/>
      <c r="C40" s="400"/>
      <c r="D40" s="477"/>
      <c r="E40" s="477"/>
      <c r="F40" s="477"/>
      <c r="G40" s="477"/>
      <c r="H40" s="383"/>
      <c r="I40" s="471"/>
      <c r="J40" s="428"/>
      <c r="K40" s="428"/>
      <c r="L40" s="472"/>
      <c r="M40" s="478"/>
      <c r="N40" s="478"/>
      <c r="O40" s="376"/>
      <c r="P40" s="432"/>
      <c r="Q40" s="480"/>
      <c r="R40" s="481"/>
      <c r="Y40" s="482"/>
      <c r="Z40" s="401"/>
      <c r="AA40" s="390"/>
      <c r="AB40" s="402"/>
      <c r="AC40" s="390"/>
      <c r="AE40" s="390"/>
      <c r="AF40" s="483"/>
      <c r="AJ40" s="484"/>
      <c r="AK40" s="63"/>
    </row>
    <row r="41" spans="2:37" ht="15" customHeight="1">
      <c r="B41" s="465"/>
      <c r="C41" s="400"/>
      <c r="D41" s="477"/>
      <c r="E41" s="477"/>
      <c r="F41" s="477"/>
      <c r="G41" s="477"/>
      <c r="H41" s="383"/>
      <c r="I41" s="471"/>
      <c r="J41" s="428"/>
      <c r="K41" s="428"/>
      <c r="L41" s="472"/>
      <c r="M41" s="478"/>
      <c r="N41" s="478"/>
      <c r="O41" s="376"/>
      <c r="P41" s="432"/>
      <c r="Q41" s="480"/>
      <c r="R41" s="481"/>
      <c r="Y41" s="482"/>
      <c r="Z41" s="401"/>
      <c r="AA41" s="390"/>
      <c r="AB41" s="402"/>
      <c r="AC41" s="390"/>
      <c r="AE41" s="390"/>
      <c r="AF41" s="483"/>
      <c r="AJ41" s="484"/>
      <c r="AK41" s="63"/>
    </row>
    <row r="42" spans="2:37" ht="15" customHeight="1">
      <c r="B42" s="465"/>
      <c r="C42" s="400"/>
      <c r="D42" s="477"/>
      <c r="E42" s="477"/>
      <c r="F42" s="477"/>
      <c r="G42" s="477"/>
      <c r="H42" s="383"/>
      <c r="I42" s="471"/>
      <c r="J42" s="428"/>
      <c r="K42" s="428"/>
      <c r="L42" s="472"/>
      <c r="M42" s="478"/>
      <c r="N42" s="478"/>
      <c r="O42" s="376"/>
      <c r="P42" s="432"/>
      <c r="Q42" s="480"/>
      <c r="R42" s="481"/>
      <c r="Y42" s="482"/>
      <c r="Z42" s="401"/>
      <c r="AA42" s="390"/>
      <c r="AB42" s="402"/>
      <c r="AC42" s="390"/>
      <c r="AE42" s="390"/>
      <c r="AF42" s="483"/>
      <c r="AJ42" s="484"/>
      <c r="AK42" s="63"/>
    </row>
    <row r="43" spans="2:37" ht="15" customHeight="1">
      <c r="B43" s="465"/>
      <c r="C43" s="400"/>
      <c r="D43" s="477"/>
      <c r="E43" s="477"/>
      <c r="F43" s="477"/>
      <c r="G43" s="477"/>
      <c r="H43" s="383"/>
      <c r="I43" s="471"/>
      <c r="J43" s="428"/>
      <c r="K43" s="428"/>
      <c r="L43" s="472"/>
      <c r="M43" s="478"/>
      <c r="N43" s="478"/>
      <c r="O43" s="376"/>
      <c r="P43" s="432"/>
      <c r="Q43" s="480"/>
      <c r="R43" s="481"/>
      <c r="Y43" s="482"/>
      <c r="Z43" s="401"/>
      <c r="AA43" s="390"/>
      <c r="AB43" s="402"/>
      <c r="AC43" s="390"/>
      <c r="AE43" s="390"/>
      <c r="AF43" s="483"/>
      <c r="AJ43" s="484"/>
      <c r="AK43" s="63"/>
    </row>
    <row r="44" spans="2:37" ht="15" customHeight="1">
      <c r="B44" s="465"/>
      <c r="C44" s="400"/>
      <c r="D44" s="477"/>
      <c r="E44" s="477"/>
      <c r="F44" s="477"/>
      <c r="G44" s="477"/>
      <c r="H44" s="383"/>
      <c r="I44" s="471"/>
      <c r="J44" s="428"/>
      <c r="K44" s="428"/>
      <c r="L44" s="472"/>
      <c r="M44" s="478"/>
      <c r="N44" s="478"/>
      <c r="O44" s="376"/>
      <c r="P44" s="432"/>
      <c r="Q44" s="480"/>
      <c r="R44" s="481"/>
      <c r="Y44" s="482"/>
      <c r="Z44" s="401"/>
      <c r="AA44" s="390"/>
      <c r="AB44" s="402"/>
      <c r="AC44" s="390"/>
      <c r="AE44" s="390"/>
      <c r="AF44" s="483"/>
      <c r="AJ44" s="484"/>
      <c r="AK44" s="63"/>
    </row>
    <row r="45" spans="2:37" ht="15" customHeight="1">
      <c r="B45" s="465"/>
      <c r="C45" s="400"/>
      <c r="D45" s="477"/>
      <c r="E45" s="477"/>
      <c r="F45" s="477"/>
      <c r="G45" s="477"/>
      <c r="H45" s="383"/>
      <c r="I45" s="471"/>
      <c r="J45" s="428"/>
      <c r="K45" s="428"/>
      <c r="L45" s="472"/>
      <c r="M45" s="478"/>
      <c r="N45" s="478"/>
      <c r="O45" s="376"/>
      <c r="P45" s="485"/>
      <c r="Q45" s="480"/>
      <c r="R45" s="481"/>
      <c r="Y45" s="482"/>
      <c r="Z45" s="401"/>
      <c r="AA45" s="390"/>
      <c r="AB45" s="402"/>
      <c r="AC45" s="390"/>
      <c r="AE45" s="390"/>
      <c r="AF45" s="483"/>
      <c r="AJ45" s="484"/>
      <c r="AK45" s="63"/>
    </row>
    <row r="46" spans="2:37" ht="15" customHeight="1">
      <c r="B46" s="465"/>
      <c r="C46" s="400"/>
      <c r="D46" s="477"/>
      <c r="E46" s="477"/>
      <c r="F46" s="477"/>
      <c r="G46" s="477"/>
      <c r="H46" s="383"/>
      <c r="I46" s="471"/>
      <c r="J46" s="428"/>
      <c r="K46" s="428"/>
      <c r="L46" s="472"/>
      <c r="M46" s="478"/>
      <c r="N46" s="478"/>
      <c r="O46" s="376"/>
      <c r="P46" s="485"/>
      <c r="Q46" s="480"/>
      <c r="R46" s="481"/>
      <c r="Y46" s="482"/>
      <c r="Z46" s="401"/>
      <c r="AA46" s="390"/>
      <c r="AB46" s="402"/>
      <c r="AC46" s="390"/>
      <c r="AE46" s="390"/>
      <c r="AF46" s="483"/>
      <c r="AJ46" s="484"/>
      <c r="AK46" s="63"/>
    </row>
    <row r="47" spans="2:37" ht="15" customHeight="1">
      <c r="B47" s="465"/>
      <c r="C47" s="400"/>
      <c r="D47" s="477"/>
      <c r="E47" s="477"/>
      <c r="F47" s="477"/>
      <c r="G47" s="477"/>
      <c r="H47" s="383"/>
      <c r="I47" s="471"/>
      <c r="J47" s="428"/>
      <c r="K47" s="428"/>
      <c r="L47" s="472"/>
      <c r="M47" s="478"/>
      <c r="N47" s="478"/>
      <c r="O47" s="376"/>
      <c r="P47" s="432"/>
      <c r="Q47" s="480"/>
      <c r="R47" s="481"/>
      <c r="Y47" s="482"/>
      <c r="Z47" s="401"/>
      <c r="AA47" s="390"/>
      <c r="AB47" s="402"/>
      <c r="AC47" s="390"/>
      <c r="AE47" s="390"/>
      <c r="AF47" s="483"/>
      <c r="AJ47" s="484"/>
      <c r="AK47" s="63"/>
    </row>
    <row r="48" spans="2:37" s="1" customFormat="1" ht="15" customHeight="1">
      <c r="B48" s="465"/>
      <c r="C48" s="400"/>
      <c r="D48" s="477"/>
      <c r="E48" s="477"/>
      <c r="F48" s="477"/>
      <c r="G48" s="477"/>
      <c r="H48" s="383"/>
      <c r="I48" s="471"/>
      <c r="J48" s="428"/>
      <c r="K48" s="428"/>
      <c r="L48" s="472"/>
      <c r="M48" s="478"/>
      <c r="N48" s="478"/>
      <c r="O48" s="376"/>
      <c r="P48" s="432"/>
      <c r="Q48" s="480"/>
      <c r="R48" s="481"/>
      <c r="S48"/>
      <c r="T48"/>
      <c r="U48"/>
      <c r="V48"/>
      <c r="W48"/>
      <c r="X48"/>
      <c r="Y48" s="482"/>
      <c r="Z48" s="401"/>
      <c r="AA48" s="390"/>
      <c r="AB48" s="402"/>
      <c r="AC48" s="390"/>
      <c r="AD48"/>
      <c r="AE48" s="390"/>
      <c r="AF48" s="483"/>
      <c r="AG48"/>
      <c r="AJ48" s="484"/>
      <c r="AK48" s="63"/>
    </row>
    <row r="49" spans="2:37" ht="15" customHeight="1">
      <c r="B49" s="465"/>
      <c r="C49" s="400"/>
      <c r="D49" s="477"/>
      <c r="E49" s="477"/>
      <c r="F49" s="477"/>
      <c r="G49" s="477"/>
      <c r="H49" s="383"/>
      <c r="I49" s="471"/>
      <c r="J49" s="428"/>
      <c r="K49" s="428"/>
      <c r="L49" s="472"/>
      <c r="M49" s="478"/>
      <c r="N49" s="478"/>
      <c r="O49" s="376"/>
      <c r="P49" s="432"/>
      <c r="Q49" s="480"/>
      <c r="R49" s="481"/>
      <c r="Y49" s="482"/>
      <c r="Z49" s="401"/>
      <c r="AA49" s="390"/>
      <c r="AB49" s="402"/>
      <c r="AC49" s="390"/>
      <c r="AE49" s="390"/>
      <c r="AF49" s="483"/>
      <c r="AJ49" s="484"/>
      <c r="AK49" s="63"/>
    </row>
    <row r="50" spans="2:37" ht="15" customHeight="1">
      <c r="B50" s="476"/>
      <c r="C50" s="400"/>
      <c r="D50" s="477"/>
      <c r="E50" s="477"/>
      <c r="F50" s="477"/>
      <c r="G50" s="477"/>
      <c r="H50" s="383"/>
      <c r="I50" s="471"/>
      <c r="J50" s="428"/>
      <c r="K50" s="428"/>
      <c r="L50" s="472"/>
      <c r="M50" s="478"/>
      <c r="N50" s="478"/>
      <c r="O50" s="479"/>
      <c r="P50" s="432"/>
      <c r="Q50" s="480"/>
      <c r="R50" s="481"/>
      <c r="Y50" s="482"/>
      <c r="Z50" s="401"/>
      <c r="AA50" s="390"/>
      <c r="AB50" s="402"/>
      <c r="AC50" s="390"/>
      <c r="AE50" s="390"/>
      <c r="AF50" s="483"/>
      <c r="AJ50" s="484"/>
      <c r="AK50" s="63"/>
    </row>
    <row r="51" spans="2:37" ht="15" customHeight="1">
      <c r="B51" s="465"/>
      <c r="C51" s="400"/>
      <c r="D51" s="477"/>
      <c r="E51" s="477"/>
      <c r="F51" s="477"/>
      <c r="G51" s="477"/>
      <c r="H51" s="383"/>
      <c r="I51" s="471"/>
      <c r="J51" s="428"/>
      <c r="K51" s="428"/>
      <c r="L51" s="472"/>
      <c r="M51" s="478"/>
      <c r="N51" s="478"/>
      <c r="O51" s="376"/>
      <c r="P51" s="432"/>
      <c r="Q51" s="480"/>
      <c r="R51" s="481"/>
      <c r="Y51" s="482"/>
      <c r="Z51" s="401"/>
      <c r="AA51" s="390"/>
      <c r="AB51" s="402"/>
      <c r="AC51" s="390"/>
      <c r="AE51" s="390"/>
      <c r="AF51" s="483"/>
      <c r="AJ51" s="484"/>
      <c r="AK51" s="63"/>
    </row>
    <row r="52" spans="2:37" ht="15" customHeight="1">
      <c r="B52" s="465"/>
      <c r="C52" s="400"/>
      <c r="D52" s="477"/>
      <c r="E52" s="477"/>
      <c r="F52" s="477"/>
      <c r="G52" s="477"/>
      <c r="H52" s="383"/>
      <c r="I52" s="471"/>
      <c r="J52" s="428"/>
      <c r="K52" s="428"/>
      <c r="L52" s="472"/>
      <c r="M52" s="478"/>
      <c r="N52" s="478"/>
      <c r="O52" s="376"/>
      <c r="P52" s="432"/>
      <c r="Q52" s="480"/>
      <c r="R52" s="481"/>
      <c r="Y52" s="482"/>
      <c r="Z52" s="401"/>
      <c r="AA52" s="390"/>
      <c r="AB52" s="402"/>
      <c r="AC52" s="390"/>
      <c r="AE52" s="390"/>
      <c r="AF52" s="483"/>
      <c r="AJ52" s="484"/>
      <c r="AK52" s="63"/>
    </row>
    <row r="53" spans="2:37" ht="15" customHeight="1">
      <c r="B53" s="465"/>
      <c r="C53" s="400"/>
      <c r="D53" s="477"/>
      <c r="E53" s="477"/>
      <c r="F53" s="477"/>
      <c r="G53" s="477"/>
      <c r="H53" s="383"/>
      <c r="I53" s="471"/>
      <c r="J53" s="428"/>
      <c r="K53" s="428"/>
      <c r="L53" s="472"/>
      <c r="M53" s="478"/>
      <c r="N53" s="478"/>
      <c r="O53" s="376"/>
      <c r="P53" s="485"/>
      <c r="Q53" s="480"/>
      <c r="R53" s="481"/>
      <c r="Y53" s="482"/>
      <c r="Z53" s="401"/>
      <c r="AA53" s="390"/>
      <c r="AB53" s="402"/>
      <c r="AC53" s="390"/>
      <c r="AE53" s="390"/>
      <c r="AF53" s="483"/>
      <c r="AJ53" s="484"/>
      <c r="AK53" s="63"/>
    </row>
    <row r="54" spans="2:37" ht="15" customHeight="1">
      <c r="B54" s="465"/>
      <c r="C54" s="400"/>
      <c r="D54" s="477"/>
      <c r="E54" s="477"/>
      <c r="F54" s="477"/>
      <c r="G54" s="477"/>
      <c r="H54" s="383"/>
      <c r="I54" s="471"/>
      <c r="J54" s="428"/>
      <c r="K54" s="428"/>
      <c r="L54" s="472"/>
      <c r="M54" s="478"/>
      <c r="N54" s="478"/>
      <c r="O54" s="376"/>
      <c r="P54" s="485"/>
      <c r="Q54" s="480"/>
      <c r="R54" s="481"/>
      <c r="T54" s="1"/>
      <c r="U54" s="1"/>
      <c r="V54" s="1"/>
      <c r="Y54" s="482"/>
      <c r="Z54" s="401"/>
      <c r="AA54" s="390"/>
      <c r="AB54" s="402"/>
      <c r="AC54" s="390"/>
      <c r="AD54" s="1"/>
      <c r="AE54" s="390"/>
      <c r="AF54" s="483"/>
      <c r="AJ54" s="484"/>
      <c r="AK54" s="63"/>
    </row>
    <row r="55" spans="2:37" ht="15" customHeight="1">
      <c r="B55" s="476"/>
      <c r="C55" s="400"/>
      <c r="D55" s="477"/>
      <c r="E55" s="477"/>
      <c r="F55" s="477"/>
      <c r="G55" s="477"/>
      <c r="H55" s="383"/>
      <c r="I55" s="471"/>
      <c r="J55" s="428"/>
      <c r="K55" s="428"/>
      <c r="L55" s="472"/>
      <c r="M55" s="478"/>
      <c r="N55" s="478"/>
      <c r="O55" s="479"/>
      <c r="P55" s="485"/>
      <c r="Q55" s="480"/>
      <c r="R55" s="481"/>
      <c r="Y55" s="482"/>
      <c r="Z55" s="401"/>
      <c r="AA55" s="390"/>
      <c r="AB55" s="402"/>
      <c r="AC55" s="390"/>
      <c r="AE55" s="390"/>
      <c r="AF55" s="483"/>
      <c r="AJ55" s="484"/>
      <c r="AK55" s="63"/>
    </row>
    <row r="56" spans="2:37" ht="15" customHeight="1">
      <c r="B56" s="465"/>
      <c r="C56" s="400"/>
      <c r="D56" s="477"/>
      <c r="E56" s="477"/>
      <c r="F56" s="477"/>
      <c r="G56" s="477"/>
      <c r="H56" s="383"/>
      <c r="I56" s="471"/>
      <c r="J56" s="428"/>
      <c r="K56" s="428"/>
      <c r="L56" s="472"/>
      <c r="M56" s="478"/>
      <c r="N56" s="478"/>
      <c r="O56" s="376"/>
      <c r="P56" s="432"/>
      <c r="Q56" s="480"/>
      <c r="R56" s="481"/>
      <c r="Y56" s="482"/>
      <c r="Z56" s="401"/>
      <c r="AA56" s="390"/>
      <c r="AB56" s="402"/>
      <c r="AC56" s="390"/>
      <c r="AE56" s="390"/>
      <c r="AF56" s="483"/>
      <c r="AJ56" s="484"/>
      <c r="AK56" s="63"/>
    </row>
    <row r="57" spans="2:37" ht="15" customHeight="1">
      <c r="B57" s="465"/>
      <c r="C57" s="400"/>
      <c r="D57" s="477"/>
      <c r="E57" s="477"/>
      <c r="F57" s="477"/>
      <c r="G57" s="477"/>
      <c r="H57" s="383"/>
      <c r="I57" s="471"/>
      <c r="J57" s="428"/>
      <c r="K57" s="428"/>
      <c r="L57" s="472"/>
      <c r="M57" s="478"/>
      <c r="N57" s="478"/>
      <c r="O57" s="376"/>
      <c r="P57" s="432"/>
      <c r="Q57" s="480"/>
      <c r="R57" s="481"/>
      <c r="Y57" s="482"/>
      <c r="Z57" s="401"/>
      <c r="AA57" s="390"/>
      <c r="AB57" s="402"/>
      <c r="AC57" s="390"/>
      <c r="AE57" s="390"/>
      <c r="AF57" s="483"/>
      <c r="AJ57" s="484"/>
      <c r="AK57" s="63"/>
    </row>
    <row r="58" spans="2:37" ht="15" customHeight="1">
      <c r="B58" s="465"/>
      <c r="C58" s="400"/>
      <c r="D58" s="477"/>
      <c r="E58" s="477"/>
      <c r="F58" s="477"/>
      <c r="G58" s="477"/>
      <c r="H58" s="383"/>
      <c r="I58" s="471"/>
      <c r="J58" s="428"/>
      <c r="K58" s="428"/>
      <c r="L58" s="472"/>
      <c r="M58" s="478"/>
      <c r="N58" s="478"/>
      <c r="O58" s="376"/>
      <c r="P58" s="485"/>
      <c r="Q58" s="480"/>
      <c r="R58" s="481"/>
      <c r="Y58" s="482"/>
      <c r="Z58" s="401"/>
      <c r="AA58" s="390"/>
      <c r="AB58" s="402"/>
      <c r="AC58" s="390"/>
      <c r="AE58" s="390"/>
      <c r="AF58" s="483"/>
      <c r="AJ58" s="484"/>
      <c r="AK58" s="63"/>
    </row>
    <row r="59" spans="2:37" ht="15" customHeight="1">
      <c r="B59" s="465"/>
      <c r="C59" s="400"/>
      <c r="D59" s="477"/>
      <c r="E59" s="477"/>
      <c r="F59" s="477"/>
      <c r="G59" s="477"/>
      <c r="H59" s="383"/>
      <c r="I59" s="471"/>
      <c r="J59" s="428"/>
      <c r="K59" s="428"/>
      <c r="L59" s="472"/>
      <c r="M59" s="478"/>
      <c r="N59" s="478"/>
      <c r="O59" s="376"/>
      <c r="P59" s="432"/>
      <c r="Q59" s="480"/>
      <c r="R59" s="481"/>
      <c r="Y59" s="482"/>
      <c r="Z59" s="401"/>
      <c r="AA59" s="390"/>
      <c r="AB59" s="402"/>
      <c r="AC59" s="390"/>
      <c r="AE59" s="390"/>
      <c r="AF59" s="483"/>
      <c r="AJ59" s="484"/>
      <c r="AK59" s="63"/>
    </row>
    <row r="60" spans="2:37" ht="15" customHeight="1">
      <c r="B60" s="465"/>
      <c r="C60" s="400"/>
      <c r="D60" s="477"/>
      <c r="E60" s="477"/>
      <c r="F60" s="477"/>
      <c r="G60" s="477"/>
      <c r="H60" s="383"/>
      <c r="I60" s="471"/>
      <c r="J60" s="428"/>
      <c r="K60" s="428"/>
      <c r="L60" s="472"/>
      <c r="M60" s="478"/>
      <c r="N60" s="478"/>
      <c r="O60" s="376"/>
      <c r="P60" s="485"/>
      <c r="Q60" s="480"/>
      <c r="R60" s="481"/>
      <c r="Y60" s="482"/>
      <c r="Z60" s="401"/>
      <c r="AA60" s="390"/>
      <c r="AB60" s="402"/>
      <c r="AC60" s="390"/>
      <c r="AE60" s="390"/>
      <c r="AF60" s="483"/>
      <c r="AJ60" s="484"/>
      <c r="AK60" s="63"/>
    </row>
    <row r="61" spans="2:37" ht="15" customHeight="1">
      <c r="B61" s="465"/>
      <c r="C61" s="400"/>
      <c r="D61" s="477"/>
      <c r="E61" s="477"/>
      <c r="F61" s="477"/>
      <c r="G61" s="477"/>
      <c r="H61" s="383"/>
      <c r="I61" s="471"/>
      <c r="J61" s="428"/>
      <c r="K61" s="428"/>
      <c r="L61" s="472"/>
      <c r="M61" s="478"/>
      <c r="N61" s="478"/>
      <c r="O61" s="376"/>
      <c r="P61" s="432"/>
      <c r="Q61" s="480"/>
      <c r="R61" s="481"/>
      <c r="Y61" s="482"/>
      <c r="Z61" s="401"/>
      <c r="AA61" s="390"/>
      <c r="AB61" s="402"/>
      <c r="AC61" s="390"/>
      <c r="AE61" s="390"/>
      <c r="AF61" s="483"/>
      <c r="AJ61" s="484"/>
      <c r="AK61" s="63"/>
    </row>
    <row r="62" spans="2:37" ht="15" customHeight="1">
      <c r="B62" s="465"/>
      <c r="C62" s="400"/>
      <c r="D62" s="477"/>
      <c r="E62" s="477"/>
      <c r="F62" s="477"/>
      <c r="G62" s="477"/>
      <c r="H62" s="383"/>
      <c r="I62" s="471"/>
      <c r="J62" s="428"/>
      <c r="K62" s="428"/>
      <c r="L62" s="472"/>
      <c r="M62" s="478"/>
      <c r="N62" s="478"/>
      <c r="O62" s="376"/>
      <c r="P62" s="485"/>
      <c r="Q62" s="480"/>
      <c r="R62" s="481"/>
      <c r="Y62" s="482"/>
      <c r="Z62" s="401"/>
      <c r="AA62" s="390"/>
      <c r="AB62" s="402"/>
      <c r="AC62" s="390"/>
      <c r="AE62" s="390"/>
      <c r="AF62" s="483"/>
      <c r="AJ62" s="484"/>
      <c r="AK62" s="63"/>
    </row>
    <row r="63" spans="2:37" ht="15" customHeight="1">
      <c r="B63" s="465"/>
      <c r="C63" s="400"/>
      <c r="D63" s="477"/>
      <c r="E63" s="477"/>
      <c r="F63" s="477"/>
      <c r="G63" s="477"/>
      <c r="H63" s="383"/>
      <c r="I63" s="471"/>
      <c r="J63" s="428"/>
      <c r="K63" s="428"/>
      <c r="L63" s="472"/>
      <c r="M63" s="478"/>
      <c r="N63" s="478"/>
      <c r="O63" s="376"/>
      <c r="P63" s="485"/>
      <c r="Q63" s="480"/>
      <c r="R63" s="481"/>
      <c r="Y63" s="482"/>
      <c r="Z63" s="401"/>
      <c r="AA63" s="390"/>
      <c r="AB63" s="402"/>
      <c r="AC63" s="390"/>
      <c r="AE63" s="390"/>
      <c r="AF63" s="483"/>
      <c r="AJ63" s="484"/>
      <c r="AK63" s="63"/>
    </row>
    <row r="64" spans="2:37" ht="15" customHeight="1">
      <c r="B64" s="465"/>
      <c r="C64" s="400"/>
      <c r="D64" s="477"/>
      <c r="E64" s="477"/>
      <c r="F64" s="477"/>
      <c r="G64" s="477"/>
      <c r="H64" s="383"/>
      <c r="I64" s="471"/>
      <c r="J64" s="428"/>
      <c r="K64" s="428"/>
      <c r="L64" s="472"/>
      <c r="M64" s="478"/>
      <c r="N64" s="478"/>
      <c r="O64" s="376"/>
      <c r="P64" s="485"/>
      <c r="Q64" s="480"/>
      <c r="R64" s="481"/>
      <c r="Y64" s="482"/>
      <c r="Z64" s="401"/>
      <c r="AA64" s="390"/>
      <c r="AB64" s="402"/>
      <c r="AC64" s="390"/>
      <c r="AE64" s="390"/>
      <c r="AF64" s="483"/>
      <c r="AJ64" s="484"/>
      <c r="AK64" s="63"/>
    </row>
    <row r="65" spans="2:37" ht="15" customHeight="1">
      <c r="B65" s="465"/>
      <c r="C65" s="400"/>
      <c r="D65" s="477"/>
      <c r="E65" s="477"/>
      <c r="F65" s="477"/>
      <c r="G65" s="477"/>
      <c r="H65" s="383"/>
      <c r="I65" s="471"/>
      <c r="J65" s="428"/>
      <c r="K65" s="428"/>
      <c r="L65" s="472"/>
      <c r="M65" s="478"/>
      <c r="N65" s="478"/>
      <c r="O65" s="376"/>
      <c r="P65" s="485"/>
      <c r="Q65" s="480"/>
      <c r="R65" s="481"/>
      <c r="Y65" s="482"/>
      <c r="Z65" s="401"/>
      <c r="AA65" s="390"/>
      <c r="AB65" s="402"/>
      <c r="AC65" s="390"/>
      <c r="AE65" s="390"/>
      <c r="AF65" s="483"/>
      <c r="AJ65" s="484"/>
      <c r="AK65" s="63"/>
    </row>
    <row r="66" spans="2:37" ht="15" customHeight="1">
      <c r="B66" s="465"/>
      <c r="C66" s="400"/>
      <c r="D66" s="477"/>
      <c r="E66" s="477"/>
      <c r="F66" s="477"/>
      <c r="G66" s="477"/>
      <c r="H66" s="383"/>
      <c r="I66" s="471"/>
      <c r="J66" s="428"/>
      <c r="K66" s="428"/>
      <c r="L66" s="472"/>
      <c r="M66" s="478"/>
      <c r="N66" s="478"/>
      <c r="O66" s="376"/>
      <c r="P66" s="485"/>
      <c r="Q66" s="480"/>
      <c r="R66" s="481"/>
      <c r="Y66" s="482"/>
      <c r="Z66" s="401"/>
      <c r="AA66" s="390"/>
      <c r="AB66" s="402"/>
      <c r="AC66" s="390"/>
      <c r="AE66" s="390"/>
      <c r="AF66" s="483"/>
      <c r="AJ66" s="484"/>
      <c r="AK66" s="63"/>
    </row>
    <row r="67" spans="2:37" ht="15" customHeight="1">
      <c r="B67" s="465"/>
      <c r="C67" s="400"/>
      <c r="D67" s="477"/>
      <c r="E67" s="477"/>
      <c r="F67" s="477"/>
      <c r="G67" s="477"/>
      <c r="H67" s="383"/>
      <c r="I67" s="471"/>
      <c r="J67" s="428"/>
      <c r="K67" s="428"/>
      <c r="L67" s="472"/>
      <c r="M67" s="478"/>
      <c r="N67" s="478"/>
      <c r="O67" s="376"/>
      <c r="P67" s="432"/>
      <c r="Q67" s="480"/>
      <c r="R67" s="481"/>
      <c r="Y67" s="482"/>
      <c r="Z67" s="401"/>
      <c r="AA67" s="390"/>
      <c r="AB67" s="402"/>
      <c r="AC67" s="390"/>
      <c r="AE67" s="390"/>
      <c r="AF67" s="483"/>
      <c r="AJ67" s="484"/>
      <c r="AK67" s="63"/>
    </row>
    <row r="68" spans="2:37" ht="15" customHeight="1">
      <c r="B68" s="465"/>
      <c r="C68" s="400"/>
      <c r="D68" s="477"/>
      <c r="E68" s="477"/>
      <c r="F68" s="477"/>
      <c r="G68" s="477"/>
      <c r="H68" s="383"/>
      <c r="I68" s="471"/>
      <c r="J68" s="428"/>
      <c r="K68" s="428"/>
      <c r="L68" s="472"/>
      <c r="M68" s="478"/>
      <c r="N68" s="478"/>
      <c r="O68" s="376"/>
      <c r="P68" s="432"/>
      <c r="Q68" s="480"/>
      <c r="R68" s="481"/>
      <c r="Y68" s="482"/>
      <c r="Z68" s="401"/>
      <c r="AA68" s="390"/>
      <c r="AB68" s="402"/>
      <c r="AC68" s="390"/>
      <c r="AE68" s="390"/>
      <c r="AF68" s="483"/>
      <c r="AJ68" s="484"/>
      <c r="AK68" s="63"/>
    </row>
    <row r="69" spans="2:37" ht="15" customHeight="1">
      <c r="B69" s="476"/>
      <c r="C69" s="400"/>
      <c r="D69" s="477"/>
      <c r="E69" s="477"/>
      <c r="F69" s="477"/>
      <c r="G69" s="477"/>
      <c r="H69" s="383"/>
      <c r="I69" s="471"/>
      <c r="J69" s="428"/>
      <c r="K69" s="428"/>
      <c r="L69" s="472"/>
      <c r="M69" s="478"/>
      <c r="N69" s="478"/>
      <c r="O69" s="479"/>
      <c r="P69" s="432"/>
      <c r="Q69" s="480"/>
      <c r="R69" s="481"/>
      <c r="Y69" s="482"/>
      <c r="Z69" s="401"/>
      <c r="AA69" s="390"/>
      <c r="AB69" s="402"/>
      <c r="AC69" s="390"/>
      <c r="AE69" s="390"/>
      <c r="AF69" s="483"/>
      <c r="AJ69" s="484"/>
      <c r="AK69" s="63"/>
    </row>
    <row r="70" spans="2:37" ht="15" customHeight="1">
      <c r="B70" s="465"/>
      <c r="C70" s="400"/>
      <c r="D70" s="477"/>
      <c r="E70" s="477"/>
      <c r="F70" s="477"/>
      <c r="G70" s="477"/>
      <c r="H70" s="383"/>
      <c r="I70" s="471"/>
      <c r="J70" s="428"/>
      <c r="K70" s="428"/>
      <c r="L70" s="472"/>
      <c r="M70" s="478"/>
      <c r="N70" s="478"/>
      <c r="O70" s="376"/>
      <c r="P70" s="485"/>
      <c r="Q70" s="480"/>
      <c r="R70" s="481"/>
      <c r="Y70" s="482"/>
      <c r="Z70" s="401"/>
      <c r="AA70" s="390"/>
      <c r="AB70" s="402"/>
      <c r="AC70" s="390"/>
      <c r="AE70" s="390"/>
      <c r="AF70" s="483"/>
      <c r="AJ70" s="484"/>
      <c r="AK70" s="63"/>
    </row>
    <row r="71" spans="2:37" ht="15" customHeight="1">
      <c r="B71" s="465"/>
      <c r="C71" s="400"/>
      <c r="D71" s="477"/>
      <c r="E71" s="477"/>
      <c r="F71" s="477"/>
      <c r="G71" s="477"/>
      <c r="H71" s="383"/>
      <c r="I71" s="471"/>
      <c r="J71" s="428"/>
      <c r="K71" s="428"/>
      <c r="L71" s="472"/>
      <c r="M71" s="478"/>
      <c r="N71" s="478"/>
      <c r="O71" s="376"/>
      <c r="P71" s="485"/>
      <c r="Q71" s="480"/>
      <c r="R71" s="481"/>
      <c r="Y71" s="482"/>
      <c r="Z71" s="401"/>
      <c r="AA71" s="390"/>
      <c r="AB71" s="402"/>
      <c r="AC71" s="390"/>
      <c r="AE71" s="390"/>
      <c r="AF71" s="483"/>
      <c r="AJ71" s="484"/>
      <c r="AK71" s="63"/>
    </row>
    <row r="72" spans="2:37" ht="15" customHeight="1">
      <c r="B72" s="465"/>
      <c r="C72" s="400"/>
      <c r="D72" s="477"/>
      <c r="E72" s="477"/>
      <c r="F72" s="477"/>
      <c r="G72" s="477"/>
      <c r="H72" s="383"/>
      <c r="I72" s="471"/>
      <c r="J72" s="428"/>
      <c r="K72" s="428"/>
      <c r="L72" s="472"/>
      <c r="M72" s="478"/>
      <c r="N72" s="478"/>
      <c r="O72" s="376"/>
      <c r="P72" s="432"/>
      <c r="Q72" s="480"/>
      <c r="R72" s="481"/>
      <c r="Y72" s="482"/>
      <c r="Z72" s="401"/>
      <c r="AA72" s="390"/>
      <c r="AB72" s="402"/>
      <c r="AC72" s="390"/>
      <c r="AE72" s="390"/>
      <c r="AF72" s="483"/>
      <c r="AJ72" s="484"/>
      <c r="AK72" s="63"/>
    </row>
    <row r="73" spans="2:37" ht="15" customHeight="1">
      <c r="B73" s="465"/>
      <c r="C73" s="400"/>
      <c r="D73" s="477"/>
      <c r="E73" s="477"/>
      <c r="F73" s="477"/>
      <c r="G73" s="477"/>
      <c r="H73" s="383"/>
      <c r="I73" s="471"/>
      <c r="J73" s="428"/>
      <c r="K73" s="428"/>
      <c r="L73" s="472"/>
      <c r="M73" s="478"/>
      <c r="N73" s="478"/>
      <c r="O73" s="376"/>
      <c r="P73" s="432"/>
      <c r="Q73" s="480"/>
      <c r="R73" s="481"/>
      <c r="Y73" s="482"/>
      <c r="Z73" s="401"/>
      <c r="AA73" s="390"/>
      <c r="AB73" s="402"/>
      <c r="AC73" s="390"/>
      <c r="AE73" s="390"/>
      <c r="AF73" s="483"/>
      <c r="AJ73" s="484"/>
      <c r="AK73" s="63"/>
    </row>
    <row r="74" spans="2:37" ht="15" customHeight="1">
      <c r="B74" s="465"/>
      <c r="C74" s="400"/>
      <c r="D74" s="477"/>
      <c r="E74" s="477"/>
      <c r="F74" s="477"/>
      <c r="G74" s="477"/>
      <c r="H74" s="383"/>
      <c r="I74" s="471"/>
      <c r="J74" s="428"/>
      <c r="K74" s="428"/>
      <c r="L74" s="472"/>
      <c r="M74" s="478"/>
      <c r="N74" s="478"/>
      <c r="O74" s="376"/>
      <c r="P74" s="432"/>
      <c r="Q74" s="480"/>
      <c r="R74" s="481"/>
      <c r="Y74" s="482"/>
      <c r="Z74" s="401"/>
      <c r="AA74" s="390"/>
      <c r="AB74" s="402"/>
      <c r="AC74" s="390"/>
      <c r="AE74" s="390"/>
      <c r="AF74" s="483"/>
      <c r="AJ74" s="484"/>
      <c r="AK74" s="63"/>
    </row>
    <row r="75" spans="2:37" ht="15" customHeight="1">
      <c r="B75" s="465"/>
      <c r="C75" s="400"/>
      <c r="D75" s="477"/>
      <c r="E75" s="477"/>
      <c r="F75" s="477"/>
      <c r="G75" s="477"/>
      <c r="H75" s="383"/>
      <c r="I75" s="471"/>
      <c r="J75" s="428"/>
      <c r="K75" s="428"/>
      <c r="L75" s="472"/>
      <c r="M75" s="478"/>
      <c r="N75" s="478"/>
      <c r="O75" s="376"/>
      <c r="P75" s="432"/>
      <c r="Q75" s="480"/>
      <c r="R75" s="481"/>
      <c r="Y75" s="482"/>
      <c r="Z75" s="401"/>
      <c r="AA75" s="390"/>
      <c r="AB75" s="402"/>
      <c r="AC75" s="390"/>
      <c r="AE75" s="390"/>
      <c r="AF75" s="483"/>
      <c r="AJ75" s="484"/>
      <c r="AK75" s="63"/>
    </row>
    <row r="76" spans="2:37" ht="15" customHeight="1">
      <c r="B76" s="476"/>
      <c r="C76" s="400"/>
      <c r="D76" s="477"/>
      <c r="E76" s="477"/>
      <c r="F76" s="477"/>
      <c r="G76" s="477"/>
      <c r="H76" s="383"/>
      <c r="I76" s="471"/>
      <c r="J76" s="428"/>
      <c r="K76" s="428"/>
      <c r="L76" s="472"/>
      <c r="M76" s="478"/>
      <c r="N76" s="478"/>
      <c r="O76" s="479"/>
      <c r="P76" s="432"/>
      <c r="Q76" s="480"/>
      <c r="R76" s="481"/>
      <c r="Y76" s="482"/>
      <c r="Z76" s="401"/>
      <c r="AA76" s="390"/>
      <c r="AB76" s="402"/>
      <c r="AC76" s="390"/>
      <c r="AE76" s="390"/>
      <c r="AF76" s="483"/>
      <c r="AJ76" s="484"/>
      <c r="AK76" s="63"/>
    </row>
    <row r="77" spans="2:37" ht="15" customHeight="1">
      <c r="B77" s="465"/>
      <c r="C77" s="400"/>
      <c r="D77" s="477"/>
      <c r="E77" s="477"/>
      <c r="F77" s="477"/>
      <c r="G77" s="477"/>
      <c r="H77" s="383"/>
      <c r="I77" s="471"/>
      <c r="J77" s="428"/>
      <c r="K77" s="428"/>
      <c r="L77" s="472"/>
      <c r="M77" s="478"/>
      <c r="N77" s="478"/>
      <c r="O77" s="376"/>
      <c r="P77" s="432"/>
      <c r="Q77" s="480"/>
      <c r="R77" s="481"/>
      <c r="Y77" s="482"/>
      <c r="Z77" s="401"/>
      <c r="AA77" s="390"/>
      <c r="AB77" s="402"/>
      <c r="AC77" s="390"/>
      <c r="AE77" s="390"/>
      <c r="AF77" s="483"/>
      <c r="AJ77" s="484"/>
      <c r="AK77" s="63"/>
    </row>
    <row r="78" spans="2:37" ht="15" customHeight="1">
      <c r="B78" s="465"/>
      <c r="C78" s="400"/>
      <c r="D78" s="477"/>
      <c r="E78" s="477"/>
      <c r="F78" s="477"/>
      <c r="G78" s="477"/>
      <c r="H78" s="383"/>
      <c r="I78" s="471"/>
      <c r="J78" s="428"/>
      <c r="K78" s="428"/>
      <c r="L78" s="472"/>
      <c r="M78" s="478"/>
      <c r="N78" s="478"/>
      <c r="O78" s="376"/>
      <c r="P78" s="432"/>
      <c r="Q78" s="480"/>
      <c r="R78" s="481"/>
      <c r="Y78" s="482"/>
      <c r="Z78" s="401"/>
      <c r="AA78" s="390"/>
      <c r="AB78" s="402"/>
      <c r="AC78" s="390"/>
      <c r="AE78" s="390"/>
      <c r="AF78" s="483"/>
      <c r="AJ78" s="484"/>
      <c r="AK78" s="63"/>
    </row>
    <row r="79" spans="2:37" ht="15" customHeight="1">
      <c r="B79" s="465"/>
      <c r="C79" s="400"/>
      <c r="D79" s="477"/>
      <c r="E79" s="477"/>
      <c r="F79" s="477"/>
      <c r="G79" s="477"/>
      <c r="H79" s="383"/>
      <c r="I79" s="471"/>
      <c r="J79" s="428"/>
      <c r="K79" s="428"/>
      <c r="L79" s="472"/>
      <c r="M79" s="478"/>
      <c r="N79" s="478"/>
      <c r="O79" s="376"/>
      <c r="P79" s="485"/>
      <c r="Q79" s="480"/>
      <c r="R79" s="481"/>
      <c r="Y79" s="482"/>
      <c r="Z79" s="401"/>
      <c r="AA79" s="390"/>
      <c r="AB79" s="402"/>
      <c r="AC79" s="390"/>
      <c r="AE79" s="390"/>
      <c r="AF79" s="483"/>
      <c r="AJ79" s="484"/>
      <c r="AK79" s="63"/>
    </row>
    <row r="80" spans="2:37" ht="15" customHeight="1">
      <c r="B80" s="476"/>
      <c r="C80" s="400"/>
      <c r="D80" s="477"/>
      <c r="E80" s="477"/>
      <c r="F80" s="477"/>
      <c r="G80" s="477"/>
      <c r="H80" s="383"/>
      <c r="I80" s="471"/>
      <c r="J80" s="428"/>
      <c r="K80" s="428"/>
      <c r="L80" s="472"/>
      <c r="M80" s="478"/>
      <c r="N80" s="478"/>
      <c r="O80" s="479"/>
      <c r="P80" s="485"/>
      <c r="Q80" s="480"/>
      <c r="R80" s="481"/>
      <c r="Y80" s="482"/>
      <c r="Z80" s="401"/>
      <c r="AA80" s="390"/>
      <c r="AB80" s="402"/>
      <c r="AC80" s="390"/>
      <c r="AE80" s="390"/>
      <c r="AF80" s="483"/>
      <c r="AJ80" s="484"/>
      <c r="AK80" s="63"/>
    </row>
    <row r="81" spans="2:37" ht="15" customHeight="1">
      <c r="B81" s="465"/>
      <c r="C81" s="400"/>
      <c r="D81" s="477"/>
      <c r="E81" s="477"/>
      <c r="F81" s="477"/>
      <c r="G81" s="477"/>
      <c r="H81" s="383"/>
      <c r="I81" s="471"/>
      <c r="J81" s="428"/>
      <c r="K81" s="428"/>
      <c r="L81" s="472"/>
      <c r="M81" s="478"/>
      <c r="N81" s="478"/>
      <c r="O81" s="376"/>
      <c r="P81" s="432"/>
      <c r="Q81" s="480"/>
      <c r="R81" s="481"/>
      <c r="Y81" s="482"/>
      <c r="Z81" s="401"/>
      <c r="AA81" s="390"/>
      <c r="AB81" s="402"/>
      <c r="AC81" s="390"/>
      <c r="AE81" s="390"/>
      <c r="AF81" s="483"/>
      <c r="AJ81" s="484"/>
      <c r="AK81" s="63"/>
    </row>
    <row r="82" spans="2:37" ht="15" customHeight="1">
      <c r="B82" s="465"/>
      <c r="C82" s="400"/>
      <c r="D82" s="477"/>
      <c r="E82" s="477"/>
      <c r="F82" s="477"/>
      <c r="G82" s="477"/>
      <c r="H82" s="383"/>
      <c r="I82" s="471"/>
      <c r="J82" s="428"/>
      <c r="K82" s="428"/>
      <c r="L82" s="472"/>
      <c r="M82" s="478"/>
      <c r="N82" s="478"/>
      <c r="O82" s="376"/>
      <c r="P82" s="485"/>
      <c r="Q82" s="480"/>
      <c r="R82" s="481"/>
      <c r="Y82" s="482"/>
      <c r="Z82" s="401"/>
      <c r="AA82" s="390"/>
      <c r="AB82" s="402"/>
      <c r="AC82" s="390"/>
      <c r="AE82" s="390"/>
      <c r="AF82" s="483"/>
      <c r="AJ82" s="484"/>
      <c r="AK82" s="63"/>
    </row>
    <row r="83" spans="2:37" ht="15" customHeight="1">
      <c r="B83" s="465"/>
      <c r="C83" s="400"/>
      <c r="D83" s="477"/>
      <c r="E83" s="477"/>
      <c r="F83" s="477"/>
      <c r="G83" s="477"/>
      <c r="H83" s="383"/>
      <c r="I83" s="471"/>
      <c r="J83" s="428"/>
      <c r="K83" s="428"/>
      <c r="L83" s="472"/>
      <c r="M83" s="478"/>
      <c r="N83" s="478"/>
      <c r="O83" s="376"/>
      <c r="P83" s="432"/>
      <c r="Q83" s="480"/>
      <c r="R83" s="481"/>
      <c r="Y83" s="482"/>
      <c r="Z83" s="401"/>
      <c r="AA83" s="390"/>
      <c r="AB83" s="402"/>
      <c r="AC83" s="390"/>
      <c r="AE83" s="390"/>
      <c r="AF83" s="483"/>
      <c r="AJ83" s="484"/>
      <c r="AK83" s="63"/>
    </row>
    <row r="84" spans="2:37" ht="15" customHeight="1">
      <c r="B84" s="465"/>
      <c r="C84" s="400"/>
      <c r="D84" s="477"/>
      <c r="E84" s="477"/>
      <c r="F84" s="477"/>
      <c r="G84" s="477"/>
      <c r="H84" s="383"/>
      <c r="I84" s="471"/>
      <c r="J84" s="428"/>
      <c r="K84" s="428"/>
      <c r="L84" s="472"/>
      <c r="M84" s="478"/>
      <c r="N84" s="478"/>
      <c r="O84" s="376"/>
      <c r="P84" s="432"/>
      <c r="Q84" s="480"/>
      <c r="R84" s="481"/>
      <c r="Y84" s="482"/>
      <c r="Z84" s="401"/>
      <c r="AA84" s="390"/>
      <c r="AB84" s="402"/>
      <c r="AC84" s="390"/>
      <c r="AE84" s="390"/>
      <c r="AF84" s="483"/>
      <c r="AJ84" s="484"/>
      <c r="AK84" s="63"/>
    </row>
    <row r="85" spans="2:37" ht="15" customHeight="1">
      <c r="B85" s="465"/>
      <c r="C85" s="400"/>
      <c r="D85" s="477"/>
      <c r="E85" s="477"/>
      <c r="F85" s="477"/>
      <c r="G85" s="477"/>
      <c r="H85" s="383"/>
      <c r="I85" s="471"/>
      <c r="J85" s="428"/>
      <c r="K85" s="428"/>
      <c r="L85" s="472"/>
      <c r="M85" s="478"/>
      <c r="N85" s="478"/>
      <c r="O85" s="376"/>
      <c r="P85" s="432"/>
      <c r="Q85" s="480"/>
      <c r="R85" s="481"/>
      <c r="Y85" s="482"/>
      <c r="Z85" s="401"/>
      <c r="AA85" s="390"/>
      <c r="AB85" s="402"/>
      <c r="AC85" s="390"/>
      <c r="AE85" s="390"/>
      <c r="AF85" s="483"/>
      <c r="AJ85" s="484"/>
      <c r="AK85" s="63"/>
    </row>
    <row r="86" spans="2:37" ht="15" customHeight="1">
      <c r="B86" s="465"/>
      <c r="C86" s="400"/>
      <c r="D86" s="477"/>
      <c r="E86" s="477"/>
      <c r="F86" s="477"/>
      <c r="G86" s="477"/>
      <c r="H86" s="383"/>
      <c r="I86" s="471"/>
      <c r="J86" s="428"/>
      <c r="K86" s="428"/>
      <c r="L86" s="472"/>
      <c r="M86" s="478"/>
      <c r="N86" s="478"/>
      <c r="O86" s="376"/>
      <c r="P86" s="432"/>
      <c r="Q86" s="480"/>
      <c r="R86" s="481"/>
      <c r="Y86" s="482"/>
      <c r="Z86" s="401"/>
      <c r="AA86" s="390"/>
      <c r="AB86" s="402"/>
      <c r="AC86" s="390"/>
      <c r="AE86" s="390"/>
      <c r="AF86" s="483"/>
      <c r="AJ86" s="484"/>
      <c r="AK86" s="63"/>
    </row>
    <row r="87" spans="2:37" s="1" customFormat="1" ht="15" customHeight="1">
      <c r="B87" s="465"/>
      <c r="C87" s="400"/>
      <c r="D87" s="477"/>
      <c r="E87" s="477"/>
      <c r="F87" s="477"/>
      <c r="G87" s="477"/>
      <c r="H87" s="383"/>
      <c r="I87" s="471"/>
      <c r="J87" s="428"/>
      <c r="K87" s="428"/>
      <c r="L87" s="472"/>
      <c r="M87" s="478"/>
      <c r="N87" s="478"/>
      <c r="O87" s="376"/>
      <c r="P87" s="432"/>
      <c r="Q87" s="480"/>
      <c r="R87" s="481"/>
      <c r="S87"/>
      <c r="T87"/>
      <c r="U87"/>
      <c r="V87"/>
      <c r="W87"/>
      <c r="X87"/>
      <c r="Y87" s="482"/>
      <c r="Z87" s="401"/>
      <c r="AA87" s="390"/>
      <c r="AB87" s="402"/>
      <c r="AC87" s="390"/>
      <c r="AD87"/>
      <c r="AE87" s="390"/>
      <c r="AF87" s="483"/>
      <c r="AG87"/>
      <c r="AJ87" s="484"/>
      <c r="AK87" s="63"/>
    </row>
    <row r="88" spans="2:37" ht="15" customHeight="1">
      <c r="B88" s="465"/>
      <c r="C88" s="400"/>
      <c r="D88" s="477"/>
      <c r="E88" s="477"/>
      <c r="F88" s="477"/>
      <c r="G88" s="477"/>
      <c r="H88" s="383"/>
      <c r="I88" s="471"/>
      <c r="J88" s="428"/>
      <c r="K88" s="428"/>
      <c r="L88" s="472"/>
      <c r="M88" s="478"/>
      <c r="N88" s="478"/>
      <c r="O88" s="376"/>
      <c r="P88" s="432"/>
      <c r="Q88" s="480"/>
      <c r="R88" s="481"/>
      <c r="Y88" s="482"/>
      <c r="Z88" s="401"/>
      <c r="AA88" s="390"/>
      <c r="AB88" s="402"/>
      <c r="AC88" s="390"/>
      <c r="AE88" s="390"/>
      <c r="AF88" s="483"/>
      <c r="AJ88" s="484"/>
      <c r="AK88" s="63"/>
    </row>
    <row r="89" spans="2:37" ht="15" customHeight="1">
      <c r="B89" s="465"/>
      <c r="C89" s="400"/>
      <c r="D89" s="477"/>
      <c r="E89" s="477"/>
      <c r="F89" s="477"/>
      <c r="G89" s="477"/>
      <c r="H89" s="383"/>
      <c r="I89" s="471"/>
      <c r="J89" s="428"/>
      <c r="K89" s="428"/>
      <c r="L89" s="472"/>
      <c r="M89" s="478"/>
      <c r="N89" s="478"/>
      <c r="O89" s="376"/>
      <c r="P89" s="485"/>
      <c r="Q89" s="480"/>
      <c r="R89" s="481"/>
      <c r="Y89" s="482"/>
      <c r="Z89" s="401"/>
      <c r="AA89" s="390"/>
      <c r="AB89" s="402"/>
      <c r="AC89" s="390"/>
      <c r="AE89" s="390"/>
      <c r="AF89" s="483"/>
      <c r="AJ89" s="484"/>
      <c r="AK89" s="63"/>
    </row>
    <row r="90" spans="2:37" ht="15" customHeight="1">
      <c r="B90" s="465"/>
      <c r="C90" s="400"/>
      <c r="D90" s="477"/>
      <c r="E90" s="477"/>
      <c r="F90" s="477"/>
      <c r="G90" s="477"/>
      <c r="H90" s="383"/>
      <c r="I90" s="471"/>
      <c r="J90" s="428"/>
      <c r="K90" s="428"/>
      <c r="L90" s="472"/>
      <c r="M90" s="478"/>
      <c r="N90" s="478"/>
      <c r="O90" s="376"/>
      <c r="P90" s="485"/>
      <c r="Q90" s="480"/>
      <c r="R90" s="481"/>
      <c r="Y90" s="482"/>
      <c r="Z90" s="401"/>
      <c r="AA90" s="390"/>
      <c r="AB90" s="402"/>
      <c r="AC90" s="390"/>
      <c r="AE90" s="390"/>
      <c r="AF90" s="483"/>
      <c r="AJ90" s="484"/>
      <c r="AK90" s="63"/>
    </row>
    <row r="91" spans="2:37" ht="15" customHeight="1">
      <c r="B91" s="465"/>
      <c r="C91" s="400"/>
      <c r="D91" s="477"/>
      <c r="E91" s="477"/>
      <c r="F91" s="477"/>
      <c r="G91" s="477"/>
      <c r="H91" s="383"/>
      <c r="I91" s="471"/>
      <c r="J91" s="428"/>
      <c r="K91" s="428"/>
      <c r="L91" s="472"/>
      <c r="M91" s="478"/>
      <c r="N91" s="478"/>
      <c r="O91" s="376"/>
      <c r="P91" s="432"/>
      <c r="Q91" s="480"/>
      <c r="R91" s="481"/>
      <c r="Y91" s="482"/>
      <c r="Z91" s="401"/>
      <c r="AA91" s="390"/>
      <c r="AB91" s="402"/>
      <c r="AC91" s="390"/>
      <c r="AE91" s="390"/>
      <c r="AF91" s="483"/>
      <c r="AJ91" s="484"/>
      <c r="AK91" s="63"/>
    </row>
    <row r="92" spans="2:37" ht="15" customHeight="1">
      <c r="B92" s="465"/>
      <c r="C92" s="400"/>
      <c r="D92" s="477"/>
      <c r="E92" s="477"/>
      <c r="F92" s="477"/>
      <c r="G92" s="477"/>
      <c r="H92" s="383"/>
      <c r="I92" s="471"/>
      <c r="J92" s="428"/>
      <c r="K92" s="428"/>
      <c r="L92" s="472"/>
      <c r="M92" s="478"/>
      <c r="N92" s="478"/>
      <c r="O92" s="376"/>
      <c r="P92" s="432"/>
      <c r="Q92" s="480"/>
      <c r="R92" s="481"/>
      <c r="Y92" s="482"/>
      <c r="Z92" s="401"/>
      <c r="AA92" s="390"/>
      <c r="AB92" s="402"/>
      <c r="AC92" s="390"/>
      <c r="AE92" s="390"/>
      <c r="AF92" s="483"/>
      <c r="AJ92" s="484"/>
      <c r="AK92" s="63"/>
    </row>
    <row r="93" spans="2:37" ht="15" customHeight="1">
      <c r="B93" s="465"/>
      <c r="C93" s="400"/>
      <c r="D93" s="477"/>
      <c r="E93" s="477"/>
      <c r="F93" s="477"/>
      <c r="G93" s="477"/>
      <c r="H93" s="383"/>
      <c r="I93" s="471"/>
      <c r="J93" s="428"/>
      <c r="K93" s="428"/>
      <c r="L93" s="472"/>
      <c r="M93" s="478"/>
      <c r="N93" s="478"/>
      <c r="O93" s="376"/>
      <c r="P93" s="485"/>
      <c r="Q93" s="480"/>
      <c r="R93" s="481"/>
      <c r="T93" s="1"/>
      <c r="U93" s="1"/>
      <c r="V93" s="1"/>
      <c r="Y93" s="482"/>
      <c r="Z93" s="401"/>
      <c r="AA93" s="390"/>
      <c r="AB93" s="402"/>
      <c r="AC93" s="390"/>
      <c r="AD93" s="1"/>
      <c r="AE93" s="390"/>
      <c r="AF93" s="483"/>
      <c r="AJ93" s="484"/>
      <c r="AK93" s="63"/>
    </row>
    <row r="94" spans="2:37" s="1" customFormat="1" ht="15" customHeight="1">
      <c r="B94" s="465"/>
      <c r="C94" s="400"/>
      <c r="D94" s="477"/>
      <c r="E94" s="477"/>
      <c r="F94" s="477"/>
      <c r="G94" s="477"/>
      <c r="H94" s="383"/>
      <c r="I94" s="471"/>
      <c r="J94" s="428"/>
      <c r="K94" s="428"/>
      <c r="L94" s="472"/>
      <c r="M94" s="478"/>
      <c r="N94" s="478"/>
      <c r="O94" s="376"/>
      <c r="P94" s="432"/>
      <c r="Q94" s="480"/>
      <c r="R94" s="481"/>
      <c r="S94"/>
      <c r="T94"/>
      <c r="U94"/>
      <c r="V94"/>
      <c r="W94"/>
      <c r="X94"/>
      <c r="Y94" s="482"/>
      <c r="Z94" s="401"/>
      <c r="AA94" s="390"/>
      <c r="AB94" s="402"/>
      <c r="AC94" s="390"/>
      <c r="AD94"/>
      <c r="AE94" s="390"/>
      <c r="AF94" s="483"/>
      <c r="AG94"/>
      <c r="AJ94" s="484"/>
      <c r="AK94" s="63"/>
    </row>
    <row r="95" spans="2:37" ht="15" customHeight="1">
      <c r="B95" s="476"/>
      <c r="C95" s="400"/>
      <c r="D95" s="477"/>
      <c r="E95" s="477"/>
      <c r="F95" s="477"/>
      <c r="G95" s="477"/>
      <c r="H95" s="383"/>
      <c r="I95" s="471"/>
      <c r="J95" s="428"/>
      <c r="K95" s="428"/>
      <c r="L95" s="472"/>
      <c r="M95" s="478"/>
      <c r="N95" s="478"/>
      <c r="O95" s="479"/>
      <c r="P95" s="432"/>
      <c r="Q95" s="480"/>
      <c r="R95" s="481"/>
      <c r="Y95" s="482"/>
      <c r="Z95" s="401"/>
      <c r="AA95" s="390"/>
      <c r="AB95" s="402"/>
      <c r="AC95" s="390"/>
      <c r="AE95" s="390"/>
      <c r="AF95" s="483"/>
      <c r="AJ95" s="484"/>
      <c r="AK95" s="63"/>
    </row>
    <row r="96" spans="2:37" ht="15" customHeight="1">
      <c r="B96" s="465"/>
      <c r="C96" s="400"/>
      <c r="D96" s="477"/>
      <c r="E96" s="477"/>
      <c r="F96" s="477"/>
      <c r="G96" s="477"/>
      <c r="H96" s="383"/>
      <c r="I96" s="471"/>
      <c r="J96" s="428"/>
      <c r="K96" s="428"/>
      <c r="L96" s="472"/>
      <c r="M96" s="478"/>
      <c r="N96" s="478"/>
      <c r="O96" s="376"/>
      <c r="P96" s="485"/>
      <c r="Q96" s="480"/>
      <c r="R96" s="481"/>
      <c r="Y96" s="482"/>
      <c r="Z96" s="401"/>
      <c r="AA96" s="390"/>
      <c r="AB96" s="402"/>
      <c r="AC96" s="390"/>
      <c r="AE96" s="390"/>
      <c r="AF96" s="483"/>
      <c r="AJ96" s="484"/>
      <c r="AK96" s="63"/>
    </row>
    <row r="97" spans="2:37" ht="15" customHeight="1">
      <c r="B97" s="465"/>
      <c r="C97" s="400"/>
      <c r="D97" s="477"/>
      <c r="E97" s="477"/>
      <c r="F97" s="477"/>
      <c r="G97" s="477"/>
      <c r="H97" s="383"/>
      <c r="I97" s="471"/>
      <c r="J97" s="428"/>
      <c r="K97" s="428"/>
      <c r="L97" s="472"/>
      <c r="M97" s="478"/>
      <c r="N97" s="478"/>
      <c r="O97" s="376"/>
      <c r="P97" s="485"/>
      <c r="Q97" s="480"/>
      <c r="R97" s="481"/>
      <c r="Y97" s="482"/>
      <c r="Z97" s="401"/>
      <c r="AA97" s="390"/>
      <c r="AB97" s="402"/>
      <c r="AC97" s="390"/>
      <c r="AE97" s="390"/>
      <c r="AF97" s="483"/>
      <c r="AJ97" s="484"/>
      <c r="AK97" s="63"/>
    </row>
    <row r="98" spans="2:37" ht="15" customHeight="1">
      <c r="B98" s="465"/>
      <c r="C98" s="400"/>
      <c r="D98" s="477"/>
      <c r="E98" s="477"/>
      <c r="F98" s="477"/>
      <c r="G98" s="477"/>
      <c r="H98" s="383"/>
      <c r="I98" s="471"/>
      <c r="J98" s="428"/>
      <c r="K98" s="428"/>
      <c r="L98" s="472"/>
      <c r="M98" s="478"/>
      <c r="N98" s="478"/>
      <c r="O98" s="376"/>
      <c r="P98" s="432"/>
      <c r="Q98" s="480"/>
      <c r="R98" s="481"/>
      <c r="Y98" s="482"/>
      <c r="Z98" s="401"/>
      <c r="AA98" s="390"/>
      <c r="AB98" s="402"/>
      <c r="AC98" s="390"/>
      <c r="AE98" s="390"/>
      <c r="AF98" s="483"/>
      <c r="AJ98" s="484"/>
      <c r="AK98" s="63"/>
    </row>
    <row r="99" spans="2:37" ht="15" customHeight="1">
      <c r="B99" s="465"/>
      <c r="C99" s="400"/>
      <c r="D99" s="477"/>
      <c r="E99" s="477"/>
      <c r="F99" s="477"/>
      <c r="G99" s="477"/>
      <c r="H99" s="383"/>
      <c r="I99" s="471"/>
      <c r="J99" s="428"/>
      <c r="K99" s="428"/>
      <c r="L99" s="472"/>
      <c r="M99" s="478"/>
      <c r="N99" s="478"/>
      <c r="O99" s="376"/>
      <c r="P99" s="432"/>
      <c r="Q99" s="480"/>
      <c r="R99" s="481"/>
      <c r="Y99" s="482"/>
      <c r="Z99" s="401"/>
      <c r="AA99" s="390"/>
      <c r="AB99" s="402"/>
      <c r="AC99" s="390"/>
      <c r="AE99" s="390"/>
      <c r="AF99" s="483"/>
      <c r="AJ99" s="484"/>
      <c r="AK99" s="63"/>
    </row>
    <row r="100" spans="2:37" ht="15" customHeight="1">
      <c r="B100" s="465"/>
      <c r="C100" s="400"/>
      <c r="D100" s="477"/>
      <c r="E100" s="477"/>
      <c r="F100" s="477"/>
      <c r="G100" s="477"/>
      <c r="H100" s="383"/>
      <c r="I100" s="471"/>
      <c r="J100" s="428"/>
      <c r="K100" s="428"/>
      <c r="L100" s="472"/>
      <c r="M100" s="478"/>
      <c r="N100" s="478"/>
      <c r="O100" s="376"/>
      <c r="P100" s="432"/>
      <c r="Q100" s="480"/>
      <c r="R100" s="481"/>
      <c r="Y100" s="482"/>
      <c r="Z100" s="401"/>
      <c r="AA100" s="390"/>
      <c r="AB100" s="402"/>
      <c r="AC100" s="390"/>
      <c r="AE100" s="390"/>
      <c r="AF100" s="483"/>
      <c r="AJ100" s="484"/>
      <c r="AK100" s="63"/>
    </row>
    <row r="101" spans="2:37" ht="15" customHeight="1">
      <c r="B101" s="465"/>
      <c r="C101" s="400"/>
      <c r="D101" s="477"/>
      <c r="E101" s="477"/>
      <c r="F101" s="477"/>
      <c r="G101" s="477"/>
      <c r="H101" s="383"/>
      <c r="I101" s="471"/>
      <c r="J101" s="428"/>
      <c r="K101" s="428"/>
      <c r="L101" s="472"/>
      <c r="M101" s="478"/>
      <c r="N101" s="478"/>
      <c r="O101" s="376"/>
      <c r="P101" s="432"/>
      <c r="Q101" s="480"/>
      <c r="R101" s="481"/>
      <c r="Y101" s="482"/>
      <c r="Z101" s="401"/>
      <c r="AA101" s="390"/>
      <c r="AB101" s="402"/>
      <c r="AC101" s="390"/>
      <c r="AE101" s="390"/>
      <c r="AF101" s="483"/>
      <c r="AJ101" s="484"/>
      <c r="AK101" s="63"/>
    </row>
    <row r="102" spans="2:37" ht="15" customHeight="1">
      <c r="B102" s="465"/>
      <c r="C102" s="400"/>
      <c r="D102" s="477"/>
      <c r="E102" s="477"/>
      <c r="F102" s="477"/>
      <c r="G102" s="477"/>
      <c r="H102" s="383"/>
      <c r="I102" s="471"/>
      <c r="J102" s="428"/>
      <c r="K102" s="428"/>
      <c r="L102" s="472"/>
      <c r="M102" s="478"/>
      <c r="N102" s="478"/>
      <c r="O102" s="376"/>
      <c r="P102" s="485"/>
      <c r="Q102" s="480"/>
      <c r="R102" s="481"/>
      <c r="Y102" s="482"/>
      <c r="Z102" s="401"/>
      <c r="AA102" s="390"/>
      <c r="AB102" s="402"/>
      <c r="AC102" s="390"/>
      <c r="AE102" s="390"/>
      <c r="AF102" s="483"/>
      <c r="AH102" s="1"/>
      <c r="AJ102" s="484"/>
      <c r="AK102" s="63"/>
    </row>
    <row r="103" spans="2:37" ht="15" customHeight="1">
      <c r="B103" s="465"/>
      <c r="C103" s="400"/>
      <c r="D103" s="477"/>
      <c r="E103" s="477"/>
      <c r="F103" s="477"/>
      <c r="G103" s="477"/>
      <c r="H103" s="383"/>
      <c r="I103" s="471"/>
      <c r="J103" s="428"/>
      <c r="K103" s="428"/>
      <c r="L103" s="472"/>
      <c r="M103" s="478"/>
      <c r="N103" s="478"/>
      <c r="O103" s="376"/>
      <c r="P103" s="432"/>
      <c r="Q103" s="480"/>
      <c r="R103" s="481"/>
      <c r="Y103" s="482"/>
      <c r="Z103" s="401"/>
      <c r="AA103" s="390"/>
      <c r="AB103" s="402"/>
      <c r="AC103" s="390"/>
      <c r="AE103" s="390"/>
      <c r="AF103" s="483"/>
      <c r="AJ103" s="484"/>
      <c r="AK103" s="63"/>
    </row>
    <row r="104" spans="2:37" s="1" customFormat="1" ht="15" customHeight="1">
      <c r="B104" s="465"/>
      <c r="C104" s="400"/>
      <c r="D104" s="477"/>
      <c r="E104" s="477"/>
      <c r="F104" s="477"/>
      <c r="G104" s="477"/>
      <c r="H104" s="383"/>
      <c r="I104" s="471"/>
      <c r="J104" s="428"/>
      <c r="K104" s="428"/>
      <c r="L104" s="472"/>
      <c r="M104" s="478"/>
      <c r="N104" s="478"/>
      <c r="O104" s="376"/>
      <c r="P104" s="432"/>
      <c r="Q104" s="480"/>
      <c r="R104" s="481"/>
      <c r="S104"/>
      <c r="T104"/>
      <c r="U104"/>
      <c r="V104"/>
      <c r="W104"/>
      <c r="X104"/>
      <c r="Y104" s="482"/>
      <c r="Z104" s="401"/>
      <c r="AA104" s="390"/>
      <c r="AB104" s="402"/>
      <c r="AC104" s="390"/>
      <c r="AD104"/>
      <c r="AE104" s="390"/>
      <c r="AF104" s="483"/>
      <c r="AG104"/>
      <c r="AH104"/>
      <c r="AJ104" s="484"/>
      <c r="AK104" s="63"/>
    </row>
    <row r="105" spans="2:37" ht="15" customHeight="1">
      <c r="B105" s="465"/>
      <c r="C105" s="400"/>
      <c r="D105" s="477"/>
      <c r="E105" s="477"/>
      <c r="F105" s="477"/>
      <c r="G105" s="477"/>
      <c r="H105" s="383"/>
      <c r="I105" s="471"/>
      <c r="J105" s="428"/>
      <c r="K105" s="428"/>
      <c r="L105" s="472"/>
      <c r="M105" s="478"/>
      <c r="N105" s="478"/>
      <c r="O105" s="376"/>
      <c r="P105" s="432"/>
      <c r="Q105" s="480"/>
      <c r="R105" s="481"/>
      <c r="Y105" s="482"/>
      <c r="Z105" s="401"/>
      <c r="AA105" s="390"/>
      <c r="AB105" s="402"/>
      <c r="AC105" s="390"/>
      <c r="AE105" s="390"/>
      <c r="AF105" s="483"/>
      <c r="AH105" s="1"/>
      <c r="AJ105" s="484"/>
      <c r="AK105" s="63"/>
    </row>
    <row r="106" spans="2:37" ht="15" customHeight="1">
      <c r="B106" s="465"/>
      <c r="C106" s="400"/>
      <c r="D106" s="477"/>
      <c r="E106" s="477"/>
      <c r="F106" s="477"/>
      <c r="G106" s="477"/>
      <c r="H106" s="383"/>
      <c r="I106" s="471"/>
      <c r="J106" s="428"/>
      <c r="K106" s="428"/>
      <c r="L106" s="472"/>
      <c r="M106" s="478"/>
      <c r="N106" s="478"/>
      <c r="O106" s="376"/>
      <c r="P106" s="485"/>
      <c r="Q106" s="480"/>
      <c r="R106" s="481"/>
      <c r="Y106" s="482"/>
      <c r="Z106" s="401"/>
      <c r="AA106" s="390"/>
      <c r="AB106" s="402"/>
      <c r="AC106" s="390"/>
      <c r="AE106" s="390"/>
      <c r="AF106" s="483"/>
      <c r="AJ106" s="484"/>
      <c r="AK106" s="63"/>
    </row>
    <row r="107" spans="2:37" s="1" customFormat="1" ht="15" customHeight="1">
      <c r="B107" s="465"/>
      <c r="C107" s="400"/>
      <c r="D107" s="477"/>
      <c r="E107" s="477"/>
      <c r="F107" s="477"/>
      <c r="G107" s="477"/>
      <c r="H107" s="383"/>
      <c r="I107" s="471"/>
      <c r="J107" s="428"/>
      <c r="K107" s="428"/>
      <c r="L107" s="472"/>
      <c r="M107" s="478"/>
      <c r="N107" s="478"/>
      <c r="O107" s="376"/>
      <c r="P107" s="432"/>
      <c r="Q107" s="480"/>
      <c r="R107" s="481"/>
      <c r="S107"/>
      <c r="T107"/>
      <c r="U107"/>
      <c r="V107"/>
      <c r="W107"/>
      <c r="X107"/>
      <c r="Y107" s="482"/>
      <c r="Z107" s="401"/>
      <c r="AA107" s="390"/>
      <c r="AB107" s="402"/>
      <c r="AC107" s="390"/>
      <c r="AD107"/>
      <c r="AE107" s="390"/>
      <c r="AF107" s="483"/>
      <c r="AG107"/>
      <c r="AH107"/>
      <c r="AJ107" s="484"/>
      <c r="AK107" s="63"/>
    </row>
    <row r="108" spans="2:37" ht="15" customHeight="1">
      <c r="B108" s="465"/>
      <c r="C108" s="400"/>
      <c r="D108" s="477"/>
      <c r="E108" s="477"/>
      <c r="F108" s="477"/>
      <c r="G108" s="477"/>
      <c r="H108" s="383"/>
      <c r="I108" s="471"/>
      <c r="J108" s="428"/>
      <c r="K108" s="428"/>
      <c r="L108" s="472"/>
      <c r="M108" s="478"/>
      <c r="N108" s="478"/>
      <c r="O108" s="376"/>
      <c r="P108" s="432"/>
      <c r="Q108" s="480"/>
      <c r="R108" s="481"/>
      <c r="T108" s="1"/>
      <c r="U108" s="1"/>
      <c r="V108" s="1"/>
      <c r="Y108" s="482"/>
      <c r="Z108" s="401"/>
      <c r="AA108" s="390"/>
      <c r="AB108" s="402"/>
      <c r="AC108" s="390"/>
      <c r="AD108" s="1"/>
      <c r="AE108" s="390"/>
      <c r="AF108" s="483"/>
      <c r="AJ108" s="484"/>
      <c r="AK108" s="63"/>
    </row>
    <row r="109" spans="2:37" ht="15" customHeight="1">
      <c r="B109" s="465"/>
      <c r="C109" s="400"/>
      <c r="D109" s="477"/>
      <c r="E109" s="477"/>
      <c r="F109" s="477"/>
      <c r="G109" s="477"/>
      <c r="H109" s="383"/>
      <c r="I109" s="471"/>
      <c r="J109" s="428"/>
      <c r="K109" s="428"/>
      <c r="L109" s="472"/>
      <c r="M109" s="478"/>
      <c r="N109" s="478"/>
      <c r="O109" s="376"/>
      <c r="P109" s="432"/>
      <c r="Q109" s="480"/>
      <c r="R109" s="481"/>
      <c r="Y109" s="482"/>
      <c r="Z109" s="401"/>
      <c r="AA109" s="390"/>
      <c r="AB109" s="402"/>
      <c r="AC109" s="390"/>
      <c r="AE109" s="390"/>
      <c r="AF109" s="483"/>
      <c r="AH109" s="403"/>
      <c r="AJ109" s="484"/>
      <c r="AK109" s="63"/>
    </row>
    <row r="110" spans="2:37" ht="15" customHeight="1">
      <c r="B110" s="465"/>
      <c r="C110" s="400"/>
      <c r="D110" s="477"/>
      <c r="E110" s="477"/>
      <c r="F110" s="477"/>
      <c r="G110" s="477"/>
      <c r="H110" s="383"/>
      <c r="I110" s="471"/>
      <c r="J110" s="428"/>
      <c r="K110" s="428"/>
      <c r="L110" s="472"/>
      <c r="M110" s="478"/>
      <c r="N110" s="478"/>
      <c r="O110" s="376"/>
      <c r="P110" s="432"/>
      <c r="Q110" s="480"/>
      <c r="R110" s="481"/>
      <c r="Y110" s="482"/>
      <c r="Z110" s="401"/>
      <c r="AA110" s="390"/>
      <c r="AB110" s="402"/>
      <c r="AC110" s="390"/>
      <c r="AE110" s="390"/>
      <c r="AF110" s="483"/>
      <c r="AJ110" s="484"/>
      <c r="AK110" s="63"/>
    </row>
    <row r="111" spans="2:37" s="403" customFormat="1" ht="15" customHeight="1">
      <c r="B111" s="465"/>
      <c r="C111" s="400"/>
      <c r="D111" s="477"/>
      <c r="E111" s="477"/>
      <c r="F111" s="477"/>
      <c r="G111" s="477"/>
      <c r="H111" s="383"/>
      <c r="I111" s="471"/>
      <c r="J111" s="428"/>
      <c r="K111" s="428"/>
      <c r="L111" s="472"/>
      <c r="M111" s="478"/>
      <c r="N111" s="478"/>
      <c r="O111" s="376"/>
      <c r="P111" s="485"/>
      <c r="Q111" s="480"/>
      <c r="R111" s="481"/>
      <c r="S111"/>
      <c r="T111" s="1"/>
      <c r="U111" s="1"/>
      <c r="V111" s="1"/>
      <c r="W111"/>
      <c r="X111"/>
      <c r="Y111" s="482"/>
      <c r="Z111" s="401"/>
      <c r="AA111" s="390"/>
      <c r="AB111" s="402"/>
      <c r="AC111" s="390"/>
      <c r="AD111" s="1"/>
      <c r="AE111" s="390"/>
      <c r="AF111" s="483"/>
      <c r="AG111"/>
      <c r="AH111" s="1"/>
      <c r="AJ111" s="484"/>
      <c r="AK111" s="63"/>
    </row>
    <row r="112" spans="2:37" ht="15" customHeight="1">
      <c r="B112" s="476"/>
      <c r="C112" s="400"/>
      <c r="D112" s="477"/>
      <c r="E112" s="477"/>
      <c r="F112" s="477"/>
      <c r="G112" s="477"/>
      <c r="H112" s="383"/>
      <c r="I112" s="471"/>
      <c r="J112" s="428"/>
      <c r="K112" s="428"/>
      <c r="L112" s="472"/>
      <c r="M112" s="478"/>
      <c r="N112" s="478"/>
      <c r="O112" s="479"/>
      <c r="P112" s="485"/>
      <c r="Q112" s="480"/>
      <c r="R112" s="481"/>
      <c r="Y112" s="482"/>
      <c r="Z112" s="401"/>
      <c r="AA112" s="390"/>
      <c r="AB112" s="402"/>
      <c r="AC112" s="390"/>
      <c r="AE112" s="390"/>
      <c r="AF112" s="483"/>
      <c r="AJ112" s="484"/>
      <c r="AK112" s="63"/>
    </row>
    <row r="113" spans="2:37" s="1" customFormat="1" ht="15" customHeight="1">
      <c r="B113" s="465"/>
      <c r="C113" s="400"/>
      <c r="D113" s="477"/>
      <c r="E113" s="477"/>
      <c r="F113" s="477"/>
      <c r="G113" s="477"/>
      <c r="H113" s="383"/>
      <c r="I113" s="471"/>
      <c r="J113" s="428"/>
      <c r="K113" s="428"/>
      <c r="L113" s="472"/>
      <c r="M113" s="478"/>
      <c r="N113" s="478"/>
      <c r="O113" s="376"/>
      <c r="P113" s="432"/>
      <c r="Q113" s="480"/>
      <c r="R113" s="481"/>
      <c r="S113"/>
      <c r="T113"/>
      <c r="U113"/>
      <c r="V113"/>
      <c r="W113"/>
      <c r="X113"/>
      <c r="Y113" s="482"/>
      <c r="Z113" s="401"/>
      <c r="AA113" s="390"/>
      <c r="AB113" s="402"/>
      <c r="AC113" s="390"/>
      <c r="AD113"/>
      <c r="AE113" s="390"/>
      <c r="AF113" s="483"/>
      <c r="AG113"/>
      <c r="AH113"/>
      <c r="AJ113" s="484"/>
      <c r="AK113" s="63"/>
    </row>
    <row r="114" spans="2:37" ht="15" customHeight="1">
      <c r="B114" s="465"/>
      <c r="C114" s="400"/>
      <c r="D114" s="477"/>
      <c r="E114" s="477"/>
      <c r="F114" s="477"/>
      <c r="G114" s="477"/>
      <c r="H114" s="383"/>
      <c r="I114" s="471"/>
      <c r="J114" s="428"/>
      <c r="K114" s="428"/>
      <c r="L114" s="472"/>
      <c r="M114" s="478"/>
      <c r="N114" s="478"/>
      <c r="O114" s="376"/>
      <c r="P114" s="432"/>
      <c r="Q114" s="480"/>
      <c r="R114" s="481"/>
      <c r="Y114" s="482"/>
      <c r="Z114" s="401"/>
      <c r="AA114" s="390"/>
      <c r="AB114" s="402"/>
      <c r="AC114" s="390"/>
      <c r="AE114" s="390"/>
      <c r="AF114" s="483"/>
      <c r="AJ114" s="484"/>
      <c r="AK114" s="63"/>
    </row>
    <row r="115" spans="2:37" ht="15" customHeight="1">
      <c r="B115" s="465"/>
      <c r="C115" s="400"/>
      <c r="D115" s="477"/>
      <c r="E115" s="477"/>
      <c r="F115" s="477"/>
      <c r="G115" s="477"/>
      <c r="H115" s="383"/>
      <c r="I115" s="471"/>
      <c r="J115" s="428"/>
      <c r="K115" s="428"/>
      <c r="L115" s="472"/>
      <c r="M115" s="478"/>
      <c r="N115" s="478"/>
      <c r="O115" s="376"/>
      <c r="P115" s="432"/>
      <c r="Q115" s="480"/>
      <c r="R115" s="481"/>
      <c r="T115" s="403"/>
      <c r="U115" s="403"/>
      <c r="V115" s="403"/>
      <c r="Y115" s="482"/>
      <c r="Z115" s="401"/>
      <c r="AA115" s="390"/>
      <c r="AB115" s="402"/>
      <c r="AC115" s="390"/>
      <c r="AD115" s="403"/>
      <c r="AE115" s="390"/>
      <c r="AF115" s="483"/>
      <c r="AJ115" s="484"/>
      <c r="AK115" s="63"/>
    </row>
    <row r="116" spans="2:37" ht="15" customHeight="1">
      <c r="B116" s="465"/>
      <c r="C116" s="400"/>
      <c r="D116" s="477"/>
      <c r="E116" s="477"/>
      <c r="F116" s="477"/>
      <c r="G116" s="477"/>
      <c r="H116" s="383"/>
      <c r="I116" s="471"/>
      <c r="J116" s="428"/>
      <c r="K116" s="428"/>
      <c r="L116" s="472"/>
      <c r="M116" s="478"/>
      <c r="N116" s="478"/>
      <c r="O116" s="376"/>
      <c r="P116" s="432"/>
      <c r="Q116" s="480"/>
      <c r="R116" s="481"/>
      <c r="Y116" s="482"/>
      <c r="Z116" s="401"/>
      <c r="AA116" s="390"/>
      <c r="AB116" s="402"/>
      <c r="AC116" s="390"/>
      <c r="AE116" s="390"/>
      <c r="AF116" s="483"/>
      <c r="AJ116" s="484"/>
      <c r="AK116" s="63"/>
    </row>
    <row r="117" spans="2:37" ht="15" customHeight="1">
      <c r="B117" s="465"/>
      <c r="C117" s="400"/>
      <c r="D117" s="477"/>
      <c r="E117" s="477"/>
      <c r="F117" s="477"/>
      <c r="G117" s="477"/>
      <c r="H117" s="383"/>
      <c r="I117" s="471"/>
      <c r="J117" s="428"/>
      <c r="K117" s="428"/>
      <c r="L117" s="472"/>
      <c r="M117" s="478"/>
      <c r="N117" s="478"/>
      <c r="O117" s="376"/>
      <c r="P117" s="432"/>
      <c r="Q117" s="480"/>
      <c r="R117" s="481"/>
      <c r="T117" s="1"/>
      <c r="U117" s="1"/>
      <c r="V117" s="1"/>
      <c r="Y117" s="482"/>
      <c r="Z117" s="401"/>
      <c r="AA117" s="390"/>
      <c r="AB117" s="402"/>
      <c r="AC117" s="390"/>
      <c r="AD117" s="1"/>
      <c r="AE117" s="390"/>
      <c r="AF117" s="483"/>
      <c r="AJ117" s="484"/>
      <c r="AK117" s="63"/>
    </row>
    <row r="118" spans="2:37" ht="15" customHeight="1">
      <c r="B118" s="465"/>
      <c r="C118" s="400"/>
      <c r="D118" s="477"/>
      <c r="E118" s="477"/>
      <c r="F118" s="477"/>
      <c r="G118" s="477"/>
      <c r="H118" s="383"/>
      <c r="I118" s="471"/>
      <c r="J118" s="428"/>
      <c r="K118" s="428"/>
      <c r="L118" s="472"/>
      <c r="M118" s="478"/>
      <c r="N118" s="478"/>
      <c r="O118" s="376"/>
      <c r="P118" s="432"/>
      <c r="Q118" s="480"/>
      <c r="R118" s="481"/>
      <c r="Y118" s="482"/>
      <c r="Z118" s="401"/>
      <c r="AA118" s="390"/>
      <c r="AB118" s="402"/>
      <c r="AC118" s="390"/>
      <c r="AE118" s="390"/>
      <c r="AF118" s="483"/>
      <c r="AJ118" s="484"/>
      <c r="AK118" s="63"/>
    </row>
    <row r="119" spans="2:37" ht="15" customHeight="1">
      <c r="B119" s="476"/>
      <c r="C119" s="400"/>
      <c r="D119" s="477"/>
      <c r="E119" s="477"/>
      <c r="F119" s="477"/>
      <c r="G119" s="477"/>
      <c r="H119" s="383"/>
      <c r="I119" s="471"/>
      <c r="J119" s="428"/>
      <c r="K119" s="428"/>
      <c r="L119" s="472"/>
      <c r="M119" s="478"/>
      <c r="N119" s="478"/>
      <c r="O119" s="479"/>
      <c r="P119" s="432"/>
      <c r="Q119" s="480"/>
      <c r="R119" s="481"/>
      <c r="Y119" s="482"/>
      <c r="Z119" s="401"/>
      <c r="AA119" s="390"/>
      <c r="AB119" s="402"/>
      <c r="AC119" s="390"/>
      <c r="AE119" s="390"/>
      <c r="AF119" s="483"/>
      <c r="AJ119" s="484"/>
      <c r="AK119" s="63"/>
    </row>
    <row r="120" spans="2:37" ht="15" customHeight="1">
      <c r="B120" s="465"/>
      <c r="C120" s="400"/>
      <c r="D120" s="477"/>
      <c r="E120" s="477"/>
      <c r="F120" s="477"/>
      <c r="G120" s="477"/>
      <c r="H120" s="383"/>
      <c r="I120" s="471"/>
      <c r="J120" s="428"/>
      <c r="K120" s="428"/>
      <c r="L120" s="472"/>
      <c r="M120" s="478"/>
      <c r="N120" s="478"/>
      <c r="O120" s="376"/>
      <c r="P120" s="485"/>
      <c r="Q120" s="480"/>
      <c r="R120" s="481"/>
      <c r="Y120" s="482"/>
      <c r="Z120" s="401"/>
      <c r="AA120" s="390"/>
      <c r="AB120" s="402"/>
      <c r="AC120" s="390"/>
      <c r="AE120" s="390"/>
      <c r="AF120" s="483"/>
      <c r="AJ120" s="484"/>
      <c r="AK120" s="63"/>
    </row>
    <row r="121" spans="2:37" ht="15" customHeight="1">
      <c r="B121" s="465"/>
      <c r="C121" s="400"/>
      <c r="D121" s="477"/>
      <c r="E121" s="477"/>
      <c r="F121" s="477"/>
      <c r="G121" s="477"/>
      <c r="H121" s="383"/>
      <c r="I121" s="471"/>
      <c r="J121" s="428"/>
      <c r="K121" s="428"/>
      <c r="L121" s="472"/>
      <c r="M121" s="478"/>
      <c r="N121" s="478"/>
      <c r="O121" s="376"/>
      <c r="P121" s="485"/>
      <c r="Q121" s="480"/>
      <c r="R121" s="481"/>
      <c r="Y121" s="482"/>
      <c r="Z121" s="401"/>
      <c r="AA121" s="390"/>
      <c r="AB121" s="402"/>
      <c r="AC121" s="390"/>
      <c r="AE121" s="390"/>
      <c r="AF121" s="483"/>
      <c r="AJ121" s="484"/>
      <c r="AK121" s="63"/>
    </row>
    <row r="122" spans="2:37" ht="15" customHeight="1">
      <c r="B122" s="465"/>
      <c r="C122" s="400"/>
      <c r="D122" s="477"/>
      <c r="E122" s="477"/>
      <c r="F122" s="477"/>
      <c r="G122" s="477"/>
      <c r="H122" s="383"/>
      <c r="I122" s="471"/>
      <c r="J122" s="428"/>
      <c r="K122" s="428"/>
      <c r="L122" s="472"/>
      <c r="M122" s="478"/>
      <c r="N122" s="478"/>
      <c r="O122" s="376"/>
      <c r="P122" s="432"/>
      <c r="Q122" s="480"/>
      <c r="R122" s="481"/>
      <c r="Y122" s="482"/>
      <c r="Z122" s="401"/>
      <c r="AA122" s="390"/>
      <c r="AB122" s="402"/>
      <c r="AC122" s="390"/>
      <c r="AE122" s="390"/>
      <c r="AF122" s="483"/>
      <c r="AJ122" s="484"/>
      <c r="AK122" s="63"/>
    </row>
    <row r="123" spans="2:37" ht="15" customHeight="1">
      <c r="B123" s="465"/>
      <c r="C123" s="400"/>
      <c r="D123" s="477"/>
      <c r="E123" s="477"/>
      <c r="F123" s="477"/>
      <c r="G123" s="477"/>
      <c r="H123" s="383"/>
      <c r="I123" s="471"/>
      <c r="J123" s="428"/>
      <c r="K123" s="428"/>
      <c r="L123" s="472"/>
      <c r="M123" s="478"/>
      <c r="N123" s="478"/>
      <c r="O123" s="376"/>
      <c r="P123" s="432"/>
      <c r="Q123" s="480"/>
      <c r="R123" s="481"/>
      <c r="Y123" s="482"/>
      <c r="Z123" s="401"/>
      <c r="AA123" s="390"/>
      <c r="AB123" s="402"/>
      <c r="AC123" s="390"/>
      <c r="AE123" s="390"/>
      <c r="AF123" s="483"/>
      <c r="AJ123" s="484"/>
      <c r="AK123" s="63"/>
    </row>
    <row r="124" spans="2:37" ht="15" customHeight="1">
      <c r="B124" s="465"/>
      <c r="C124" s="400"/>
      <c r="D124" s="477"/>
      <c r="E124" s="477"/>
      <c r="F124" s="477"/>
      <c r="G124" s="477"/>
      <c r="H124" s="383"/>
      <c r="I124" s="471"/>
      <c r="J124" s="428"/>
      <c r="K124" s="428"/>
      <c r="L124" s="472"/>
      <c r="M124" s="478"/>
      <c r="N124" s="478"/>
      <c r="O124" s="376"/>
      <c r="P124" s="432"/>
      <c r="Q124" s="480"/>
      <c r="R124" s="481"/>
      <c r="Y124" s="482"/>
      <c r="Z124" s="401"/>
      <c r="AA124" s="390"/>
      <c r="AB124" s="402"/>
      <c r="AC124" s="390"/>
      <c r="AD124" s="390"/>
      <c r="AE124" s="390"/>
      <c r="AF124" s="483"/>
      <c r="AJ124" s="484"/>
      <c r="AK124" s="63"/>
    </row>
    <row r="125" spans="2:37" ht="15" customHeight="1">
      <c r="B125" s="465"/>
      <c r="C125" s="400"/>
      <c r="D125" s="477"/>
      <c r="E125" s="477"/>
      <c r="F125" s="477"/>
      <c r="G125" s="477"/>
      <c r="H125" s="383"/>
      <c r="I125" s="471"/>
      <c r="J125" s="428"/>
      <c r="K125" s="428"/>
      <c r="L125" s="472"/>
      <c r="M125" s="478"/>
      <c r="N125" s="478"/>
      <c r="O125" s="376"/>
      <c r="P125" s="432"/>
      <c r="Q125" s="480"/>
      <c r="R125" s="481"/>
      <c r="Y125" s="482"/>
      <c r="Z125" s="401"/>
      <c r="AA125" s="390"/>
      <c r="AB125" s="402"/>
      <c r="AC125" s="390"/>
      <c r="AE125" s="390"/>
      <c r="AF125" s="483"/>
      <c r="AJ125" s="484"/>
      <c r="AK125" s="63"/>
    </row>
    <row r="126" spans="2:37" ht="15" customHeight="1">
      <c r="B126" s="476"/>
      <c r="C126" s="400"/>
      <c r="D126" s="477"/>
      <c r="E126" s="477"/>
      <c r="F126" s="477"/>
      <c r="G126" s="477"/>
      <c r="H126" s="383"/>
      <c r="I126" s="471"/>
      <c r="J126" s="428"/>
      <c r="K126" s="428"/>
      <c r="L126" s="472"/>
      <c r="M126" s="478"/>
      <c r="N126" s="478"/>
      <c r="O126" s="479"/>
      <c r="P126" s="432"/>
      <c r="Q126" s="480"/>
      <c r="R126" s="481"/>
      <c r="Y126" s="482"/>
      <c r="Z126" s="401"/>
      <c r="AA126" s="390"/>
      <c r="AB126" s="402"/>
      <c r="AC126" s="390"/>
      <c r="AE126" s="390"/>
      <c r="AF126" s="483"/>
      <c r="AH126" s="1"/>
      <c r="AJ126" s="484"/>
      <c r="AK126" s="63"/>
    </row>
    <row r="127" spans="2:37" ht="15" customHeight="1">
      <c r="B127" s="465"/>
      <c r="C127" s="400"/>
      <c r="D127" s="477"/>
      <c r="E127" s="477"/>
      <c r="F127" s="477"/>
      <c r="G127" s="477"/>
      <c r="H127" s="383"/>
      <c r="I127" s="471"/>
      <c r="J127" s="428"/>
      <c r="K127" s="428"/>
      <c r="L127" s="472"/>
      <c r="M127" s="478"/>
      <c r="N127" s="478"/>
      <c r="O127" s="376"/>
      <c r="P127" s="485"/>
      <c r="Q127" s="480"/>
      <c r="R127" s="481"/>
      <c r="Y127" s="482"/>
      <c r="Z127" s="401"/>
      <c r="AA127" s="390"/>
      <c r="AB127" s="402"/>
      <c r="AC127" s="390"/>
      <c r="AE127" s="390"/>
      <c r="AF127" s="483"/>
      <c r="AJ127" s="484"/>
      <c r="AK127" s="63"/>
    </row>
    <row r="128" spans="2:37" s="1" customFormat="1" ht="15" customHeight="1">
      <c r="B128" s="465"/>
      <c r="C128" s="400"/>
      <c r="D128" s="477"/>
      <c r="E128" s="477"/>
      <c r="F128" s="477"/>
      <c r="G128" s="477"/>
      <c r="H128" s="383"/>
      <c r="I128" s="471"/>
      <c r="J128" s="428"/>
      <c r="K128" s="428"/>
      <c r="L128" s="472"/>
      <c r="M128" s="478"/>
      <c r="N128" s="478"/>
      <c r="O128" s="376"/>
      <c r="P128" s="432"/>
      <c r="Q128" s="480"/>
      <c r="R128" s="481"/>
      <c r="S128"/>
      <c r="T128"/>
      <c r="U128"/>
      <c r="V128"/>
      <c r="W128"/>
      <c r="X128"/>
      <c r="Y128" s="482"/>
      <c r="Z128" s="401"/>
      <c r="AA128" s="390"/>
      <c r="AB128" s="402"/>
      <c r="AC128" s="390"/>
      <c r="AD128"/>
      <c r="AE128" s="390"/>
      <c r="AF128" s="483"/>
      <c r="AG128"/>
      <c r="AH128"/>
      <c r="AJ128" s="484"/>
      <c r="AK128" s="63"/>
    </row>
    <row r="129" spans="2:37" ht="15" customHeight="1">
      <c r="B129" s="465"/>
      <c r="C129" s="400"/>
      <c r="D129" s="477"/>
      <c r="E129" s="477"/>
      <c r="F129" s="477"/>
      <c r="G129" s="477"/>
      <c r="H129" s="383"/>
      <c r="I129" s="471"/>
      <c r="J129" s="428"/>
      <c r="K129" s="428"/>
      <c r="L129" s="472"/>
      <c r="M129" s="478"/>
      <c r="N129" s="478"/>
      <c r="O129" s="376"/>
      <c r="P129" s="432"/>
      <c r="Q129" s="480"/>
      <c r="R129" s="481"/>
      <c r="Y129" s="482"/>
      <c r="Z129" s="401"/>
      <c r="AA129" s="390"/>
      <c r="AB129" s="402"/>
      <c r="AC129" s="390"/>
      <c r="AE129" s="390"/>
      <c r="AF129" s="483"/>
      <c r="AH129" s="1"/>
      <c r="AJ129" s="484"/>
      <c r="AK129" s="63"/>
    </row>
    <row r="130" spans="2:37" ht="15" customHeight="1">
      <c r="B130" s="465"/>
      <c r="C130" s="400"/>
      <c r="D130" s="477"/>
      <c r="E130" s="477"/>
      <c r="F130" s="477"/>
      <c r="G130" s="477"/>
      <c r="H130" s="383"/>
      <c r="I130" s="471"/>
      <c r="J130" s="428"/>
      <c r="K130" s="428"/>
      <c r="L130" s="472"/>
      <c r="M130" s="478"/>
      <c r="N130" s="478"/>
      <c r="O130" s="376"/>
      <c r="P130" s="432"/>
      <c r="Q130" s="480"/>
      <c r="R130" s="481"/>
      <c r="Y130" s="482"/>
      <c r="Z130" s="401"/>
      <c r="AA130" s="390"/>
      <c r="AB130" s="402"/>
      <c r="AC130" s="390"/>
      <c r="AE130" s="390"/>
      <c r="AF130" s="483"/>
      <c r="AH130" s="1"/>
      <c r="AJ130" s="484"/>
      <c r="AK130" s="63"/>
    </row>
    <row r="131" spans="2:37" s="1" customFormat="1" ht="15" customHeight="1">
      <c r="B131" s="465"/>
      <c r="C131" s="400"/>
      <c r="D131" s="477"/>
      <c r="E131" s="477"/>
      <c r="F131" s="477"/>
      <c r="G131" s="477"/>
      <c r="H131" s="383"/>
      <c r="I131" s="471"/>
      <c r="J131" s="428"/>
      <c r="K131" s="428"/>
      <c r="L131" s="472"/>
      <c r="M131" s="478"/>
      <c r="N131" s="478"/>
      <c r="O131" s="376"/>
      <c r="P131" s="432"/>
      <c r="Q131" s="480"/>
      <c r="R131" s="481"/>
      <c r="S131"/>
      <c r="T131"/>
      <c r="U131"/>
      <c r="V131"/>
      <c r="W131"/>
      <c r="X131"/>
      <c r="Y131" s="482"/>
      <c r="Z131" s="401"/>
      <c r="AA131" s="390"/>
      <c r="AB131" s="402"/>
      <c r="AC131" s="390"/>
      <c r="AD131"/>
      <c r="AE131" s="390"/>
      <c r="AF131" s="483"/>
      <c r="AG131"/>
      <c r="AH131"/>
      <c r="AJ131" s="484"/>
      <c r="AK131" s="63"/>
    </row>
    <row r="132" spans="2:37" ht="15" customHeight="1">
      <c r="B132" s="465"/>
      <c r="C132" s="400"/>
      <c r="D132" s="477"/>
      <c r="E132" s="477"/>
      <c r="F132" s="477"/>
      <c r="G132" s="477"/>
      <c r="H132" s="383"/>
      <c r="I132" s="471"/>
      <c r="J132" s="428"/>
      <c r="K132" s="428"/>
      <c r="L132" s="472"/>
      <c r="M132" s="478"/>
      <c r="N132" s="478"/>
      <c r="O132" s="376"/>
      <c r="P132" s="432"/>
      <c r="Q132" s="480"/>
      <c r="R132" s="481"/>
      <c r="Y132" s="482"/>
      <c r="Z132" s="401"/>
      <c r="AA132" s="390"/>
      <c r="AB132" s="402"/>
      <c r="AC132" s="390"/>
      <c r="AE132" s="390"/>
      <c r="AF132" s="483"/>
      <c r="AJ132" s="484"/>
      <c r="AK132" s="63"/>
    </row>
    <row r="133" spans="2:37" ht="15" customHeight="1">
      <c r="B133" s="465"/>
      <c r="C133" s="400"/>
      <c r="D133" s="477"/>
      <c r="E133" s="477"/>
      <c r="F133" s="477"/>
      <c r="G133" s="477"/>
      <c r="H133" s="383"/>
      <c r="I133" s="471"/>
      <c r="J133" s="428"/>
      <c r="K133" s="428"/>
      <c r="L133" s="472"/>
      <c r="M133" s="478"/>
      <c r="N133" s="478"/>
      <c r="O133" s="376"/>
      <c r="P133" s="432"/>
      <c r="Q133" s="480"/>
      <c r="R133" s="481"/>
      <c r="T133" s="1"/>
      <c r="U133" s="1"/>
      <c r="V133" s="1"/>
      <c r="Y133" s="482"/>
      <c r="Z133" s="401"/>
      <c r="AA133" s="390"/>
      <c r="AB133" s="402"/>
      <c r="AC133" s="390"/>
      <c r="AD133" s="1"/>
      <c r="AE133" s="390"/>
      <c r="AF133" s="483"/>
      <c r="AJ133" s="484"/>
      <c r="AK133" s="63"/>
    </row>
    <row r="134" spans="2:37" ht="15" customHeight="1">
      <c r="B134" s="476"/>
      <c r="C134" s="400"/>
      <c r="D134" s="477"/>
      <c r="E134" s="477"/>
      <c r="F134" s="477"/>
      <c r="G134" s="477"/>
      <c r="H134" s="383"/>
      <c r="I134" s="471"/>
      <c r="J134" s="428"/>
      <c r="K134" s="428"/>
      <c r="L134" s="472"/>
      <c r="M134" s="478"/>
      <c r="N134" s="478"/>
      <c r="O134" s="479"/>
      <c r="P134" s="432"/>
      <c r="Q134" s="480"/>
      <c r="R134" s="481"/>
      <c r="Y134" s="482"/>
      <c r="Z134" s="401"/>
      <c r="AA134" s="390"/>
      <c r="AB134" s="402"/>
      <c r="AC134" s="390"/>
      <c r="AE134" s="390"/>
      <c r="AF134" s="483"/>
      <c r="AJ134" s="484"/>
      <c r="AK134" s="63"/>
    </row>
    <row r="135" spans="2:37" ht="15" customHeight="1">
      <c r="B135" s="465"/>
      <c r="C135" s="400"/>
      <c r="D135" s="477"/>
      <c r="E135" s="477"/>
      <c r="F135" s="477"/>
      <c r="G135" s="477"/>
      <c r="H135" s="383"/>
      <c r="I135" s="471"/>
      <c r="J135" s="428"/>
      <c r="K135" s="428"/>
      <c r="L135" s="472"/>
      <c r="M135" s="478"/>
      <c r="N135" s="478"/>
      <c r="O135" s="376"/>
      <c r="P135" s="485"/>
      <c r="Q135" s="480"/>
      <c r="R135" s="481"/>
      <c r="Y135" s="482"/>
      <c r="Z135" s="401"/>
      <c r="AA135" s="390"/>
      <c r="AB135" s="402"/>
      <c r="AC135" s="390"/>
      <c r="AE135" s="390"/>
      <c r="AF135" s="483"/>
      <c r="AJ135" s="484"/>
      <c r="AK135" s="63"/>
    </row>
    <row r="136" spans="2:37" ht="15" customHeight="1">
      <c r="B136" s="465"/>
      <c r="C136" s="400"/>
      <c r="D136" s="477"/>
      <c r="E136" s="477"/>
      <c r="F136" s="477"/>
      <c r="G136" s="477"/>
      <c r="H136" s="383"/>
      <c r="I136" s="471"/>
      <c r="J136" s="428"/>
      <c r="K136" s="428"/>
      <c r="L136" s="472"/>
      <c r="M136" s="478"/>
      <c r="N136" s="478"/>
      <c r="O136" s="376"/>
      <c r="P136" s="485"/>
      <c r="Q136" s="480"/>
      <c r="R136" s="481"/>
      <c r="Y136" s="482"/>
      <c r="Z136" s="401"/>
      <c r="AA136" s="390"/>
      <c r="AB136" s="402"/>
      <c r="AC136" s="390"/>
      <c r="AE136" s="390"/>
      <c r="AF136" s="483"/>
      <c r="AJ136" s="484"/>
      <c r="AK136" s="63"/>
    </row>
    <row r="137" spans="2:37" ht="15" customHeight="1">
      <c r="B137" s="465"/>
      <c r="C137" s="400"/>
      <c r="D137" s="477"/>
      <c r="E137" s="477"/>
      <c r="F137" s="477"/>
      <c r="G137" s="477"/>
      <c r="H137" s="383"/>
      <c r="I137" s="471"/>
      <c r="J137" s="428"/>
      <c r="K137" s="428"/>
      <c r="L137" s="472"/>
      <c r="M137" s="478"/>
      <c r="N137" s="478"/>
      <c r="O137" s="376"/>
      <c r="P137" s="432"/>
      <c r="Q137" s="480"/>
      <c r="R137" s="481"/>
      <c r="T137" s="1"/>
      <c r="U137" s="1"/>
      <c r="V137" s="1"/>
      <c r="Y137" s="482"/>
      <c r="Z137" s="401"/>
      <c r="AA137" s="390"/>
      <c r="AB137" s="402"/>
      <c r="AC137" s="390"/>
      <c r="AD137" s="1"/>
      <c r="AE137" s="390"/>
      <c r="AF137" s="483"/>
      <c r="AJ137" s="484"/>
      <c r="AK137" s="63"/>
    </row>
    <row r="138" spans="2:37" ht="15" customHeight="1">
      <c r="B138" s="465"/>
      <c r="C138" s="400"/>
      <c r="D138" s="477"/>
      <c r="E138" s="477"/>
      <c r="F138" s="477"/>
      <c r="G138" s="477"/>
      <c r="H138" s="383"/>
      <c r="I138" s="471"/>
      <c r="J138" s="428"/>
      <c r="K138" s="428"/>
      <c r="L138" s="472"/>
      <c r="M138" s="478"/>
      <c r="N138" s="478"/>
      <c r="O138" s="376"/>
      <c r="P138" s="432"/>
      <c r="Q138" s="480"/>
      <c r="R138" s="481"/>
      <c r="Y138" s="482"/>
      <c r="Z138" s="401"/>
      <c r="AA138" s="390"/>
      <c r="AB138" s="402"/>
      <c r="AC138" s="390"/>
      <c r="AE138" s="390"/>
      <c r="AF138" s="483"/>
      <c r="AJ138" s="484"/>
      <c r="AK138" s="63"/>
    </row>
    <row r="139" spans="2:37" ht="15" customHeight="1">
      <c r="B139" s="465"/>
      <c r="C139" s="400"/>
      <c r="D139" s="477"/>
      <c r="E139" s="477"/>
      <c r="F139" s="477"/>
      <c r="G139" s="477"/>
      <c r="H139" s="383"/>
      <c r="I139" s="471"/>
      <c r="J139" s="428"/>
      <c r="K139" s="428"/>
      <c r="L139" s="472"/>
      <c r="M139" s="478"/>
      <c r="N139" s="478"/>
      <c r="O139" s="376"/>
      <c r="P139" s="432"/>
      <c r="Q139" s="480"/>
      <c r="R139" s="481"/>
      <c r="Y139" s="482"/>
      <c r="Z139" s="401"/>
      <c r="AA139" s="390"/>
      <c r="AB139" s="402"/>
      <c r="AC139" s="390"/>
      <c r="AE139" s="390"/>
      <c r="AF139" s="483"/>
      <c r="AJ139" s="484"/>
      <c r="AK139" s="63"/>
    </row>
    <row r="140" spans="2:37" ht="15" customHeight="1">
      <c r="B140" s="476"/>
      <c r="C140" s="400"/>
      <c r="D140" s="477"/>
      <c r="E140" s="477"/>
      <c r="F140" s="477"/>
      <c r="G140" s="477"/>
      <c r="H140" s="383"/>
      <c r="I140" s="471"/>
      <c r="J140" s="428"/>
      <c r="K140" s="428"/>
      <c r="L140" s="472"/>
      <c r="M140" s="478"/>
      <c r="N140" s="478"/>
      <c r="O140" s="479"/>
      <c r="P140" s="485"/>
      <c r="Q140" s="480"/>
      <c r="R140" s="481"/>
      <c r="Y140" s="482"/>
      <c r="Z140" s="401"/>
      <c r="AA140" s="390"/>
      <c r="AB140" s="402"/>
      <c r="AC140" s="390"/>
      <c r="AE140" s="390"/>
      <c r="AF140" s="483"/>
      <c r="AJ140" s="484"/>
      <c r="AK140" s="63"/>
    </row>
    <row r="141" spans="2:37" ht="15" customHeight="1">
      <c r="B141" s="465"/>
      <c r="C141" s="400"/>
      <c r="D141" s="477"/>
      <c r="E141" s="477"/>
      <c r="F141" s="477"/>
      <c r="G141" s="477"/>
      <c r="H141" s="383"/>
      <c r="I141" s="471"/>
      <c r="J141" s="428"/>
      <c r="K141" s="428"/>
      <c r="L141" s="472"/>
      <c r="M141" s="478"/>
      <c r="N141" s="478"/>
      <c r="O141" s="376"/>
      <c r="P141" s="485"/>
      <c r="Q141" s="480"/>
      <c r="R141" s="481"/>
      <c r="Y141" s="482"/>
      <c r="Z141" s="401"/>
      <c r="AA141" s="390"/>
      <c r="AB141" s="402"/>
      <c r="AC141" s="390"/>
      <c r="AE141" s="390"/>
      <c r="AF141" s="483"/>
      <c r="AJ141" s="484"/>
      <c r="AK141" s="63"/>
    </row>
    <row r="142" spans="2:37" ht="15" customHeight="1">
      <c r="B142" s="465"/>
      <c r="C142" s="400"/>
      <c r="D142" s="477"/>
      <c r="E142" s="477"/>
      <c r="F142" s="477"/>
      <c r="G142" s="477"/>
      <c r="H142" s="383"/>
      <c r="I142" s="471"/>
      <c r="J142" s="428"/>
      <c r="K142" s="428"/>
      <c r="L142" s="472"/>
      <c r="M142" s="478"/>
      <c r="N142" s="478"/>
      <c r="O142" s="376"/>
      <c r="P142" s="485"/>
      <c r="Q142" s="480"/>
      <c r="R142" s="481"/>
      <c r="Y142" s="482"/>
      <c r="Z142" s="401"/>
      <c r="AA142" s="390"/>
      <c r="AB142" s="402"/>
      <c r="AC142" s="390"/>
      <c r="AE142" s="390"/>
      <c r="AF142" s="483"/>
      <c r="AJ142" s="484"/>
      <c r="AK142" s="63"/>
    </row>
    <row r="143" spans="2:37" ht="15" customHeight="1">
      <c r="B143" s="465"/>
      <c r="C143" s="400"/>
      <c r="D143" s="477"/>
      <c r="E143" s="477"/>
      <c r="F143" s="477"/>
      <c r="G143" s="477"/>
      <c r="H143" s="383"/>
      <c r="I143" s="471"/>
      <c r="J143" s="428"/>
      <c r="K143" s="428"/>
      <c r="L143" s="472"/>
      <c r="M143" s="478"/>
      <c r="N143" s="478"/>
      <c r="O143" s="376"/>
      <c r="P143" s="432"/>
      <c r="Q143" s="480"/>
      <c r="R143" s="481"/>
      <c r="Y143" s="482"/>
      <c r="Z143" s="401"/>
      <c r="AA143" s="390"/>
      <c r="AB143" s="402"/>
      <c r="AC143" s="390"/>
      <c r="AE143" s="390"/>
      <c r="AF143" s="483"/>
      <c r="AJ143" s="484"/>
      <c r="AK143" s="63"/>
    </row>
    <row r="144" spans="2:37" ht="15" customHeight="1">
      <c r="B144" s="465"/>
      <c r="C144" s="400"/>
      <c r="D144" s="477"/>
      <c r="E144" s="477"/>
      <c r="F144" s="477"/>
      <c r="G144" s="477"/>
      <c r="H144" s="383"/>
      <c r="I144" s="471"/>
      <c r="J144" s="428"/>
      <c r="K144" s="428"/>
      <c r="L144" s="472"/>
      <c r="M144" s="478"/>
      <c r="N144" s="478"/>
      <c r="O144" s="376"/>
      <c r="P144" s="432"/>
      <c r="Q144" s="480"/>
      <c r="R144" s="481"/>
      <c r="Y144" s="482"/>
      <c r="Z144" s="401"/>
      <c r="AA144" s="390"/>
      <c r="AB144" s="402"/>
      <c r="AC144" s="390"/>
      <c r="AE144" s="390"/>
      <c r="AF144" s="483"/>
      <c r="AJ144" s="484"/>
      <c r="AK144" s="63"/>
    </row>
    <row r="145" spans="2:37" ht="15" customHeight="1">
      <c r="B145" s="465"/>
      <c r="C145" s="400"/>
      <c r="D145" s="477"/>
      <c r="E145" s="477"/>
      <c r="F145" s="477"/>
      <c r="G145" s="477"/>
      <c r="H145" s="383"/>
      <c r="I145" s="471"/>
      <c r="J145" s="428"/>
      <c r="K145" s="428"/>
      <c r="L145" s="472"/>
      <c r="M145" s="478"/>
      <c r="N145" s="478"/>
      <c r="O145" s="376"/>
      <c r="P145" s="432"/>
      <c r="Q145" s="480"/>
      <c r="R145" s="481"/>
      <c r="Y145" s="482"/>
      <c r="Z145" s="401"/>
      <c r="AA145" s="390"/>
      <c r="AB145" s="402"/>
      <c r="AC145" s="390"/>
      <c r="AE145" s="390"/>
      <c r="AF145" s="483"/>
      <c r="AJ145" s="484"/>
      <c r="AK145" s="63"/>
    </row>
    <row r="146" spans="2:37" ht="15" customHeight="1">
      <c r="B146" s="465"/>
      <c r="C146" s="400"/>
      <c r="D146" s="477"/>
      <c r="E146" s="477"/>
      <c r="F146" s="477"/>
      <c r="G146" s="477"/>
      <c r="H146" s="383"/>
      <c r="I146" s="471"/>
      <c r="J146" s="428"/>
      <c r="K146" s="428"/>
      <c r="L146" s="472"/>
      <c r="M146" s="478"/>
      <c r="N146" s="478"/>
      <c r="O146" s="376"/>
      <c r="P146" s="432"/>
      <c r="Q146" s="480"/>
      <c r="R146" s="481"/>
      <c r="Y146" s="482"/>
      <c r="Z146" s="401"/>
      <c r="AA146" s="390"/>
      <c r="AB146" s="402"/>
      <c r="AC146" s="390"/>
      <c r="AE146" s="390"/>
      <c r="AF146" s="483"/>
      <c r="AJ146" s="484"/>
      <c r="AK146" s="63"/>
    </row>
    <row r="147" spans="2:37" s="1" customFormat="1" ht="15" customHeight="1">
      <c r="B147" s="465"/>
      <c r="C147" s="400"/>
      <c r="D147" s="477"/>
      <c r="E147" s="477"/>
      <c r="F147" s="477"/>
      <c r="G147" s="477"/>
      <c r="H147" s="383"/>
      <c r="I147" s="471"/>
      <c r="J147" s="428"/>
      <c r="K147" s="428"/>
      <c r="L147" s="472"/>
      <c r="M147" s="478"/>
      <c r="N147" s="478"/>
      <c r="O147" s="376"/>
      <c r="P147" s="432"/>
      <c r="Q147" s="480"/>
      <c r="R147" s="481"/>
      <c r="S147"/>
      <c r="T147"/>
      <c r="U147"/>
      <c r="V147"/>
      <c r="W147"/>
      <c r="X147"/>
      <c r="Y147" s="482"/>
      <c r="Z147" s="401"/>
      <c r="AA147" s="390"/>
      <c r="AB147" s="402"/>
      <c r="AC147" s="390"/>
      <c r="AD147"/>
      <c r="AE147" s="390"/>
      <c r="AF147" s="483"/>
      <c r="AG147"/>
      <c r="AH147"/>
      <c r="AJ147" s="484"/>
      <c r="AK147" s="63"/>
    </row>
    <row r="148" spans="2:37" ht="15" customHeight="1">
      <c r="B148" s="465"/>
      <c r="C148" s="400"/>
      <c r="D148" s="477"/>
      <c r="E148" s="477"/>
      <c r="F148" s="477"/>
      <c r="G148" s="477"/>
      <c r="H148" s="383"/>
      <c r="I148" s="471"/>
      <c r="J148" s="428"/>
      <c r="K148" s="428"/>
      <c r="L148" s="472"/>
      <c r="M148" s="478"/>
      <c r="N148" s="478"/>
      <c r="O148" s="376"/>
      <c r="P148" s="432"/>
      <c r="Q148" s="480"/>
      <c r="R148" s="481"/>
      <c r="Y148" s="482"/>
      <c r="Z148" s="401"/>
      <c r="AA148" s="390"/>
      <c r="AB148" s="402"/>
      <c r="AC148" s="390"/>
      <c r="AE148" s="390"/>
      <c r="AF148" s="483"/>
      <c r="AH148" s="1"/>
      <c r="AJ148" s="484"/>
      <c r="AK148" s="63"/>
    </row>
    <row r="149" spans="2:37" ht="15" customHeight="1">
      <c r="B149" s="465"/>
      <c r="C149" s="400"/>
      <c r="D149" s="477"/>
      <c r="E149" s="477"/>
      <c r="F149" s="477"/>
      <c r="G149" s="477"/>
      <c r="H149" s="383"/>
      <c r="I149" s="471"/>
      <c r="J149" s="428"/>
      <c r="K149" s="428"/>
      <c r="L149" s="472"/>
      <c r="M149" s="478"/>
      <c r="N149" s="478"/>
      <c r="O149" s="376"/>
      <c r="P149" s="485"/>
      <c r="Q149" s="480"/>
      <c r="R149" s="481"/>
      <c r="Y149" s="482"/>
      <c r="Z149" s="401"/>
      <c r="AA149" s="390"/>
      <c r="AB149" s="402"/>
      <c r="AC149" s="390"/>
      <c r="AE149" s="390"/>
      <c r="AF149" s="483"/>
      <c r="AJ149" s="484"/>
      <c r="AK149" s="63"/>
    </row>
    <row r="150" spans="2:37" ht="15" customHeight="1">
      <c r="B150" s="465"/>
      <c r="C150" s="400"/>
      <c r="D150" s="477"/>
      <c r="E150" s="477"/>
      <c r="F150" s="477"/>
      <c r="G150" s="477"/>
      <c r="H150" s="383"/>
      <c r="I150" s="471"/>
      <c r="J150" s="428"/>
      <c r="K150" s="428"/>
      <c r="L150" s="472"/>
      <c r="M150" s="478"/>
      <c r="N150" s="478"/>
      <c r="O150" s="376"/>
      <c r="P150" s="485"/>
      <c r="Q150" s="480"/>
      <c r="R150" s="481"/>
      <c r="Y150" s="482"/>
      <c r="Z150" s="401"/>
      <c r="AA150" s="390"/>
      <c r="AB150" s="402"/>
      <c r="AC150" s="390"/>
      <c r="AE150" s="390"/>
      <c r="AF150" s="483"/>
      <c r="AJ150" s="484"/>
      <c r="AK150" s="63"/>
    </row>
    <row r="151" spans="2:37" ht="15" customHeight="1">
      <c r="B151" s="465"/>
      <c r="C151" s="400"/>
      <c r="D151" s="477"/>
      <c r="E151" s="477"/>
      <c r="F151" s="477"/>
      <c r="G151" s="477"/>
      <c r="H151" s="383"/>
      <c r="I151" s="471"/>
      <c r="J151" s="428"/>
      <c r="K151" s="428"/>
      <c r="L151" s="472"/>
      <c r="M151" s="478"/>
      <c r="N151" s="478"/>
      <c r="O151" s="376"/>
      <c r="P151" s="432"/>
      <c r="Q151" s="480"/>
      <c r="R151" s="481"/>
      <c r="Y151" s="482"/>
      <c r="Z151" s="401"/>
      <c r="AA151" s="390"/>
      <c r="AB151" s="402"/>
      <c r="AC151" s="390"/>
      <c r="AE151" s="390"/>
      <c r="AF151" s="483"/>
      <c r="AJ151" s="484"/>
      <c r="AK151" s="63"/>
    </row>
    <row r="152" spans="2:37" ht="15" customHeight="1">
      <c r="B152" s="476"/>
      <c r="C152" s="400"/>
      <c r="D152" s="477"/>
      <c r="E152" s="477"/>
      <c r="F152" s="477"/>
      <c r="G152" s="477"/>
      <c r="H152" s="383"/>
      <c r="I152" s="471"/>
      <c r="J152" s="428"/>
      <c r="K152" s="428"/>
      <c r="L152" s="472"/>
      <c r="M152" s="478"/>
      <c r="N152" s="478"/>
      <c r="O152" s="479"/>
      <c r="P152" s="432"/>
      <c r="Q152" s="480"/>
      <c r="R152" s="481"/>
      <c r="Y152" s="482"/>
      <c r="Z152" s="401"/>
      <c r="AA152" s="390"/>
      <c r="AB152" s="402"/>
      <c r="AC152" s="390"/>
      <c r="AE152" s="390"/>
      <c r="AF152" s="483"/>
      <c r="AJ152" s="484"/>
      <c r="AK152" s="63"/>
    </row>
    <row r="153" spans="2:37" ht="15" customHeight="1">
      <c r="B153" s="465"/>
      <c r="C153" s="400"/>
      <c r="D153" s="477"/>
      <c r="E153" s="477"/>
      <c r="F153" s="477"/>
      <c r="G153" s="477"/>
      <c r="H153" s="383"/>
      <c r="I153" s="471"/>
      <c r="J153" s="428"/>
      <c r="K153" s="428"/>
      <c r="L153" s="472"/>
      <c r="M153" s="478"/>
      <c r="N153" s="478"/>
      <c r="O153" s="376"/>
      <c r="P153" s="432"/>
      <c r="Q153" s="480"/>
      <c r="R153" s="481"/>
      <c r="V153" s="407"/>
      <c r="Y153" s="482"/>
      <c r="Z153" s="401"/>
      <c r="AA153" s="390"/>
      <c r="AB153" s="402"/>
      <c r="AC153" s="390"/>
      <c r="AE153" s="390"/>
      <c r="AF153" s="483"/>
      <c r="AJ153" s="484"/>
      <c r="AK153" s="63"/>
    </row>
    <row r="154" spans="2:37" ht="15" customHeight="1">
      <c r="B154" s="465"/>
      <c r="C154" s="400"/>
      <c r="D154" s="477"/>
      <c r="E154" s="477"/>
      <c r="F154" s="477"/>
      <c r="G154" s="477"/>
      <c r="H154" s="383"/>
      <c r="I154" s="471"/>
      <c r="J154" s="428"/>
      <c r="K154" s="428"/>
      <c r="L154" s="472"/>
      <c r="M154" s="478"/>
      <c r="N154" s="478"/>
      <c r="O154" s="376"/>
      <c r="P154" s="485"/>
      <c r="Q154" s="480"/>
      <c r="R154" s="481"/>
      <c r="U154" s="487"/>
      <c r="V154" s="488"/>
      <c r="Y154" s="482"/>
      <c r="Z154" s="401"/>
      <c r="AA154" s="390"/>
      <c r="AB154" s="402"/>
      <c r="AC154" s="390"/>
      <c r="AE154" s="390"/>
      <c r="AF154" s="483"/>
      <c r="AJ154" s="484"/>
      <c r="AK154" s="63"/>
    </row>
    <row r="155" spans="2:37" ht="15" customHeight="1">
      <c r="B155" s="465"/>
      <c r="C155" s="400"/>
      <c r="D155" s="477"/>
      <c r="E155" s="477"/>
      <c r="F155" s="477"/>
      <c r="G155" s="477"/>
      <c r="H155" s="383"/>
      <c r="I155" s="471"/>
      <c r="J155" s="428"/>
      <c r="K155" s="428"/>
      <c r="L155" s="472"/>
      <c r="M155" s="478"/>
      <c r="N155" s="478"/>
      <c r="O155" s="376"/>
      <c r="P155" s="432"/>
      <c r="Q155" s="480"/>
      <c r="R155" s="481"/>
      <c r="Y155" s="482"/>
      <c r="Z155" s="401"/>
      <c r="AA155" s="390"/>
      <c r="AB155" s="402"/>
      <c r="AC155" s="390"/>
      <c r="AE155" s="390"/>
      <c r="AF155" s="483"/>
      <c r="AJ155" s="484"/>
      <c r="AK155" s="63"/>
    </row>
    <row r="156" spans="2:37" ht="15" customHeight="1">
      <c r="B156" s="465"/>
      <c r="C156" s="400"/>
      <c r="D156" s="477"/>
      <c r="E156" s="477"/>
      <c r="F156" s="477"/>
      <c r="G156" s="477"/>
      <c r="H156" s="383"/>
      <c r="I156" s="471"/>
      <c r="J156" s="428"/>
      <c r="K156" s="428"/>
      <c r="L156" s="472"/>
      <c r="M156" s="478"/>
      <c r="N156" s="478"/>
      <c r="O156" s="376"/>
      <c r="P156" s="432"/>
      <c r="Q156" s="480"/>
      <c r="R156" s="481"/>
      <c r="Y156" s="482"/>
      <c r="Z156" s="401"/>
      <c r="AA156" s="390"/>
      <c r="AB156" s="402"/>
      <c r="AC156" s="390"/>
      <c r="AE156" s="390"/>
      <c r="AF156" s="483"/>
      <c r="AJ156" s="484"/>
      <c r="AK156" s="63"/>
    </row>
    <row r="157" spans="2:37" ht="15" customHeight="1">
      <c r="B157" s="465"/>
      <c r="C157" s="400"/>
      <c r="D157" s="477"/>
      <c r="E157" s="477"/>
      <c r="F157" s="477"/>
      <c r="G157" s="477"/>
      <c r="H157" s="383"/>
      <c r="I157" s="471"/>
      <c r="J157" s="428"/>
      <c r="K157" s="428"/>
      <c r="L157" s="472"/>
      <c r="M157" s="478"/>
      <c r="N157" s="478"/>
      <c r="O157" s="376"/>
      <c r="P157" s="485"/>
      <c r="Q157" s="480"/>
      <c r="R157" s="481"/>
      <c r="Y157" s="482"/>
      <c r="Z157" s="401"/>
      <c r="AA157" s="390"/>
      <c r="AB157" s="402"/>
      <c r="AC157" s="390"/>
      <c r="AE157" s="390"/>
      <c r="AF157" s="483"/>
      <c r="AJ157" s="484"/>
      <c r="AK157" s="63"/>
    </row>
    <row r="158" spans="2:37" ht="15" customHeight="1">
      <c r="B158" s="465"/>
      <c r="C158" s="400"/>
      <c r="D158" s="477"/>
      <c r="E158" s="477"/>
      <c r="F158" s="477"/>
      <c r="G158" s="477"/>
      <c r="H158" s="383"/>
      <c r="I158" s="471"/>
      <c r="J158" s="428"/>
      <c r="K158" s="428"/>
      <c r="L158" s="472"/>
      <c r="M158" s="478"/>
      <c r="N158" s="478"/>
      <c r="O158" s="376"/>
      <c r="P158" s="432"/>
      <c r="Q158" s="480"/>
      <c r="R158" s="481"/>
      <c r="Y158" s="482"/>
      <c r="Z158" s="401"/>
      <c r="AA158" s="390"/>
      <c r="AB158" s="402"/>
      <c r="AC158" s="390"/>
      <c r="AE158" s="390"/>
      <c r="AF158" s="483"/>
      <c r="AJ158" s="484"/>
      <c r="AK158" s="63"/>
    </row>
    <row r="159" spans="2:37" s="403" customFormat="1" ht="15" customHeight="1">
      <c r="B159" s="476"/>
      <c r="C159" s="400"/>
      <c r="D159" s="477"/>
      <c r="E159" s="477"/>
      <c r="F159" s="477"/>
      <c r="G159" s="477"/>
      <c r="H159" s="383"/>
      <c r="I159" s="471"/>
      <c r="J159" s="428"/>
      <c r="K159" s="428"/>
      <c r="L159" s="472"/>
      <c r="M159" s="478"/>
      <c r="N159" s="478"/>
      <c r="O159" s="479"/>
      <c r="P159" s="485"/>
      <c r="Q159" s="480"/>
      <c r="R159" s="481"/>
      <c r="S159"/>
      <c r="T159" s="1"/>
      <c r="U159" s="1"/>
      <c r="V159" s="1"/>
      <c r="W159"/>
      <c r="X159"/>
      <c r="Y159" s="482"/>
      <c r="Z159" s="401"/>
      <c r="AA159" s="390"/>
      <c r="AB159" s="402"/>
      <c r="AC159" s="390"/>
      <c r="AD159" s="1"/>
      <c r="AE159" s="390"/>
      <c r="AF159" s="483"/>
      <c r="AG159"/>
      <c r="AH159"/>
      <c r="AJ159" s="484"/>
      <c r="AK159" s="63"/>
    </row>
    <row r="160" spans="2:37" ht="15" customHeight="1">
      <c r="B160" s="476"/>
      <c r="C160" s="400"/>
      <c r="D160" s="477"/>
      <c r="E160" s="477"/>
      <c r="F160" s="477"/>
      <c r="G160" s="477"/>
      <c r="H160" s="383"/>
      <c r="I160" s="471"/>
      <c r="J160" s="428"/>
      <c r="K160" s="428"/>
      <c r="L160" s="472"/>
      <c r="M160" s="478"/>
      <c r="N160" s="478"/>
      <c r="O160" s="479"/>
      <c r="P160" s="485"/>
      <c r="Q160" s="480"/>
      <c r="R160" s="481"/>
      <c r="T160" s="403"/>
      <c r="U160" s="403"/>
      <c r="V160" s="403"/>
      <c r="Y160" s="482"/>
      <c r="Z160" s="401"/>
      <c r="AA160" s="390"/>
      <c r="AB160" s="402"/>
      <c r="AC160" s="390"/>
      <c r="AD160" s="403"/>
      <c r="AE160" s="390"/>
      <c r="AF160" s="483"/>
      <c r="AJ160" s="484"/>
      <c r="AK160" s="63"/>
    </row>
    <row r="161" spans="2:37" ht="15" customHeight="1">
      <c r="B161" s="465"/>
      <c r="C161" s="400"/>
      <c r="D161" s="477"/>
      <c r="E161" s="477"/>
      <c r="F161" s="477"/>
      <c r="G161" s="477"/>
      <c r="H161" s="383"/>
      <c r="I161" s="471"/>
      <c r="J161" s="428"/>
      <c r="K161" s="428"/>
      <c r="L161" s="472"/>
      <c r="M161" s="478"/>
      <c r="N161" s="478"/>
      <c r="O161" s="376"/>
      <c r="P161" s="485"/>
      <c r="Q161" s="480"/>
      <c r="R161" s="481"/>
      <c r="Y161" s="482"/>
      <c r="Z161" s="401"/>
      <c r="AA161" s="390"/>
      <c r="AB161" s="402"/>
      <c r="AC161" s="390"/>
      <c r="AE161" s="390"/>
      <c r="AF161" s="483"/>
      <c r="AH161" s="403"/>
      <c r="AJ161" s="484"/>
      <c r="AK161" s="63"/>
    </row>
    <row r="162" spans="2:37" ht="15" customHeight="1">
      <c r="B162" s="465"/>
      <c r="C162" s="400"/>
      <c r="D162" s="477"/>
      <c r="E162" s="477"/>
      <c r="F162" s="477"/>
      <c r="G162" s="477"/>
      <c r="H162" s="383"/>
      <c r="I162" s="471"/>
      <c r="J162" s="428"/>
      <c r="K162" s="428"/>
      <c r="L162" s="472"/>
      <c r="M162" s="478"/>
      <c r="N162" s="478"/>
      <c r="O162" s="376"/>
      <c r="P162" s="432"/>
      <c r="Q162" s="480"/>
      <c r="R162" s="481"/>
      <c r="Y162" s="482"/>
      <c r="Z162" s="401"/>
      <c r="AA162" s="390"/>
      <c r="AB162" s="402"/>
      <c r="AC162" s="390"/>
      <c r="AE162" s="390"/>
      <c r="AF162" s="483"/>
      <c r="AJ162" s="484"/>
      <c r="AK162" s="63"/>
    </row>
    <row r="163" spans="2:37" ht="15" customHeight="1">
      <c r="B163" s="476"/>
      <c r="C163" s="400"/>
      <c r="D163" s="477"/>
      <c r="E163" s="477"/>
      <c r="F163" s="477"/>
      <c r="G163" s="477"/>
      <c r="H163" s="383"/>
      <c r="I163" s="471"/>
      <c r="J163" s="428"/>
      <c r="K163" s="428"/>
      <c r="L163" s="472"/>
      <c r="M163" s="478"/>
      <c r="N163" s="478"/>
      <c r="O163" s="479"/>
      <c r="P163" s="432"/>
      <c r="Q163" s="480"/>
      <c r="R163" s="481"/>
      <c r="Y163" s="482"/>
      <c r="Z163" s="401"/>
      <c r="AA163" s="390"/>
      <c r="AB163" s="402"/>
      <c r="AC163" s="390"/>
      <c r="AE163" s="390"/>
      <c r="AF163" s="483"/>
      <c r="AJ163" s="484"/>
      <c r="AK163" s="63"/>
    </row>
    <row r="164" spans="2:37" ht="15" customHeight="1">
      <c r="B164" s="465"/>
      <c r="C164" s="400"/>
      <c r="D164" s="477"/>
      <c r="E164" s="477"/>
      <c r="F164" s="477"/>
      <c r="G164" s="477"/>
      <c r="H164" s="383"/>
      <c r="I164" s="471"/>
      <c r="J164" s="428"/>
      <c r="K164" s="428"/>
      <c r="L164" s="472"/>
      <c r="M164" s="478"/>
      <c r="N164" s="478"/>
      <c r="O164" s="376"/>
      <c r="P164" s="432"/>
      <c r="Q164" s="480"/>
      <c r="R164" s="481"/>
      <c r="T164" s="403"/>
      <c r="U164" s="403"/>
      <c r="V164" s="403"/>
      <c r="Y164" s="482"/>
      <c r="Z164" s="401"/>
      <c r="AA164" s="390"/>
      <c r="AB164" s="402"/>
      <c r="AC164" s="390"/>
      <c r="AD164" s="403"/>
      <c r="AE164" s="390"/>
      <c r="AF164" s="483"/>
      <c r="AJ164" s="484"/>
      <c r="AK164" s="63"/>
    </row>
    <row r="165" spans="2:37" s="5" customFormat="1" ht="15" customHeight="1">
      <c r="B165" s="465"/>
      <c r="C165" s="400"/>
      <c r="D165" s="477"/>
      <c r="E165" s="477"/>
      <c r="F165" s="477"/>
      <c r="G165" s="477"/>
      <c r="H165" s="383"/>
      <c r="I165" s="471"/>
      <c r="J165" s="428"/>
      <c r="K165" s="428"/>
      <c r="L165" s="472"/>
      <c r="M165" s="478"/>
      <c r="N165" s="478"/>
      <c r="O165" s="376"/>
      <c r="P165" s="485"/>
      <c r="Q165" s="480"/>
      <c r="R165" s="481"/>
      <c r="S165"/>
      <c r="T165"/>
      <c r="U165"/>
      <c r="V165"/>
      <c r="W165"/>
      <c r="X165"/>
      <c r="Y165" s="482"/>
      <c r="Z165" s="401"/>
      <c r="AA165" s="390"/>
      <c r="AB165" s="402"/>
      <c r="AC165" s="390"/>
      <c r="AD165"/>
      <c r="AE165" s="390"/>
      <c r="AF165" s="483"/>
      <c r="AG165"/>
      <c r="AH165"/>
      <c r="AJ165" s="484"/>
      <c r="AK165" s="63"/>
    </row>
    <row r="166" spans="2:37" ht="15" customHeight="1">
      <c r="B166" s="465"/>
      <c r="C166" s="400"/>
      <c r="D166" s="477"/>
      <c r="E166" s="477"/>
      <c r="F166" s="477"/>
      <c r="G166" s="477"/>
      <c r="H166" s="383"/>
      <c r="I166" s="471"/>
      <c r="J166" s="428"/>
      <c r="K166" s="428"/>
      <c r="L166" s="472"/>
      <c r="M166" s="478"/>
      <c r="N166" s="478"/>
      <c r="O166" s="376"/>
      <c r="P166" s="432"/>
      <c r="Q166" s="480"/>
      <c r="R166" s="481"/>
      <c r="Y166" s="482"/>
      <c r="Z166" s="401"/>
      <c r="AA166" s="390"/>
      <c r="AB166" s="402"/>
      <c r="AC166" s="390"/>
      <c r="AE166" s="390"/>
      <c r="AF166" s="483"/>
      <c r="AJ166" s="484"/>
      <c r="AK166" s="63"/>
    </row>
    <row r="167" spans="2:37" ht="15" customHeight="1">
      <c r="B167" s="465"/>
      <c r="C167" s="400"/>
      <c r="D167" s="477"/>
      <c r="E167" s="477"/>
      <c r="F167" s="477"/>
      <c r="G167" s="477"/>
      <c r="H167" s="383"/>
      <c r="I167" s="471"/>
      <c r="J167" s="428"/>
      <c r="K167" s="428"/>
      <c r="L167" s="472"/>
      <c r="M167" s="478"/>
      <c r="N167" s="478"/>
      <c r="O167" s="376"/>
      <c r="P167" s="485"/>
      <c r="Q167" s="480"/>
      <c r="R167" s="481"/>
      <c r="Y167" s="482"/>
      <c r="Z167" s="401"/>
      <c r="AA167" s="390"/>
      <c r="AB167" s="402"/>
      <c r="AC167" s="390"/>
      <c r="AE167" s="390"/>
      <c r="AF167" s="483"/>
      <c r="AH167" s="5"/>
      <c r="AJ167" s="484"/>
      <c r="AK167" s="63"/>
    </row>
    <row r="168" spans="2:37" ht="15" customHeight="1">
      <c r="B168" s="465"/>
      <c r="C168" s="400"/>
      <c r="D168" s="477"/>
      <c r="E168" s="477"/>
      <c r="F168" s="477"/>
      <c r="G168" s="477"/>
      <c r="H168" s="383"/>
      <c r="I168" s="471"/>
      <c r="J168" s="428"/>
      <c r="K168" s="428"/>
      <c r="L168" s="472"/>
      <c r="M168" s="478"/>
      <c r="N168" s="478"/>
      <c r="O168" s="376"/>
      <c r="P168" s="432"/>
      <c r="Q168" s="480"/>
      <c r="R168" s="481"/>
      <c r="Y168" s="482"/>
      <c r="Z168" s="401"/>
      <c r="AA168" s="390"/>
      <c r="AB168" s="402"/>
      <c r="AC168" s="390"/>
      <c r="AE168" s="390"/>
      <c r="AF168" s="483"/>
      <c r="AJ168" s="484"/>
      <c r="AK168" s="63"/>
    </row>
    <row r="169" spans="2:37" ht="15" customHeight="1">
      <c r="B169" s="465"/>
      <c r="C169" s="400"/>
      <c r="D169" s="477"/>
      <c r="E169" s="477"/>
      <c r="F169" s="477"/>
      <c r="G169" s="477"/>
      <c r="H169" s="383"/>
      <c r="I169" s="471"/>
      <c r="J169" s="428"/>
      <c r="K169" s="428"/>
      <c r="L169" s="472"/>
      <c r="M169" s="478"/>
      <c r="N169" s="478"/>
      <c r="O169" s="376"/>
      <c r="P169" s="432"/>
      <c r="Q169" s="480"/>
      <c r="R169" s="481"/>
      <c r="Y169" s="482"/>
      <c r="Z169" s="401"/>
      <c r="AA169" s="390"/>
      <c r="AB169" s="402"/>
      <c r="AC169" s="390"/>
      <c r="AE169" s="390"/>
      <c r="AF169" s="483"/>
      <c r="AJ169" s="484"/>
      <c r="AK169" s="63"/>
    </row>
    <row r="170" spans="2:37" s="1" customFormat="1" ht="15" customHeight="1">
      <c r="B170" s="465"/>
      <c r="C170" s="400"/>
      <c r="D170" s="477"/>
      <c r="E170" s="477"/>
      <c r="F170" s="477"/>
      <c r="G170" s="477"/>
      <c r="H170" s="383"/>
      <c r="I170" s="471"/>
      <c r="J170" s="428"/>
      <c r="K170" s="428"/>
      <c r="L170" s="472"/>
      <c r="M170" s="478"/>
      <c r="N170" s="478"/>
      <c r="O170" s="376"/>
      <c r="P170" s="432"/>
      <c r="Q170" s="480"/>
      <c r="R170" s="481"/>
      <c r="S170"/>
      <c r="T170" s="5"/>
      <c r="U170" s="5"/>
      <c r="V170" s="5"/>
      <c r="W170"/>
      <c r="X170"/>
      <c r="Y170" s="482"/>
      <c r="Z170" s="401"/>
      <c r="AA170" s="390"/>
      <c r="AB170" s="402"/>
      <c r="AC170" s="390"/>
      <c r="AD170" s="5"/>
      <c r="AE170" s="390"/>
      <c r="AF170" s="483"/>
      <c r="AG170"/>
      <c r="AH170"/>
      <c r="AJ170" s="484"/>
      <c r="AK170" s="63"/>
    </row>
    <row r="171" spans="2:37" ht="15" customHeight="1">
      <c r="B171" s="465"/>
      <c r="C171" s="400"/>
      <c r="D171" s="477"/>
      <c r="E171" s="477"/>
      <c r="F171" s="477"/>
      <c r="G171" s="477"/>
      <c r="H171" s="383"/>
      <c r="I171" s="471"/>
      <c r="J171" s="428"/>
      <c r="K171" s="428"/>
      <c r="L171" s="472"/>
      <c r="M171" s="478"/>
      <c r="N171" s="478"/>
      <c r="O171" s="376"/>
      <c r="P171" s="485"/>
      <c r="Q171" s="480"/>
      <c r="R171" s="481"/>
      <c r="Y171" s="482"/>
      <c r="Z171" s="401"/>
      <c r="AA171" s="390"/>
      <c r="AB171" s="402"/>
      <c r="AC171" s="390"/>
      <c r="AE171" s="390"/>
      <c r="AF171" s="483"/>
      <c r="AJ171" s="484"/>
      <c r="AK171" s="63"/>
    </row>
    <row r="172" spans="2:37" ht="15" customHeight="1">
      <c r="B172" s="465"/>
      <c r="C172" s="400"/>
      <c r="D172" s="477"/>
      <c r="E172" s="477"/>
      <c r="F172" s="477"/>
      <c r="G172" s="477"/>
      <c r="H172" s="383"/>
      <c r="I172" s="471"/>
      <c r="J172" s="428"/>
      <c r="K172" s="428"/>
      <c r="L172" s="472"/>
      <c r="M172" s="478"/>
      <c r="N172" s="478"/>
      <c r="O172" s="376"/>
      <c r="P172" s="432"/>
      <c r="Q172" s="480"/>
      <c r="R172" s="481"/>
      <c r="Y172" s="482"/>
      <c r="Z172" s="401"/>
      <c r="AA172" s="390"/>
      <c r="AB172" s="402"/>
      <c r="AC172" s="390"/>
      <c r="AE172" s="390"/>
      <c r="AF172" s="483"/>
      <c r="AH172" s="1"/>
      <c r="AJ172" s="484"/>
      <c r="AK172" s="63"/>
    </row>
    <row r="173" spans="2:37" ht="15" customHeight="1">
      <c r="B173" s="465"/>
      <c r="C173" s="400"/>
      <c r="D173" s="477"/>
      <c r="E173" s="477"/>
      <c r="F173" s="477"/>
      <c r="G173" s="477"/>
      <c r="H173" s="383"/>
      <c r="I173" s="471"/>
      <c r="J173" s="428"/>
      <c r="K173" s="428"/>
      <c r="L173" s="472"/>
      <c r="M173" s="478"/>
      <c r="N173" s="478"/>
      <c r="O173" s="376"/>
      <c r="P173" s="432"/>
      <c r="Q173" s="480"/>
      <c r="R173" s="481"/>
      <c r="Y173" s="482"/>
      <c r="Z173" s="401"/>
      <c r="AA173" s="390"/>
      <c r="AB173" s="402"/>
      <c r="AC173" s="390"/>
      <c r="AE173" s="390"/>
      <c r="AF173" s="483"/>
      <c r="AJ173" s="484"/>
      <c r="AK173" s="63"/>
    </row>
    <row r="174" spans="2:37" ht="15" customHeight="1">
      <c r="B174" s="465"/>
      <c r="C174" s="400"/>
      <c r="D174" s="477"/>
      <c r="E174" s="477"/>
      <c r="F174" s="477"/>
      <c r="G174" s="477"/>
      <c r="H174" s="383"/>
      <c r="I174" s="471"/>
      <c r="J174" s="428"/>
      <c r="K174" s="428"/>
      <c r="L174" s="472"/>
      <c r="M174" s="478"/>
      <c r="N174" s="478"/>
      <c r="O174" s="376"/>
      <c r="P174" s="485"/>
      <c r="Q174" s="480"/>
      <c r="R174" s="481"/>
      <c r="Y174" s="482"/>
      <c r="Z174" s="401"/>
      <c r="AA174" s="390"/>
      <c r="AB174" s="402"/>
      <c r="AC174" s="390"/>
      <c r="AE174" s="390"/>
      <c r="AF174" s="483"/>
      <c r="AJ174" s="484"/>
      <c r="AK174" s="63"/>
    </row>
    <row r="175" spans="2:37" ht="15" customHeight="1">
      <c r="B175" s="465"/>
      <c r="C175" s="400"/>
      <c r="D175" s="477"/>
      <c r="E175" s="477"/>
      <c r="F175" s="477"/>
      <c r="G175" s="477"/>
      <c r="H175" s="383"/>
      <c r="I175" s="471"/>
      <c r="J175" s="428"/>
      <c r="K175" s="428"/>
      <c r="L175" s="472"/>
      <c r="M175" s="478"/>
      <c r="N175" s="478"/>
      <c r="O175" s="376"/>
      <c r="P175" s="432"/>
      <c r="Q175" s="480"/>
      <c r="R175" s="481"/>
      <c r="T175" s="1"/>
      <c r="U175" s="1"/>
      <c r="V175" s="1"/>
      <c r="Y175" s="482"/>
      <c r="Z175" s="401"/>
      <c r="AA175" s="390"/>
      <c r="AB175" s="402"/>
      <c r="AC175" s="390"/>
      <c r="AD175" s="1"/>
      <c r="AE175" s="390"/>
      <c r="AF175" s="483"/>
      <c r="AJ175" s="484"/>
      <c r="AK175" s="63"/>
    </row>
    <row r="176" spans="2:37" ht="15" customHeight="1">
      <c r="B176" s="465"/>
      <c r="C176" s="400"/>
      <c r="D176" s="477"/>
      <c r="E176" s="477"/>
      <c r="F176" s="477"/>
      <c r="G176" s="477"/>
      <c r="H176" s="383"/>
      <c r="I176" s="471"/>
      <c r="J176" s="428"/>
      <c r="K176" s="428"/>
      <c r="L176" s="472"/>
      <c r="M176" s="478"/>
      <c r="N176" s="478"/>
      <c r="O176" s="376"/>
      <c r="P176" s="432"/>
      <c r="Q176" s="480"/>
      <c r="R176" s="481"/>
      <c r="Y176" s="482"/>
      <c r="Z176" s="401"/>
      <c r="AA176" s="390"/>
      <c r="AB176" s="402"/>
      <c r="AC176" s="390"/>
      <c r="AE176" s="390"/>
      <c r="AF176" s="483"/>
      <c r="AJ176" s="484"/>
      <c r="AK176" s="63"/>
    </row>
    <row r="177" spans="2:37" ht="15" customHeight="1">
      <c r="B177" s="476"/>
      <c r="C177" s="400"/>
      <c r="D177" s="477"/>
      <c r="E177" s="477"/>
      <c r="F177" s="477"/>
      <c r="G177" s="477"/>
      <c r="H177" s="383"/>
      <c r="I177" s="471"/>
      <c r="J177" s="428"/>
      <c r="K177" s="428"/>
      <c r="L177" s="472"/>
      <c r="M177" s="478"/>
      <c r="N177" s="478"/>
      <c r="O177" s="479"/>
      <c r="P177" s="432"/>
      <c r="Q177" s="480"/>
      <c r="R177" s="481"/>
      <c r="Y177" s="482"/>
      <c r="Z177" s="401"/>
      <c r="AA177" s="390"/>
      <c r="AB177" s="402"/>
      <c r="AC177" s="390"/>
      <c r="AE177" s="390"/>
      <c r="AF177" s="483"/>
      <c r="AJ177" s="484"/>
      <c r="AK177" s="63"/>
    </row>
    <row r="178" spans="2:37" ht="15" customHeight="1">
      <c r="B178" s="476"/>
      <c r="C178" s="400"/>
      <c r="D178" s="477"/>
      <c r="E178" s="477"/>
      <c r="F178" s="477"/>
      <c r="G178" s="477"/>
      <c r="H178" s="383"/>
      <c r="I178" s="471"/>
      <c r="J178" s="428"/>
      <c r="K178" s="428"/>
      <c r="L178" s="472"/>
      <c r="M178" s="478"/>
      <c r="N178" s="478"/>
      <c r="O178" s="479"/>
      <c r="P178" s="485"/>
      <c r="Q178" s="480"/>
      <c r="R178" s="481"/>
      <c r="Y178" s="482"/>
      <c r="Z178" s="401"/>
      <c r="AA178" s="390"/>
      <c r="AB178" s="402"/>
      <c r="AC178" s="390"/>
      <c r="AE178" s="390"/>
      <c r="AF178" s="483"/>
      <c r="AJ178" s="484"/>
      <c r="AK178" s="63"/>
    </row>
    <row r="179" spans="2:37" ht="15" customHeight="1">
      <c r="B179" s="465"/>
      <c r="C179" s="400"/>
      <c r="D179" s="477"/>
      <c r="E179" s="477"/>
      <c r="F179" s="477"/>
      <c r="G179" s="477"/>
      <c r="H179" s="383"/>
      <c r="I179" s="471"/>
      <c r="J179" s="428"/>
      <c r="K179" s="428"/>
      <c r="L179" s="472"/>
      <c r="M179" s="478"/>
      <c r="N179" s="478"/>
      <c r="O179" s="376"/>
      <c r="P179" s="432"/>
      <c r="Q179" s="480"/>
      <c r="R179" s="481"/>
      <c r="Y179" s="482"/>
      <c r="Z179" s="401"/>
      <c r="AA179" s="390"/>
      <c r="AB179" s="402"/>
      <c r="AC179" s="390"/>
      <c r="AE179" s="390"/>
      <c r="AF179" s="483"/>
      <c r="AJ179" s="484"/>
      <c r="AK179" s="63"/>
    </row>
    <row r="180" spans="2:37" ht="15" customHeight="1">
      <c r="B180" s="465"/>
      <c r="C180" s="400"/>
      <c r="D180" s="477"/>
      <c r="E180" s="477"/>
      <c r="F180" s="477"/>
      <c r="G180" s="477"/>
      <c r="H180" s="383"/>
      <c r="I180" s="471"/>
      <c r="J180" s="428"/>
      <c r="K180" s="428"/>
      <c r="L180" s="472"/>
      <c r="M180" s="478"/>
      <c r="N180" s="478"/>
      <c r="O180" s="376"/>
      <c r="P180" s="432"/>
      <c r="Q180" s="480"/>
      <c r="R180" s="481"/>
      <c r="Y180" s="482"/>
      <c r="Z180" s="401"/>
      <c r="AA180" s="390"/>
      <c r="AB180" s="402"/>
      <c r="AC180" s="390"/>
      <c r="AE180" s="390"/>
      <c r="AF180" s="483"/>
      <c r="AJ180" s="484"/>
      <c r="AK180" s="63"/>
    </row>
    <row r="181" spans="2:37" ht="15" customHeight="1">
      <c r="B181" s="465"/>
      <c r="C181" s="400"/>
      <c r="D181" s="477"/>
      <c r="E181" s="477"/>
      <c r="F181" s="477"/>
      <c r="G181" s="477"/>
      <c r="H181" s="383"/>
      <c r="I181" s="471"/>
      <c r="J181" s="428"/>
      <c r="K181" s="428"/>
      <c r="L181" s="472"/>
      <c r="M181" s="478"/>
      <c r="N181" s="478"/>
      <c r="O181" s="376"/>
      <c r="P181" s="432"/>
      <c r="Q181" s="480"/>
      <c r="R181" s="481"/>
      <c r="Y181" s="482"/>
      <c r="Z181" s="401"/>
      <c r="AA181" s="390"/>
      <c r="AB181" s="402"/>
      <c r="AC181" s="390"/>
      <c r="AE181" s="390"/>
      <c r="AF181" s="483"/>
      <c r="AJ181" s="484"/>
      <c r="AK181" s="63"/>
    </row>
    <row r="182" spans="2:37" ht="15" customHeight="1">
      <c r="B182" s="465"/>
      <c r="C182" s="400"/>
      <c r="D182" s="477"/>
      <c r="E182" s="477"/>
      <c r="F182" s="477"/>
      <c r="G182" s="477"/>
      <c r="H182" s="383"/>
      <c r="I182" s="471"/>
      <c r="J182" s="428"/>
      <c r="K182" s="428"/>
      <c r="L182" s="472"/>
      <c r="M182" s="478"/>
      <c r="N182" s="478"/>
      <c r="O182" s="376"/>
      <c r="P182" s="485"/>
      <c r="Q182" s="480"/>
      <c r="R182" s="481"/>
      <c r="Y182" s="482"/>
      <c r="Z182" s="401"/>
      <c r="AA182" s="390"/>
      <c r="AB182" s="402"/>
      <c r="AC182" s="390"/>
      <c r="AE182" s="390"/>
      <c r="AF182" s="483"/>
      <c r="AJ182" s="484"/>
      <c r="AK182" s="63"/>
    </row>
    <row r="183" spans="2:37" ht="15" customHeight="1">
      <c r="B183" s="465"/>
      <c r="C183" s="400"/>
      <c r="D183" s="477"/>
      <c r="E183" s="477"/>
      <c r="F183" s="477"/>
      <c r="G183" s="477"/>
      <c r="H183" s="383"/>
      <c r="I183" s="471"/>
      <c r="J183" s="428"/>
      <c r="K183" s="428"/>
      <c r="L183" s="472"/>
      <c r="M183" s="478"/>
      <c r="N183" s="478"/>
      <c r="O183" s="376"/>
      <c r="P183" s="432"/>
      <c r="Q183" s="480"/>
      <c r="R183" s="481"/>
      <c r="Y183" s="482"/>
      <c r="Z183" s="401"/>
      <c r="AA183" s="390"/>
      <c r="AB183" s="402"/>
      <c r="AC183" s="390"/>
      <c r="AE183" s="390"/>
      <c r="AF183" s="483"/>
      <c r="AJ183" s="484"/>
      <c r="AK183" s="63"/>
    </row>
    <row r="184" spans="2:37" ht="15" customHeight="1">
      <c r="B184" s="465"/>
      <c r="C184" s="400"/>
      <c r="D184" s="477"/>
      <c r="E184" s="477"/>
      <c r="F184" s="477"/>
      <c r="G184" s="477"/>
      <c r="H184" s="383"/>
      <c r="I184" s="471"/>
      <c r="J184" s="428"/>
      <c r="K184" s="428"/>
      <c r="L184" s="472"/>
      <c r="M184" s="478"/>
      <c r="N184" s="478"/>
      <c r="O184" s="376"/>
      <c r="P184" s="432"/>
      <c r="Q184" s="480"/>
      <c r="R184" s="481"/>
      <c r="Y184" s="482"/>
      <c r="Z184" s="401"/>
      <c r="AA184" s="390"/>
      <c r="AB184" s="402"/>
      <c r="AC184" s="390"/>
      <c r="AE184" s="390"/>
      <c r="AF184" s="483"/>
      <c r="AJ184" s="484"/>
      <c r="AK184" s="63"/>
    </row>
    <row r="185" spans="2:37" ht="15" customHeight="1">
      <c r="B185" s="465"/>
      <c r="C185" s="400"/>
      <c r="D185" s="477"/>
      <c r="E185" s="477"/>
      <c r="F185" s="477"/>
      <c r="G185" s="477"/>
      <c r="H185" s="383"/>
      <c r="I185" s="471"/>
      <c r="J185" s="428"/>
      <c r="K185" s="428"/>
      <c r="L185" s="472"/>
      <c r="M185" s="478"/>
      <c r="N185" s="478"/>
      <c r="O185" s="376"/>
      <c r="P185" s="485"/>
      <c r="Q185" s="480"/>
      <c r="R185" s="481"/>
      <c r="Y185" s="482"/>
      <c r="Z185" s="401"/>
      <c r="AA185" s="390"/>
      <c r="AB185" s="402"/>
      <c r="AC185" s="390"/>
      <c r="AE185" s="390"/>
      <c r="AF185" s="483"/>
      <c r="AJ185" s="484"/>
      <c r="AK185" s="63"/>
    </row>
    <row r="186" spans="2:37" s="1" customFormat="1" ht="15" customHeight="1">
      <c r="B186" s="465"/>
      <c r="C186" s="400"/>
      <c r="D186" s="477"/>
      <c r="E186" s="477"/>
      <c r="F186" s="477"/>
      <c r="G186" s="477"/>
      <c r="H186" s="383"/>
      <c r="I186" s="471"/>
      <c r="J186" s="428"/>
      <c r="K186" s="428"/>
      <c r="L186" s="472"/>
      <c r="M186" s="478"/>
      <c r="N186" s="478"/>
      <c r="O186" s="376"/>
      <c r="P186" s="432"/>
      <c r="Q186" s="480"/>
      <c r="R186" s="481"/>
      <c r="S186"/>
      <c r="T186"/>
      <c r="U186"/>
      <c r="V186"/>
      <c r="W186"/>
      <c r="X186"/>
      <c r="Y186" s="482"/>
      <c r="Z186" s="401"/>
      <c r="AA186" s="390"/>
      <c r="AB186" s="402"/>
      <c r="AC186" s="390"/>
      <c r="AD186"/>
      <c r="AE186" s="390"/>
      <c r="AF186" s="483"/>
      <c r="AG186"/>
      <c r="AH186"/>
      <c r="AJ186" s="484"/>
      <c r="AK186" s="63"/>
    </row>
    <row r="187" spans="2:37" ht="15" customHeight="1">
      <c r="B187" s="465"/>
      <c r="C187" s="400"/>
      <c r="D187" s="477"/>
      <c r="E187" s="477"/>
      <c r="F187" s="477"/>
      <c r="G187" s="477"/>
      <c r="H187" s="383"/>
      <c r="I187" s="471"/>
      <c r="J187" s="428"/>
      <c r="K187" s="428"/>
      <c r="L187" s="472"/>
      <c r="M187" s="478"/>
      <c r="N187" s="478"/>
      <c r="O187" s="376"/>
      <c r="P187" s="432"/>
      <c r="Q187" s="480"/>
      <c r="R187" s="481"/>
      <c r="Y187" s="482"/>
      <c r="Z187" s="401"/>
      <c r="AA187" s="390"/>
      <c r="AB187" s="402"/>
      <c r="AC187" s="390"/>
      <c r="AE187" s="390"/>
      <c r="AF187" s="483"/>
      <c r="AJ187" s="484"/>
      <c r="AK187" s="63"/>
    </row>
    <row r="188" spans="2:37" ht="15" customHeight="1">
      <c r="B188" s="465"/>
      <c r="C188" s="400"/>
      <c r="D188" s="477"/>
      <c r="E188" s="477"/>
      <c r="F188" s="477"/>
      <c r="G188" s="477"/>
      <c r="H188" s="383"/>
      <c r="I188" s="471"/>
      <c r="J188" s="428"/>
      <c r="K188" s="428"/>
      <c r="L188" s="472"/>
      <c r="M188" s="478"/>
      <c r="N188" s="478"/>
      <c r="O188" s="376"/>
      <c r="P188" s="432"/>
      <c r="Q188" s="480"/>
      <c r="R188" s="481"/>
      <c r="Y188" s="482"/>
      <c r="Z188" s="401"/>
      <c r="AA188" s="390"/>
      <c r="AB188" s="402"/>
      <c r="AC188" s="390"/>
      <c r="AE188" s="390"/>
      <c r="AF188" s="483"/>
      <c r="AH188" s="1"/>
      <c r="AJ188" s="484"/>
      <c r="AK188" s="63"/>
    </row>
    <row r="189" spans="2:37" s="1" customFormat="1" ht="15" customHeight="1">
      <c r="B189" s="465"/>
      <c r="C189" s="400"/>
      <c r="D189" s="477"/>
      <c r="E189" s="477"/>
      <c r="F189" s="477"/>
      <c r="G189" s="477"/>
      <c r="H189" s="383"/>
      <c r="I189" s="471"/>
      <c r="J189" s="428"/>
      <c r="K189" s="428"/>
      <c r="L189" s="472"/>
      <c r="M189" s="478"/>
      <c r="N189" s="478"/>
      <c r="O189" s="376"/>
      <c r="P189" s="432"/>
      <c r="Q189" s="480"/>
      <c r="R189" s="481"/>
      <c r="S189"/>
      <c r="T189"/>
      <c r="U189"/>
      <c r="V189"/>
      <c r="W189"/>
      <c r="X189"/>
      <c r="Y189" s="482"/>
      <c r="Z189" s="401"/>
      <c r="AA189" s="390"/>
      <c r="AB189" s="402"/>
      <c r="AC189" s="390"/>
      <c r="AD189"/>
      <c r="AE189" s="390"/>
      <c r="AF189" s="483"/>
      <c r="AG189"/>
      <c r="AH189"/>
      <c r="AJ189" s="484"/>
      <c r="AK189" s="63"/>
    </row>
    <row r="190" spans="2:37" ht="15" customHeight="1">
      <c r="B190" s="476"/>
      <c r="C190" s="400"/>
      <c r="D190" s="477"/>
      <c r="E190" s="477"/>
      <c r="F190" s="477"/>
      <c r="G190" s="477"/>
      <c r="H190" s="383"/>
      <c r="I190" s="471"/>
      <c r="J190" s="428"/>
      <c r="K190" s="428"/>
      <c r="L190" s="472"/>
      <c r="M190" s="478"/>
      <c r="N190" s="478"/>
      <c r="O190" s="479"/>
      <c r="P190" s="485"/>
      <c r="Q190" s="480"/>
      <c r="R190" s="481"/>
      <c r="T190" s="1"/>
      <c r="U190" s="1"/>
      <c r="V190" s="1"/>
      <c r="Y190" s="482"/>
      <c r="Z190" s="401"/>
      <c r="AA190" s="390"/>
      <c r="AB190" s="402"/>
      <c r="AC190" s="390"/>
      <c r="AD190" s="1"/>
      <c r="AE190" s="390"/>
      <c r="AF190" s="483"/>
      <c r="AJ190" s="484"/>
      <c r="AK190" s="63"/>
    </row>
    <row r="191" spans="2:37" s="403" customFormat="1" ht="15" customHeight="1">
      <c r="B191" s="465"/>
      <c r="C191" s="400"/>
      <c r="D191" s="477"/>
      <c r="E191" s="477"/>
      <c r="F191" s="477"/>
      <c r="G191" s="477"/>
      <c r="H191" s="383"/>
      <c r="I191" s="471"/>
      <c r="J191" s="428"/>
      <c r="K191" s="428"/>
      <c r="L191" s="472"/>
      <c r="M191" s="478"/>
      <c r="N191" s="478"/>
      <c r="O191" s="376"/>
      <c r="P191" s="432"/>
      <c r="Q191" s="480"/>
      <c r="R191" s="481"/>
      <c r="S191"/>
      <c r="T191"/>
      <c r="U191"/>
      <c r="V191"/>
      <c r="W191"/>
      <c r="X191"/>
      <c r="Y191" s="482"/>
      <c r="Z191" s="401"/>
      <c r="AA191" s="390"/>
      <c r="AB191" s="402"/>
      <c r="AC191" s="390"/>
      <c r="AD191"/>
      <c r="AE191" s="390"/>
      <c r="AF191" s="483"/>
      <c r="AG191"/>
      <c r="AH191"/>
      <c r="AJ191" s="484"/>
      <c r="AK191" s="63"/>
    </row>
    <row r="192" spans="2:37" ht="15" customHeight="1">
      <c r="B192" s="465"/>
      <c r="C192" s="400"/>
      <c r="D192" s="477"/>
      <c r="E192" s="477"/>
      <c r="F192" s="477"/>
      <c r="G192" s="477"/>
      <c r="H192" s="383"/>
      <c r="I192" s="471"/>
      <c r="J192" s="428"/>
      <c r="K192" s="428"/>
      <c r="L192" s="472"/>
      <c r="M192" s="478"/>
      <c r="N192" s="478"/>
      <c r="O192" s="376"/>
      <c r="P192" s="485"/>
      <c r="Q192" s="480"/>
      <c r="R192" s="481"/>
      <c r="T192" s="1"/>
      <c r="U192" s="1"/>
      <c r="V192" s="1"/>
      <c r="Y192" s="482"/>
      <c r="Z192" s="401"/>
      <c r="AA192" s="390"/>
      <c r="AB192" s="402"/>
      <c r="AC192" s="390"/>
      <c r="AD192" s="1"/>
      <c r="AE192" s="390"/>
      <c r="AF192" s="483"/>
      <c r="AH192" s="403"/>
      <c r="AJ192" s="484"/>
      <c r="AK192" s="63"/>
    </row>
    <row r="193" spans="2:37" ht="15" customHeight="1">
      <c r="B193" s="465"/>
      <c r="C193" s="400"/>
      <c r="D193" s="477"/>
      <c r="E193" s="477"/>
      <c r="F193" s="477"/>
      <c r="G193" s="477"/>
      <c r="H193" s="383"/>
      <c r="I193" s="471"/>
      <c r="J193" s="428"/>
      <c r="K193" s="428"/>
      <c r="L193" s="472"/>
      <c r="M193" s="478"/>
      <c r="N193" s="478"/>
      <c r="O193" s="376"/>
      <c r="P193" s="432"/>
      <c r="Q193" s="480"/>
      <c r="R193" s="481"/>
      <c r="Y193" s="482"/>
      <c r="Z193" s="401"/>
      <c r="AA193" s="390"/>
      <c r="AB193" s="402"/>
      <c r="AC193" s="390"/>
      <c r="AE193" s="390"/>
      <c r="AF193" s="483"/>
      <c r="AJ193" s="484"/>
      <c r="AK193" s="63"/>
    </row>
    <row r="194" spans="2:37" ht="15" customHeight="1">
      <c r="B194" s="465"/>
      <c r="C194" s="400"/>
      <c r="D194" s="477"/>
      <c r="E194" s="477"/>
      <c r="F194" s="477"/>
      <c r="G194" s="477"/>
      <c r="H194" s="383"/>
      <c r="I194" s="471"/>
      <c r="J194" s="428"/>
      <c r="K194" s="428"/>
      <c r="L194" s="472"/>
      <c r="M194" s="478"/>
      <c r="N194" s="478"/>
      <c r="O194" s="376"/>
      <c r="P194" s="432"/>
      <c r="Q194" s="480"/>
      <c r="R194" s="481"/>
      <c r="Y194" s="482"/>
      <c r="Z194" s="401"/>
      <c r="AA194" s="390"/>
      <c r="AB194" s="402"/>
      <c r="AC194" s="390"/>
      <c r="AE194" s="390"/>
      <c r="AF194" s="483"/>
      <c r="AJ194" s="484"/>
      <c r="AK194" s="63"/>
    </row>
    <row r="195" spans="2:37" ht="15" customHeight="1">
      <c r="B195" s="465"/>
      <c r="C195" s="400"/>
      <c r="D195" s="477"/>
      <c r="E195" s="477"/>
      <c r="F195" s="477"/>
      <c r="G195" s="477"/>
      <c r="H195" s="383"/>
      <c r="I195" s="471"/>
      <c r="J195" s="428"/>
      <c r="K195" s="428"/>
      <c r="L195" s="472"/>
      <c r="M195" s="478"/>
      <c r="N195" s="478"/>
      <c r="O195" s="376"/>
      <c r="P195" s="432"/>
      <c r="Q195" s="480"/>
      <c r="R195" s="481"/>
      <c r="Y195" s="482"/>
      <c r="Z195" s="401"/>
      <c r="AA195" s="390"/>
      <c r="AB195" s="402"/>
      <c r="AC195" s="390"/>
      <c r="AE195" s="390"/>
      <c r="AF195" s="483"/>
      <c r="AJ195" s="484"/>
      <c r="AK195" s="63"/>
    </row>
    <row r="196" spans="2:37" ht="15" customHeight="1">
      <c r="B196" s="465"/>
      <c r="C196" s="400"/>
      <c r="D196" s="477"/>
      <c r="E196" s="477"/>
      <c r="F196" s="477"/>
      <c r="G196" s="477"/>
      <c r="H196" s="383"/>
      <c r="I196" s="471"/>
      <c r="J196" s="428"/>
      <c r="K196" s="428"/>
      <c r="L196" s="472"/>
      <c r="M196" s="478"/>
      <c r="N196" s="478"/>
      <c r="O196" s="376"/>
      <c r="P196" s="432"/>
      <c r="Q196" s="480"/>
      <c r="R196" s="481"/>
      <c r="Y196" s="482"/>
      <c r="Z196" s="401"/>
      <c r="AA196" s="390"/>
      <c r="AB196" s="402"/>
      <c r="AC196" s="390"/>
      <c r="AE196" s="390"/>
      <c r="AF196" s="483"/>
      <c r="AJ196" s="484"/>
      <c r="AK196" s="63"/>
    </row>
    <row r="197" spans="2:37" ht="15" customHeight="1">
      <c r="B197" s="465"/>
      <c r="C197" s="400"/>
      <c r="D197" s="477"/>
      <c r="E197" s="477"/>
      <c r="F197" s="477"/>
      <c r="G197" s="477"/>
      <c r="H197" s="383"/>
      <c r="I197" s="471"/>
      <c r="J197" s="428"/>
      <c r="K197" s="428"/>
      <c r="L197" s="472"/>
      <c r="M197" s="478"/>
      <c r="N197" s="478"/>
      <c r="O197" s="376"/>
      <c r="P197" s="432"/>
      <c r="Q197" s="480"/>
      <c r="R197" s="481"/>
      <c r="Y197" s="482"/>
      <c r="Z197" s="401"/>
      <c r="AA197" s="390"/>
      <c r="AB197" s="402"/>
      <c r="AC197" s="390"/>
      <c r="AE197" s="390"/>
      <c r="AF197" s="483"/>
      <c r="AJ197" s="484"/>
      <c r="AK197" s="63"/>
    </row>
    <row r="198" spans="2:37" ht="15" customHeight="1">
      <c r="B198" s="465"/>
      <c r="C198" s="400"/>
      <c r="D198" s="477"/>
      <c r="E198" s="477"/>
      <c r="F198" s="477"/>
      <c r="G198" s="477"/>
      <c r="H198" s="383"/>
      <c r="I198" s="471"/>
      <c r="J198" s="428"/>
      <c r="K198" s="428"/>
      <c r="L198" s="472"/>
      <c r="M198" s="478"/>
      <c r="N198" s="478"/>
      <c r="O198" s="376"/>
      <c r="P198" s="432"/>
      <c r="Q198" s="480"/>
      <c r="R198" s="481"/>
      <c r="Y198" s="482"/>
      <c r="Z198" s="401"/>
      <c r="AA198" s="390"/>
      <c r="AB198" s="402"/>
      <c r="AC198" s="390"/>
      <c r="AE198" s="390"/>
      <c r="AF198" s="483"/>
      <c r="AJ198" s="484"/>
      <c r="AK198" s="63"/>
    </row>
    <row r="199" spans="2:37" ht="15" customHeight="1">
      <c r="B199" s="465"/>
      <c r="C199" s="400"/>
      <c r="D199" s="477"/>
      <c r="E199" s="477"/>
      <c r="F199" s="477"/>
      <c r="G199" s="477"/>
      <c r="H199" s="383"/>
      <c r="I199" s="471"/>
      <c r="J199" s="428"/>
      <c r="K199" s="428"/>
      <c r="L199" s="472"/>
      <c r="M199" s="478"/>
      <c r="N199" s="478"/>
      <c r="O199" s="376"/>
      <c r="P199" s="432"/>
      <c r="Q199" s="480"/>
      <c r="R199" s="481"/>
      <c r="Y199" s="482"/>
      <c r="Z199" s="401"/>
      <c r="AA199" s="390"/>
      <c r="AB199" s="402"/>
      <c r="AC199" s="390"/>
      <c r="AE199" s="390"/>
      <c r="AF199" s="483"/>
      <c r="AJ199" s="484"/>
      <c r="AK199" s="63"/>
    </row>
    <row r="200" spans="2:37" ht="15" customHeight="1">
      <c r="B200" s="465"/>
      <c r="C200" s="400"/>
      <c r="D200" s="477"/>
      <c r="E200" s="477"/>
      <c r="F200" s="477"/>
      <c r="G200" s="477"/>
      <c r="H200" s="383"/>
      <c r="I200" s="471"/>
      <c r="J200" s="428"/>
      <c r="K200" s="428"/>
      <c r="L200" s="472"/>
      <c r="M200" s="478"/>
      <c r="N200" s="478"/>
      <c r="O200" s="376"/>
      <c r="P200" s="432"/>
      <c r="Q200" s="480"/>
      <c r="R200" s="481"/>
      <c r="Y200" s="482"/>
      <c r="Z200" s="401"/>
      <c r="AA200" s="390"/>
      <c r="AB200" s="402"/>
      <c r="AC200" s="390"/>
      <c r="AE200" s="390"/>
      <c r="AF200" s="483"/>
      <c r="AJ200" s="484"/>
      <c r="AK200" s="63"/>
    </row>
    <row r="201" spans="2:37" ht="15" customHeight="1">
      <c r="B201" s="465"/>
      <c r="C201" s="400"/>
      <c r="D201" s="477"/>
      <c r="E201" s="477"/>
      <c r="F201" s="477"/>
      <c r="G201" s="477"/>
      <c r="H201" s="383"/>
      <c r="I201" s="471"/>
      <c r="J201" s="428"/>
      <c r="K201" s="428"/>
      <c r="L201" s="472"/>
      <c r="M201" s="478"/>
      <c r="N201" s="478"/>
      <c r="O201" s="376"/>
      <c r="P201" s="432"/>
      <c r="Q201" s="480"/>
      <c r="R201" s="481"/>
      <c r="Y201" s="482"/>
      <c r="Z201" s="401"/>
      <c r="AA201" s="390"/>
      <c r="AB201" s="402"/>
      <c r="AC201" s="390"/>
      <c r="AE201" s="390"/>
      <c r="AF201" s="483"/>
      <c r="AJ201" s="484"/>
      <c r="AK201" s="63"/>
    </row>
    <row r="202" spans="2:37" ht="15" customHeight="1">
      <c r="B202" s="465"/>
      <c r="C202" s="400"/>
      <c r="D202" s="477"/>
      <c r="E202" s="477"/>
      <c r="F202" s="477"/>
      <c r="G202" s="477"/>
      <c r="H202" s="383"/>
      <c r="I202" s="471"/>
      <c r="J202" s="428"/>
      <c r="K202" s="428"/>
      <c r="L202" s="472"/>
      <c r="M202" s="478"/>
      <c r="N202" s="478"/>
      <c r="O202" s="376"/>
      <c r="P202" s="485"/>
      <c r="Q202" s="480"/>
      <c r="R202" s="481"/>
      <c r="Y202" s="482"/>
      <c r="Z202" s="401"/>
      <c r="AA202" s="390"/>
      <c r="AB202" s="402"/>
      <c r="AC202" s="390"/>
      <c r="AE202" s="390"/>
      <c r="AF202" s="483"/>
      <c r="AJ202" s="484"/>
      <c r="AK202" s="63"/>
    </row>
    <row r="203" spans="2:37" ht="15" customHeight="1">
      <c r="B203" s="465"/>
      <c r="C203" s="400"/>
      <c r="D203" s="477"/>
      <c r="E203" s="477"/>
      <c r="F203" s="477"/>
      <c r="G203" s="477"/>
      <c r="H203" s="383"/>
      <c r="I203" s="471"/>
      <c r="J203" s="428"/>
      <c r="K203" s="428"/>
      <c r="L203" s="472"/>
      <c r="M203" s="478"/>
      <c r="N203" s="478"/>
      <c r="O203" s="376"/>
      <c r="P203" s="485"/>
      <c r="Q203" s="480"/>
      <c r="R203" s="481"/>
      <c r="Y203" s="482"/>
      <c r="Z203" s="401"/>
      <c r="AA203" s="390"/>
      <c r="AB203" s="402"/>
      <c r="AC203" s="390"/>
      <c r="AE203" s="390"/>
      <c r="AF203" s="483"/>
      <c r="AJ203" s="484"/>
      <c r="AK203" s="63"/>
    </row>
    <row r="204" spans="2:37" ht="15" customHeight="1">
      <c r="B204" s="465"/>
      <c r="C204" s="400"/>
      <c r="D204" s="477"/>
      <c r="E204" s="477"/>
      <c r="F204" s="477"/>
      <c r="G204" s="477"/>
      <c r="H204" s="383"/>
      <c r="I204" s="471"/>
      <c r="J204" s="428"/>
      <c r="K204" s="428"/>
      <c r="L204" s="472"/>
      <c r="M204" s="478"/>
      <c r="N204" s="478"/>
      <c r="O204" s="376"/>
      <c r="P204" s="432"/>
      <c r="Q204" s="480"/>
      <c r="R204" s="481"/>
      <c r="Y204" s="482"/>
      <c r="Z204" s="401"/>
      <c r="AA204" s="390"/>
      <c r="AB204" s="402"/>
      <c r="AC204" s="390"/>
      <c r="AE204" s="390"/>
      <c r="AF204" s="483"/>
      <c r="AJ204" s="484"/>
      <c r="AK204" s="63"/>
    </row>
    <row r="205" spans="2:37" ht="15" customHeight="1">
      <c r="B205" s="465"/>
      <c r="C205" s="400"/>
      <c r="D205" s="477"/>
      <c r="E205" s="477"/>
      <c r="F205" s="477"/>
      <c r="G205" s="477"/>
      <c r="H205" s="383"/>
      <c r="I205" s="471"/>
      <c r="J205" s="428"/>
      <c r="K205" s="428"/>
      <c r="L205" s="472"/>
      <c r="M205" s="478"/>
      <c r="N205" s="478"/>
      <c r="O205" s="376"/>
      <c r="P205" s="485"/>
      <c r="Q205" s="480"/>
      <c r="R205" s="481"/>
      <c r="Y205" s="482"/>
      <c r="Z205" s="401"/>
      <c r="AA205" s="390"/>
      <c r="AB205" s="402"/>
      <c r="AC205" s="390"/>
      <c r="AE205" s="390"/>
      <c r="AF205" s="483"/>
      <c r="AJ205" s="484"/>
      <c r="AK205" s="63"/>
    </row>
    <row r="206" spans="2:37" ht="15" customHeight="1">
      <c r="B206" s="465"/>
      <c r="C206" s="400"/>
      <c r="D206" s="477"/>
      <c r="E206" s="477"/>
      <c r="F206" s="477"/>
      <c r="G206" s="477"/>
      <c r="H206" s="383"/>
      <c r="I206" s="471"/>
      <c r="J206" s="428"/>
      <c r="K206" s="428"/>
      <c r="L206" s="472"/>
      <c r="M206" s="478"/>
      <c r="N206" s="478"/>
      <c r="O206" s="376"/>
      <c r="P206" s="432"/>
      <c r="Q206" s="480"/>
      <c r="R206" s="481"/>
      <c r="Y206" s="482"/>
      <c r="Z206" s="401"/>
      <c r="AA206" s="390"/>
      <c r="AB206" s="402"/>
      <c r="AC206" s="390"/>
      <c r="AE206" s="390"/>
      <c r="AF206" s="483"/>
      <c r="AH206" s="1"/>
      <c r="AJ206" s="484"/>
      <c r="AK206" s="63"/>
    </row>
    <row r="207" spans="2:37" s="1" customFormat="1" ht="15" customHeight="1">
      <c r="B207" s="465"/>
      <c r="C207" s="400"/>
      <c r="D207" s="477"/>
      <c r="E207" s="477"/>
      <c r="F207" s="477"/>
      <c r="G207" s="477"/>
      <c r="H207" s="383"/>
      <c r="I207" s="471"/>
      <c r="J207" s="428"/>
      <c r="K207" s="428"/>
      <c r="L207" s="472"/>
      <c r="M207" s="478"/>
      <c r="N207" s="478"/>
      <c r="O207" s="376"/>
      <c r="P207" s="485"/>
      <c r="Q207" s="480"/>
      <c r="R207" s="481"/>
      <c r="S207"/>
      <c r="T207"/>
      <c r="U207"/>
      <c r="V207"/>
      <c r="W207"/>
      <c r="X207"/>
      <c r="Y207" s="482"/>
      <c r="Z207" s="401"/>
      <c r="AA207" s="390"/>
      <c r="AB207" s="402"/>
      <c r="AC207" s="390"/>
      <c r="AD207"/>
      <c r="AE207" s="390"/>
      <c r="AF207" s="483"/>
      <c r="AG207"/>
      <c r="AH207"/>
      <c r="AJ207" s="484"/>
      <c r="AK207" s="63"/>
    </row>
    <row r="208" spans="2:37" ht="15" customHeight="1">
      <c r="B208" s="465"/>
      <c r="C208" s="400"/>
      <c r="D208" s="477"/>
      <c r="E208" s="477"/>
      <c r="F208" s="477"/>
      <c r="G208" s="477"/>
      <c r="H208" s="383"/>
      <c r="I208" s="471"/>
      <c r="J208" s="428"/>
      <c r="K208" s="428"/>
      <c r="L208" s="472"/>
      <c r="M208" s="478"/>
      <c r="N208" s="478"/>
      <c r="O208" s="376"/>
      <c r="P208" s="485"/>
      <c r="Q208" s="480"/>
      <c r="R208" s="481"/>
      <c r="T208" s="1"/>
      <c r="U208" s="1"/>
      <c r="V208" s="1"/>
      <c r="Y208" s="482"/>
      <c r="Z208" s="401"/>
      <c r="AA208" s="390"/>
      <c r="AB208" s="402"/>
      <c r="AC208" s="390"/>
      <c r="AD208" s="1"/>
      <c r="AE208" s="390"/>
      <c r="AF208" s="483"/>
      <c r="AJ208" s="484"/>
      <c r="AK208" s="63"/>
    </row>
    <row r="209" spans="2:37" ht="15" customHeight="1">
      <c r="B209" s="465"/>
      <c r="C209" s="400"/>
      <c r="D209" s="477"/>
      <c r="E209" s="477"/>
      <c r="F209" s="477"/>
      <c r="G209" s="477"/>
      <c r="H209" s="383"/>
      <c r="I209" s="471"/>
      <c r="J209" s="428"/>
      <c r="K209" s="428"/>
      <c r="L209" s="472"/>
      <c r="M209" s="478"/>
      <c r="N209" s="478"/>
      <c r="O209" s="376"/>
      <c r="P209" s="485"/>
      <c r="Q209" s="480"/>
      <c r="R209" s="481"/>
      <c r="Y209" s="482"/>
      <c r="Z209" s="401"/>
      <c r="AA209" s="390"/>
      <c r="AB209" s="402"/>
      <c r="AC209" s="390"/>
      <c r="AE209" s="390"/>
      <c r="AF209" s="483"/>
      <c r="AJ209" s="484"/>
      <c r="AK209" s="63"/>
    </row>
    <row r="210" spans="2:37" ht="15" customHeight="1">
      <c r="B210" s="465"/>
      <c r="C210" s="400"/>
      <c r="D210" s="477"/>
      <c r="E210" s="477"/>
      <c r="F210" s="477"/>
      <c r="G210" s="477"/>
      <c r="H210" s="383"/>
      <c r="I210" s="471"/>
      <c r="J210" s="428"/>
      <c r="K210" s="428"/>
      <c r="L210" s="472"/>
      <c r="M210" s="478"/>
      <c r="N210" s="478"/>
      <c r="O210" s="376"/>
      <c r="P210" s="432"/>
      <c r="Q210" s="480"/>
      <c r="R210" s="481"/>
      <c r="Y210" s="482"/>
      <c r="Z210" s="401"/>
      <c r="AA210" s="390"/>
      <c r="AB210" s="402"/>
      <c r="AC210" s="390"/>
      <c r="AE210" s="390"/>
      <c r="AF210" s="483"/>
      <c r="AJ210" s="484"/>
      <c r="AK210" s="63"/>
    </row>
    <row r="211" spans="2:37" ht="15" customHeight="1">
      <c r="B211" s="465"/>
      <c r="C211" s="400"/>
      <c r="D211" s="477"/>
      <c r="E211" s="477"/>
      <c r="F211" s="477"/>
      <c r="G211" s="477"/>
      <c r="H211" s="383"/>
      <c r="I211" s="471"/>
      <c r="J211" s="428"/>
      <c r="K211" s="428"/>
      <c r="L211" s="472"/>
      <c r="M211" s="478"/>
      <c r="N211" s="478"/>
      <c r="O211" s="376"/>
      <c r="P211" s="432"/>
      <c r="Q211" s="480"/>
      <c r="R211" s="481"/>
      <c r="Y211" s="482"/>
      <c r="Z211" s="401"/>
      <c r="AA211" s="390"/>
      <c r="AB211" s="402"/>
      <c r="AC211" s="390"/>
      <c r="AE211" s="390"/>
      <c r="AF211" s="483"/>
      <c r="AJ211" s="484"/>
      <c r="AK211" s="63"/>
    </row>
    <row r="212" spans="2:37" ht="15" customHeight="1">
      <c r="B212" s="465"/>
      <c r="C212" s="400"/>
      <c r="D212" s="477"/>
      <c r="E212" s="477"/>
      <c r="F212" s="477"/>
      <c r="G212" s="477"/>
      <c r="H212" s="383"/>
      <c r="I212" s="471"/>
      <c r="J212" s="428"/>
      <c r="K212" s="428"/>
      <c r="L212" s="472"/>
      <c r="M212" s="478"/>
      <c r="N212" s="478"/>
      <c r="O212" s="376"/>
      <c r="P212" s="432"/>
      <c r="Q212" s="480"/>
      <c r="R212" s="481"/>
      <c r="Y212" s="482"/>
      <c r="Z212" s="401"/>
      <c r="AA212" s="390"/>
      <c r="AB212" s="402"/>
      <c r="AC212" s="390"/>
      <c r="AE212" s="390"/>
      <c r="AF212" s="483"/>
      <c r="AJ212" s="484"/>
      <c r="AK212" s="63"/>
    </row>
    <row r="213" spans="2:37" ht="15" customHeight="1">
      <c r="B213" s="465"/>
      <c r="C213" s="400"/>
      <c r="D213" s="477"/>
      <c r="E213" s="477"/>
      <c r="F213" s="477"/>
      <c r="G213" s="477"/>
      <c r="H213" s="383"/>
      <c r="I213" s="471"/>
      <c r="J213" s="428"/>
      <c r="K213" s="428"/>
      <c r="L213" s="472"/>
      <c r="M213" s="478"/>
      <c r="N213" s="478"/>
      <c r="O213" s="376"/>
      <c r="P213" s="432"/>
      <c r="Q213" s="480"/>
      <c r="R213" s="481"/>
      <c r="Y213" s="482"/>
      <c r="Z213" s="401"/>
      <c r="AA213" s="390"/>
      <c r="AB213" s="402"/>
      <c r="AC213" s="390"/>
      <c r="AE213" s="390"/>
      <c r="AF213" s="483"/>
      <c r="AJ213" s="484"/>
      <c r="AK213" s="63"/>
    </row>
    <row r="214" spans="2:37" ht="15" customHeight="1">
      <c r="B214" s="465"/>
      <c r="C214" s="400"/>
      <c r="D214" s="477"/>
      <c r="E214" s="477"/>
      <c r="F214" s="477"/>
      <c r="G214" s="477"/>
      <c r="H214" s="383"/>
      <c r="I214" s="471"/>
      <c r="J214" s="428"/>
      <c r="K214" s="428"/>
      <c r="L214" s="472"/>
      <c r="M214" s="478"/>
      <c r="N214" s="478"/>
      <c r="O214" s="376"/>
      <c r="P214" s="432"/>
      <c r="Q214" s="480"/>
      <c r="R214" s="481"/>
      <c r="Y214" s="482"/>
      <c r="Z214" s="401"/>
      <c r="AA214" s="390"/>
      <c r="AB214" s="402"/>
      <c r="AC214" s="390"/>
      <c r="AE214" s="390"/>
      <c r="AF214" s="483"/>
      <c r="AJ214" s="484"/>
      <c r="AK214" s="63"/>
    </row>
    <row r="215" spans="2:37" ht="15" customHeight="1">
      <c r="B215" s="465"/>
      <c r="C215" s="400"/>
      <c r="D215" s="477"/>
      <c r="E215" s="477"/>
      <c r="F215" s="477"/>
      <c r="G215" s="477"/>
      <c r="H215" s="383"/>
      <c r="I215" s="471"/>
      <c r="J215" s="428"/>
      <c r="K215" s="428"/>
      <c r="L215" s="472"/>
      <c r="M215" s="478"/>
      <c r="N215" s="478"/>
      <c r="O215" s="376"/>
      <c r="P215" s="432"/>
      <c r="Q215" s="480"/>
      <c r="R215" s="481"/>
      <c r="Y215" s="482"/>
      <c r="Z215" s="401"/>
      <c r="AA215" s="390"/>
      <c r="AB215" s="402"/>
      <c r="AC215" s="390"/>
      <c r="AE215" s="390"/>
      <c r="AF215" s="483"/>
      <c r="AJ215" s="484"/>
      <c r="AK215" s="63"/>
    </row>
    <row r="216" spans="2:37" ht="15" customHeight="1">
      <c r="B216" s="465"/>
      <c r="C216" s="400"/>
      <c r="D216" s="477"/>
      <c r="E216" s="477"/>
      <c r="F216" s="477"/>
      <c r="G216" s="477"/>
      <c r="H216" s="383"/>
      <c r="I216" s="471"/>
      <c r="J216" s="428"/>
      <c r="K216" s="428"/>
      <c r="L216" s="472"/>
      <c r="M216" s="478"/>
      <c r="N216" s="478"/>
      <c r="O216" s="376"/>
      <c r="P216" s="485"/>
      <c r="Q216" s="480"/>
      <c r="R216" s="481"/>
      <c r="Y216" s="482"/>
      <c r="Z216" s="401"/>
      <c r="AA216" s="390"/>
      <c r="AB216" s="402"/>
      <c r="AC216" s="390"/>
      <c r="AE216" s="390"/>
      <c r="AF216" s="483"/>
      <c r="AJ216" s="484"/>
      <c r="AK216" s="63"/>
    </row>
    <row r="217" spans="2:37" ht="15" customHeight="1">
      <c r="B217" s="465"/>
      <c r="C217" s="400"/>
      <c r="D217" s="477"/>
      <c r="E217" s="477"/>
      <c r="F217" s="477"/>
      <c r="G217" s="477"/>
      <c r="H217" s="383"/>
      <c r="I217" s="471"/>
      <c r="J217" s="428"/>
      <c r="K217" s="428"/>
      <c r="L217" s="472"/>
      <c r="M217" s="478"/>
      <c r="N217" s="478"/>
      <c r="O217" s="376"/>
      <c r="P217" s="432"/>
      <c r="Q217" s="480"/>
      <c r="R217" s="481"/>
      <c r="Y217" s="482"/>
      <c r="Z217" s="401"/>
      <c r="AA217" s="390"/>
      <c r="AB217" s="402"/>
      <c r="AC217" s="390"/>
      <c r="AE217" s="390"/>
      <c r="AF217" s="483"/>
      <c r="AJ217" s="484"/>
      <c r="AK217" s="63"/>
    </row>
    <row r="218" spans="2:37" ht="15" customHeight="1">
      <c r="B218" s="465"/>
      <c r="C218" s="400"/>
      <c r="D218" s="477"/>
      <c r="E218" s="477"/>
      <c r="F218" s="477"/>
      <c r="G218" s="477"/>
      <c r="H218" s="383"/>
      <c r="I218" s="471"/>
      <c r="J218" s="428"/>
      <c r="K218" s="428"/>
      <c r="L218" s="472"/>
      <c r="M218" s="478"/>
      <c r="N218" s="478"/>
      <c r="O218" s="376"/>
      <c r="P218" s="432"/>
      <c r="Q218" s="480"/>
      <c r="R218" s="481"/>
      <c r="Y218" s="482"/>
      <c r="Z218" s="401"/>
      <c r="AA218" s="390"/>
      <c r="AB218" s="402"/>
      <c r="AC218" s="390"/>
      <c r="AE218" s="390"/>
      <c r="AF218" s="483"/>
      <c r="AJ218" s="484"/>
      <c r="AK218" s="63"/>
    </row>
    <row r="219" spans="2:37" ht="15" customHeight="1">
      <c r="B219" s="465"/>
      <c r="C219" s="400"/>
      <c r="D219" s="477"/>
      <c r="E219" s="477"/>
      <c r="F219" s="477"/>
      <c r="G219" s="477"/>
      <c r="H219" s="383"/>
      <c r="I219" s="471"/>
      <c r="J219" s="428"/>
      <c r="K219" s="428"/>
      <c r="L219" s="472"/>
      <c r="M219" s="478"/>
      <c r="N219" s="478"/>
      <c r="O219" s="376"/>
      <c r="P219" s="432"/>
      <c r="Q219" s="480"/>
      <c r="R219" s="481"/>
      <c r="Y219" s="482"/>
      <c r="Z219" s="401"/>
      <c r="AA219" s="390"/>
      <c r="AB219" s="402"/>
      <c r="AC219" s="390"/>
      <c r="AE219" s="390"/>
      <c r="AF219" s="483"/>
      <c r="AJ219" s="484"/>
      <c r="AK219" s="63"/>
    </row>
    <row r="220" spans="2:37" ht="15" customHeight="1">
      <c r="B220" s="465"/>
      <c r="C220" s="400"/>
      <c r="D220" s="477"/>
      <c r="E220" s="477"/>
      <c r="F220" s="477"/>
      <c r="G220" s="477"/>
      <c r="H220" s="383"/>
      <c r="I220" s="471"/>
      <c r="J220" s="428"/>
      <c r="K220" s="428"/>
      <c r="L220" s="472"/>
      <c r="M220" s="478"/>
      <c r="N220" s="478"/>
      <c r="O220" s="376"/>
      <c r="P220" s="432"/>
      <c r="Q220" s="480"/>
      <c r="R220" s="481"/>
      <c r="Y220" s="482"/>
      <c r="Z220" s="401"/>
      <c r="AA220" s="390"/>
      <c r="AB220" s="402"/>
      <c r="AC220" s="390"/>
      <c r="AE220" s="390"/>
      <c r="AF220" s="483"/>
      <c r="AJ220" s="484"/>
      <c r="AK220" s="63"/>
    </row>
    <row r="221" spans="2:37" ht="15" customHeight="1">
      <c r="B221" s="465"/>
      <c r="C221" s="400"/>
      <c r="D221" s="477"/>
      <c r="E221" s="477"/>
      <c r="F221" s="477"/>
      <c r="G221" s="477"/>
      <c r="H221" s="383"/>
      <c r="I221" s="471"/>
      <c r="J221" s="428"/>
      <c r="K221" s="428"/>
      <c r="L221" s="472"/>
      <c r="M221" s="478"/>
      <c r="N221" s="478"/>
      <c r="O221" s="376"/>
      <c r="P221" s="432"/>
      <c r="Q221" s="480"/>
      <c r="R221" s="481"/>
      <c r="Y221" s="482"/>
      <c r="Z221" s="401"/>
      <c r="AA221" s="390"/>
      <c r="AB221" s="402"/>
      <c r="AC221" s="390"/>
      <c r="AE221" s="390"/>
      <c r="AF221" s="483"/>
      <c r="AJ221" s="484"/>
      <c r="AK221" s="63"/>
    </row>
    <row r="222" spans="2:37" ht="15" customHeight="1">
      <c r="B222" s="476"/>
      <c r="C222" s="400"/>
      <c r="D222" s="477"/>
      <c r="E222" s="477"/>
      <c r="F222" s="477"/>
      <c r="G222" s="477"/>
      <c r="H222" s="383"/>
      <c r="I222" s="471"/>
      <c r="J222" s="428"/>
      <c r="K222" s="428"/>
      <c r="L222" s="472"/>
      <c r="M222" s="478"/>
      <c r="N222" s="478"/>
      <c r="O222" s="479"/>
      <c r="P222" s="432"/>
      <c r="Q222" s="480"/>
      <c r="R222" s="481"/>
      <c r="Y222" s="482"/>
      <c r="Z222" s="401"/>
      <c r="AA222" s="390"/>
      <c r="AB222" s="402"/>
      <c r="AC222" s="390"/>
      <c r="AE222" s="390"/>
      <c r="AF222" s="483"/>
      <c r="AJ222" s="484"/>
      <c r="AK222" s="63"/>
    </row>
    <row r="223" spans="2:37" ht="15" customHeight="1">
      <c r="B223" s="465"/>
      <c r="C223" s="400"/>
      <c r="D223" s="477"/>
      <c r="E223" s="477"/>
      <c r="F223" s="477"/>
      <c r="G223" s="477"/>
      <c r="H223" s="383"/>
      <c r="I223" s="471"/>
      <c r="J223" s="428"/>
      <c r="K223" s="428"/>
      <c r="L223" s="472"/>
      <c r="M223" s="478"/>
      <c r="N223" s="478"/>
      <c r="O223" s="376"/>
      <c r="P223" s="485"/>
      <c r="Q223" s="480"/>
      <c r="R223" s="481"/>
      <c r="Y223" s="482"/>
      <c r="Z223" s="401"/>
      <c r="AA223" s="390"/>
      <c r="AB223" s="402"/>
      <c r="AC223" s="390"/>
      <c r="AE223" s="390"/>
      <c r="AF223" s="483"/>
      <c r="AJ223" s="484"/>
      <c r="AK223" s="63"/>
    </row>
    <row r="224" spans="2:37" ht="15" customHeight="1">
      <c r="B224" s="465"/>
      <c r="C224" s="400"/>
      <c r="D224" s="477"/>
      <c r="E224" s="477"/>
      <c r="F224" s="477"/>
      <c r="G224" s="477"/>
      <c r="H224" s="383"/>
      <c r="I224" s="471"/>
      <c r="J224" s="428"/>
      <c r="K224" s="428"/>
      <c r="L224" s="472"/>
      <c r="M224" s="478"/>
      <c r="N224" s="478"/>
      <c r="O224" s="376"/>
      <c r="P224" s="485"/>
      <c r="Q224" s="480"/>
      <c r="R224" s="481"/>
      <c r="Y224" s="482"/>
      <c r="Z224" s="401"/>
      <c r="AA224" s="390"/>
      <c r="AB224" s="402"/>
      <c r="AC224" s="390"/>
      <c r="AE224" s="390"/>
      <c r="AF224" s="483"/>
      <c r="AJ224" s="484"/>
      <c r="AK224" s="63"/>
    </row>
    <row r="225" spans="2:37" ht="15" customHeight="1">
      <c r="B225" s="465"/>
      <c r="C225" s="400"/>
      <c r="D225" s="477"/>
      <c r="E225" s="477"/>
      <c r="F225" s="477"/>
      <c r="G225" s="477"/>
      <c r="H225" s="383"/>
      <c r="I225" s="471"/>
      <c r="J225" s="428"/>
      <c r="K225" s="428"/>
      <c r="L225" s="472"/>
      <c r="M225" s="478"/>
      <c r="N225" s="478"/>
      <c r="O225" s="376"/>
      <c r="P225" s="485"/>
      <c r="Q225" s="480"/>
      <c r="R225" s="481"/>
      <c r="Y225" s="482"/>
      <c r="Z225" s="401"/>
      <c r="AA225" s="390"/>
      <c r="AB225" s="402"/>
      <c r="AC225" s="390"/>
      <c r="AE225" s="390"/>
      <c r="AF225" s="483"/>
      <c r="AH225" s="1"/>
      <c r="AJ225" s="484"/>
      <c r="AK225" s="63"/>
    </row>
    <row r="226" spans="2:37" ht="15" customHeight="1">
      <c r="B226" s="465"/>
      <c r="C226" s="400"/>
      <c r="D226" s="477"/>
      <c r="E226" s="477"/>
      <c r="F226" s="477"/>
      <c r="G226" s="477"/>
      <c r="H226" s="383"/>
      <c r="I226" s="471"/>
      <c r="J226" s="428"/>
      <c r="K226" s="428"/>
      <c r="L226" s="472"/>
      <c r="M226" s="478"/>
      <c r="N226" s="478"/>
      <c r="O226" s="376"/>
      <c r="P226" s="432"/>
      <c r="Q226" s="480"/>
      <c r="R226" s="481"/>
      <c r="Y226" s="482"/>
      <c r="Z226" s="401"/>
      <c r="AA226" s="390"/>
      <c r="AB226" s="402"/>
      <c r="AC226" s="390"/>
      <c r="AE226" s="390"/>
      <c r="AF226" s="483"/>
      <c r="AJ226" s="484"/>
      <c r="AK226" s="63"/>
    </row>
    <row r="227" spans="2:37" s="1" customFormat="1" ht="15" customHeight="1">
      <c r="B227" s="465"/>
      <c r="C227" s="400"/>
      <c r="D227" s="477"/>
      <c r="E227" s="477"/>
      <c r="F227" s="477"/>
      <c r="G227" s="477"/>
      <c r="H227" s="383"/>
      <c r="I227" s="471"/>
      <c r="J227" s="428"/>
      <c r="K227" s="428"/>
      <c r="L227" s="472"/>
      <c r="M227" s="478"/>
      <c r="N227" s="478"/>
      <c r="O227" s="376"/>
      <c r="P227" s="432"/>
      <c r="Q227" s="480"/>
      <c r="R227" s="481"/>
      <c r="S227"/>
      <c r="W227"/>
      <c r="X227"/>
      <c r="Y227" s="482"/>
      <c r="Z227" s="401"/>
      <c r="AA227" s="390"/>
      <c r="AB227" s="402"/>
      <c r="AC227" s="390"/>
      <c r="AE227" s="390"/>
      <c r="AF227" s="483"/>
      <c r="AG227"/>
      <c r="AH227"/>
      <c r="AJ227" s="484"/>
      <c r="AK227" s="63"/>
    </row>
    <row r="228" spans="2:37" ht="15" customHeight="1">
      <c r="B228" s="465"/>
      <c r="C228" s="400"/>
      <c r="D228" s="477"/>
      <c r="E228" s="477"/>
      <c r="F228" s="477"/>
      <c r="G228" s="477"/>
      <c r="H228" s="383"/>
      <c r="I228" s="471"/>
      <c r="J228" s="428"/>
      <c r="K228" s="428"/>
      <c r="L228" s="472"/>
      <c r="M228" s="478"/>
      <c r="N228" s="478"/>
      <c r="O228" s="376"/>
      <c r="P228" s="485"/>
      <c r="Q228" s="480"/>
      <c r="R228" s="481"/>
      <c r="Y228" s="482"/>
      <c r="Z228" s="401"/>
      <c r="AA228" s="390"/>
      <c r="AB228" s="402"/>
      <c r="AC228" s="390"/>
      <c r="AE228" s="390"/>
      <c r="AF228" s="483"/>
      <c r="AH228" s="1"/>
      <c r="AJ228" s="484"/>
      <c r="AK228" s="63"/>
    </row>
    <row r="229" spans="2:37" ht="15" customHeight="1">
      <c r="B229" s="465"/>
      <c r="C229" s="400"/>
      <c r="D229" s="477"/>
      <c r="E229" s="477"/>
      <c r="F229" s="477"/>
      <c r="G229" s="477"/>
      <c r="H229" s="383"/>
      <c r="I229" s="471"/>
      <c r="J229" s="428"/>
      <c r="K229" s="428"/>
      <c r="L229" s="472"/>
      <c r="M229" s="478"/>
      <c r="N229" s="478"/>
      <c r="O229" s="376"/>
      <c r="P229" s="432"/>
      <c r="Q229" s="480"/>
      <c r="R229" s="481"/>
      <c r="Y229" s="482"/>
      <c r="Z229" s="401"/>
      <c r="AA229" s="390"/>
      <c r="AB229" s="402"/>
      <c r="AC229" s="390"/>
      <c r="AE229" s="390"/>
      <c r="AF229" s="483"/>
      <c r="AJ229" s="484"/>
      <c r="AK229" s="63"/>
    </row>
    <row r="230" spans="2:37" s="1" customFormat="1" ht="15" customHeight="1">
      <c r="B230" s="465"/>
      <c r="C230" s="400"/>
      <c r="D230" s="477"/>
      <c r="E230" s="477"/>
      <c r="F230" s="477"/>
      <c r="G230" s="477"/>
      <c r="H230" s="383"/>
      <c r="I230" s="471"/>
      <c r="J230" s="428"/>
      <c r="K230" s="428"/>
      <c r="L230" s="472"/>
      <c r="M230" s="478"/>
      <c r="N230" s="478"/>
      <c r="O230" s="376"/>
      <c r="P230" s="432"/>
      <c r="Q230" s="480"/>
      <c r="R230" s="481"/>
      <c r="S230"/>
      <c r="W230"/>
      <c r="X230"/>
      <c r="Y230" s="482"/>
      <c r="Z230" s="401"/>
      <c r="AA230" s="390"/>
      <c r="AB230" s="402"/>
      <c r="AC230" s="390"/>
      <c r="AE230" s="390"/>
      <c r="AF230" s="483"/>
      <c r="AG230"/>
      <c r="AH230"/>
      <c r="AJ230" s="484"/>
      <c r="AK230" s="63"/>
    </row>
    <row r="231" spans="2:37" ht="15" customHeight="1">
      <c r="B231" s="465"/>
      <c r="C231" s="400"/>
      <c r="D231" s="477"/>
      <c r="E231" s="477"/>
      <c r="F231" s="477"/>
      <c r="G231" s="477"/>
      <c r="H231" s="383"/>
      <c r="I231" s="471"/>
      <c r="J231" s="428"/>
      <c r="K231" s="428"/>
      <c r="L231" s="472"/>
      <c r="M231" s="478"/>
      <c r="N231" s="478"/>
      <c r="O231" s="376"/>
      <c r="P231" s="432"/>
      <c r="Q231" s="480"/>
      <c r="R231" s="481"/>
      <c r="Y231" s="482"/>
      <c r="Z231" s="401"/>
      <c r="AA231" s="390"/>
      <c r="AB231" s="402"/>
      <c r="AC231" s="390"/>
      <c r="AE231" s="390"/>
      <c r="AF231" s="483"/>
      <c r="AJ231" s="484"/>
      <c r="AK231" s="63"/>
    </row>
    <row r="232" spans="2:37" ht="15" customHeight="1">
      <c r="B232" s="465"/>
      <c r="C232" s="400"/>
      <c r="D232" s="477"/>
      <c r="E232" s="477"/>
      <c r="F232" s="477"/>
      <c r="G232" s="477"/>
      <c r="H232" s="383"/>
      <c r="I232" s="471"/>
      <c r="J232" s="428"/>
      <c r="K232" s="428"/>
      <c r="L232" s="472"/>
      <c r="M232" s="478"/>
      <c r="N232" s="478"/>
      <c r="O232" s="376"/>
      <c r="P232" s="432"/>
      <c r="Q232" s="480"/>
      <c r="R232" s="481"/>
      <c r="Y232" s="482"/>
      <c r="Z232" s="401"/>
      <c r="AA232" s="390"/>
      <c r="AB232" s="402"/>
      <c r="AC232" s="390"/>
      <c r="AE232" s="390"/>
      <c r="AF232" s="483"/>
      <c r="AJ232" s="484"/>
      <c r="AK232" s="63"/>
    </row>
    <row r="233" spans="2:37" ht="15" customHeight="1">
      <c r="B233" s="465"/>
      <c r="C233" s="400"/>
      <c r="D233" s="477"/>
      <c r="E233" s="477"/>
      <c r="F233" s="477"/>
      <c r="G233" s="477"/>
      <c r="H233" s="383"/>
      <c r="I233" s="471"/>
      <c r="J233" s="428"/>
      <c r="K233" s="428"/>
      <c r="L233" s="472"/>
      <c r="M233" s="478"/>
      <c r="N233" s="478"/>
      <c r="O233" s="376"/>
      <c r="P233" s="432"/>
      <c r="Q233" s="480"/>
      <c r="R233" s="481"/>
      <c r="Y233" s="482"/>
      <c r="Z233" s="401"/>
      <c r="AA233" s="390"/>
      <c r="AB233" s="402"/>
      <c r="AC233" s="390"/>
      <c r="AE233" s="390"/>
      <c r="AF233" s="483"/>
      <c r="AJ233" s="484"/>
      <c r="AK233" s="63"/>
    </row>
    <row r="234" spans="2:37" ht="15" customHeight="1">
      <c r="B234" s="465"/>
      <c r="C234" s="400"/>
      <c r="D234" s="477"/>
      <c r="E234" s="477"/>
      <c r="F234" s="477"/>
      <c r="G234" s="477"/>
      <c r="H234" s="383"/>
      <c r="I234" s="471"/>
      <c r="J234" s="428"/>
      <c r="K234" s="428"/>
      <c r="L234" s="472"/>
      <c r="M234" s="478"/>
      <c r="N234" s="478"/>
      <c r="O234" s="376"/>
      <c r="P234" s="432"/>
      <c r="Q234" s="480"/>
      <c r="R234" s="481"/>
      <c r="Y234" s="482"/>
      <c r="Z234" s="401"/>
      <c r="AA234" s="390"/>
      <c r="AB234" s="402"/>
      <c r="AC234" s="390"/>
      <c r="AE234" s="390"/>
      <c r="AF234" s="483"/>
      <c r="AJ234" s="484"/>
      <c r="AK234" s="63"/>
    </row>
    <row r="235" spans="2:37" ht="15" customHeight="1">
      <c r="B235" s="465"/>
      <c r="C235" s="400"/>
      <c r="D235" s="477"/>
      <c r="E235" s="477"/>
      <c r="F235" s="477"/>
      <c r="G235" s="477"/>
      <c r="H235" s="383"/>
      <c r="I235" s="471"/>
      <c r="J235" s="428"/>
      <c r="K235" s="428"/>
      <c r="L235" s="472"/>
      <c r="M235" s="478"/>
      <c r="N235" s="478"/>
      <c r="O235" s="376"/>
      <c r="P235" s="432"/>
      <c r="Q235" s="480"/>
      <c r="R235" s="481"/>
      <c r="Y235" s="482"/>
      <c r="Z235" s="401"/>
      <c r="AA235" s="390"/>
      <c r="AB235" s="402"/>
      <c r="AC235" s="390"/>
      <c r="AE235" s="390"/>
      <c r="AF235" s="483"/>
      <c r="AJ235" s="484"/>
      <c r="AK235" s="63"/>
    </row>
    <row r="236" spans="2:37" ht="15" customHeight="1">
      <c r="B236" s="465"/>
      <c r="C236" s="400"/>
      <c r="D236" s="477"/>
      <c r="E236" s="477"/>
      <c r="F236" s="477"/>
      <c r="G236" s="477"/>
      <c r="H236" s="383"/>
      <c r="I236" s="471"/>
      <c r="J236" s="428"/>
      <c r="K236" s="428"/>
      <c r="L236" s="472"/>
      <c r="M236" s="478"/>
      <c r="N236" s="478"/>
      <c r="O236" s="376"/>
      <c r="P236" s="432"/>
      <c r="Q236" s="480"/>
      <c r="R236" s="481"/>
      <c r="Y236" s="482"/>
      <c r="Z236" s="401"/>
      <c r="AA236" s="390"/>
      <c r="AB236" s="402"/>
      <c r="AC236" s="390"/>
      <c r="AE236" s="390"/>
      <c r="AF236" s="483"/>
      <c r="AJ236" s="484"/>
      <c r="AK236" s="63"/>
    </row>
    <row r="237" spans="2:37" ht="15" customHeight="1">
      <c r="B237" s="465"/>
      <c r="C237" s="400"/>
      <c r="D237" s="477"/>
      <c r="E237" s="477"/>
      <c r="F237" s="477"/>
      <c r="G237" s="477"/>
      <c r="H237" s="383"/>
      <c r="I237" s="471"/>
      <c r="J237" s="428"/>
      <c r="K237" s="428"/>
      <c r="L237" s="472"/>
      <c r="M237" s="478"/>
      <c r="N237" s="478"/>
      <c r="O237" s="376"/>
      <c r="P237" s="432"/>
      <c r="Q237" s="480"/>
      <c r="R237" s="481"/>
      <c r="Y237" s="482"/>
      <c r="Z237" s="401"/>
      <c r="AA237" s="390"/>
      <c r="AB237" s="402"/>
      <c r="AC237" s="390"/>
      <c r="AE237" s="390"/>
      <c r="AF237" s="483"/>
      <c r="AJ237" s="484"/>
      <c r="AK237" s="63"/>
    </row>
    <row r="238" spans="2:37" ht="15" customHeight="1">
      <c r="B238" s="476"/>
      <c r="C238" s="400"/>
      <c r="D238" s="477"/>
      <c r="E238" s="477"/>
      <c r="F238" s="477"/>
      <c r="G238" s="477"/>
      <c r="H238" s="383"/>
      <c r="I238" s="471"/>
      <c r="J238" s="428"/>
      <c r="K238" s="428"/>
      <c r="L238" s="472"/>
      <c r="M238" s="478"/>
      <c r="N238" s="478"/>
      <c r="O238" s="479"/>
      <c r="P238" s="432"/>
      <c r="Q238" s="480"/>
      <c r="R238" s="481"/>
      <c r="Y238" s="482"/>
      <c r="Z238" s="401"/>
      <c r="AA238" s="390"/>
      <c r="AB238" s="402"/>
      <c r="AC238" s="390"/>
      <c r="AE238" s="390"/>
      <c r="AF238" s="483"/>
      <c r="AJ238" s="484"/>
      <c r="AK238" s="63"/>
    </row>
    <row r="239" spans="2:37" ht="15" customHeight="1">
      <c r="B239" s="465"/>
      <c r="C239" s="400"/>
      <c r="D239" s="477"/>
      <c r="E239" s="477"/>
      <c r="F239" s="477"/>
      <c r="G239" s="477"/>
      <c r="H239" s="383"/>
      <c r="I239" s="471"/>
      <c r="J239" s="428"/>
      <c r="K239" s="428"/>
      <c r="L239" s="472"/>
      <c r="M239" s="478"/>
      <c r="N239" s="478"/>
      <c r="O239" s="376"/>
      <c r="P239" s="432"/>
      <c r="Q239" s="480"/>
      <c r="R239" s="481"/>
      <c r="Y239" s="482"/>
      <c r="Z239" s="401"/>
      <c r="AA239" s="390"/>
      <c r="AB239" s="402"/>
      <c r="AC239" s="390"/>
      <c r="AE239" s="390"/>
      <c r="AF239" s="483"/>
      <c r="AJ239" s="484"/>
      <c r="AK239" s="63"/>
    </row>
    <row r="240" spans="2:37" ht="15" customHeight="1">
      <c r="B240" s="476"/>
      <c r="C240" s="400"/>
      <c r="D240" s="477"/>
      <c r="E240" s="477"/>
      <c r="F240" s="477"/>
      <c r="G240" s="477"/>
      <c r="H240" s="383"/>
      <c r="I240" s="471"/>
      <c r="J240" s="428"/>
      <c r="K240" s="428"/>
      <c r="L240" s="472"/>
      <c r="M240" s="478"/>
      <c r="N240" s="478"/>
      <c r="O240" s="479"/>
      <c r="P240" s="485"/>
      <c r="Q240" s="480"/>
      <c r="R240" s="481"/>
      <c r="Y240" s="482"/>
      <c r="Z240" s="401"/>
      <c r="AA240" s="390"/>
      <c r="AB240" s="402"/>
      <c r="AC240" s="390"/>
      <c r="AE240" s="390"/>
      <c r="AF240" s="483"/>
      <c r="AJ240" s="484"/>
      <c r="AK240" s="63"/>
    </row>
    <row r="241" spans="2:37" ht="15" customHeight="1">
      <c r="B241" s="476"/>
      <c r="C241" s="400"/>
      <c r="D241" s="477"/>
      <c r="E241" s="477"/>
      <c r="F241" s="477"/>
      <c r="G241" s="477"/>
      <c r="H241" s="383"/>
      <c r="I241" s="471"/>
      <c r="J241" s="428"/>
      <c r="K241" s="428"/>
      <c r="L241" s="472"/>
      <c r="M241" s="478"/>
      <c r="N241" s="478"/>
      <c r="O241" s="479"/>
      <c r="P241" s="432"/>
      <c r="Q241" s="480"/>
      <c r="R241" s="481"/>
      <c r="Y241" s="482"/>
      <c r="Z241" s="401"/>
      <c r="AA241" s="390"/>
      <c r="AB241" s="402"/>
      <c r="AC241" s="390"/>
      <c r="AE241" s="390"/>
      <c r="AF241" s="483"/>
      <c r="AJ241" s="484"/>
      <c r="AK241" s="63"/>
    </row>
    <row r="242" spans="2:37" ht="15" customHeight="1">
      <c r="B242" s="465"/>
      <c r="C242" s="400"/>
      <c r="D242" s="477"/>
      <c r="E242" s="477"/>
      <c r="F242" s="477"/>
      <c r="G242" s="477"/>
      <c r="H242" s="383"/>
      <c r="I242" s="471"/>
      <c r="J242" s="428"/>
      <c r="K242" s="428"/>
      <c r="L242" s="472"/>
      <c r="M242" s="478"/>
      <c r="N242" s="478"/>
      <c r="O242" s="376"/>
      <c r="P242" s="432"/>
      <c r="Q242" s="480"/>
      <c r="R242" s="481"/>
      <c r="Y242" s="482"/>
      <c r="Z242" s="401"/>
      <c r="AA242" s="390"/>
      <c r="AB242" s="402"/>
      <c r="AC242" s="390"/>
      <c r="AE242" s="390"/>
      <c r="AF242" s="483"/>
      <c r="AJ242" s="484"/>
      <c r="AK242" s="63"/>
    </row>
    <row r="243" spans="2:37" ht="15" customHeight="1">
      <c r="B243" s="476"/>
      <c r="C243" s="400"/>
      <c r="D243" s="477"/>
      <c r="E243" s="477"/>
      <c r="F243" s="477"/>
      <c r="G243" s="477"/>
      <c r="H243" s="383"/>
      <c r="I243" s="471"/>
      <c r="J243" s="428"/>
      <c r="K243" s="428"/>
      <c r="L243" s="472"/>
      <c r="M243" s="478"/>
      <c r="N243" s="478"/>
      <c r="O243" s="479"/>
      <c r="P243" s="432"/>
      <c r="Q243" s="480"/>
      <c r="R243" s="481"/>
      <c r="Y243" s="482"/>
      <c r="Z243" s="401"/>
      <c r="AA243" s="390"/>
      <c r="AB243" s="402"/>
      <c r="AC243" s="390"/>
      <c r="AE243" s="390"/>
      <c r="AF243" s="483"/>
      <c r="AJ243" s="484"/>
      <c r="AK243" s="63"/>
    </row>
    <row r="244" spans="2:37" ht="15" customHeight="1">
      <c r="B244" s="465"/>
      <c r="C244" s="400"/>
      <c r="D244" s="477"/>
      <c r="E244" s="477"/>
      <c r="F244" s="477"/>
      <c r="G244" s="477"/>
      <c r="H244" s="383"/>
      <c r="I244" s="471"/>
      <c r="J244" s="428"/>
      <c r="K244" s="428"/>
      <c r="L244" s="472"/>
      <c r="M244" s="478"/>
      <c r="N244" s="478"/>
      <c r="O244" s="376"/>
      <c r="P244" s="485"/>
      <c r="Q244" s="480"/>
      <c r="R244" s="481"/>
      <c r="Y244" s="482"/>
      <c r="Z244" s="401"/>
      <c r="AA244" s="390"/>
      <c r="AB244" s="402"/>
      <c r="AC244" s="390"/>
      <c r="AE244" s="390"/>
      <c r="AF244" s="483"/>
      <c r="AJ244" s="484"/>
      <c r="AK244" s="63"/>
    </row>
    <row r="245" spans="2:37" ht="15" customHeight="1">
      <c r="B245" s="465"/>
      <c r="C245" s="400"/>
      <c r="D245" s="477"/>
      <c r="E245" s="477"/>
      <c r="F245" s="477"/>
      <c r="G245" s="477"/>
      <c r="H245" s="383"/>
      <c r="I245" s="471"/>
      <c r="J245" s="428"/>
      <c r="K245" s="428"/>
      <c r="L245" s="472"/>
      <c r="M245" s="478"/>
      <c r="N245" s="478"/>
      <c r="O245" s="376"/>
      <c r="P245" s="432"/>
      <c r="Q245" s="480"/>
      <c r="R245" s="481"/>
      <c r="Y245" s="482"/>
      <c r="Z245" s="401"/>
      <c r="AA245" s="390"/>
      <c r="AB245" s="402"/>
      <c r="AC245" s="390"/>
      <c r="AE245" s="390"/>
      <c r="AF245" s="483"/>
      <c r="AJ245" s="484"/>
      <c r="AK245" s="63"/>
    </row>
    <row r="246" spans="2:37" ht="15" customHeight="1">
      <c r="B246" s="476"/>
      <c r="C246" s="400"/>
      <c r="D246" s="477"/>
      <c r="E246" s="477"/>
      <c r="F246" s="477"/>
      <c r="G246" s="477"/>
      <c r="H246" s="383"/>
      <c r="I246" s="471"/>
      <c r="J246" s="428"/>
      <c r="K246" s="428"/>
      <c r="L246" s="472"/>
      <c r="M246" s="478"/>
      <c r="N246" s="478"/>
      <c r="O246" s="479"/>
      <c r="P246" s="485"/>
      <c r="Q246" s="480"/>
      <c r="R246" s="481"/>
      <c r="Y246" s="482"/>
      <c r="Z246" s="401"/>
      <c r="AA246" s="390"/>
      <c r="AB246" s="402"/>
      <c r="AC246" s="390"/>
      <c r="AE246" s="390"/>
      <c r="AF246" s="483"/>
      <c r="AJ246" s="484"/>
      <c r="AK246" s="63"/>
    </row>
    <row r="247" spans="2:37" ht="15" customHeight="1">
      <c r="B247" s="465"/>
      <c r="C247" s="400"/>
      <c r="D247" s="477"/>
      <c r="E247" s="477"/>
      <c r="F247" s="477"/>
      <c r="G247" s="477"/>
      <c r="H247" s="383"/>
      <c r="I247" s="471"/>
      <c r="J247" s="428"/>
      <c r="K247" s="428"/>
      <c r="L247" s="472"/>
      <c r="M247" s="478"/>
      <c r="N247" s="478"/>
      <c r="O247" s="376"/>
      <c r="P247" s="432"/>
      <c r="Q247" s="480"/>
      <c r="R247" s="481"/>
      <c r="Y247" s="482"/>
      <c r="Z247" s="401"/>
      <c r="AA247" s="390"/>
      <c r="AB247" s="402"/>
      <c r="AC247" s="390"/>
      <c r="AE247" s="390"/>
      <c r="AF247" s="483"/>
      <c r="AJ247" s="484"/>
      <c r="AK247" s="63"/>
    </row>
    <row r="248" spans="2:37" ht="15" customHeight="1">
      <c r="B248" s="476"/>
      <c r="C248" s="400"/>
      <c r="D248" s="477"/>
      <c r="E248" s="477"/>
      <c r="F248" s="477"/>
      <c r="G248" s="477"/>
      <c r="H248" s="383"/>
      <c r="I248" s="471"/>
      <c r="J248" s="428"/>
      <c r="K248" s="428"/>
      <c r="L248" s="472"/>
      <c r="M248" s="478"/>
      <c r="N248" s="478"/>
      <c r="O248" s="479"/>
      <c r="P248" s="432"/>
      <c r="Q248" s="480"/>
      <c r="R248" s="481"/>
      <c r="Y248" s="482"/>
      <c r="Z248" s="401"/>
      <c r="AA248" s="390"/>
      <c r="AB248" s="402"/>
      <c r="AC248" s="390"/>
      <c r="AE248" s="390"/>
      <c r="AF248" s="483"/>
      <c r="AJ248" s="484"/>
      <c r="AK248" s="63"/>
    </row>
    <row r="249" spans="2:37" ht="15" customHeight="1">
      <c r="B249" s="465"/>
      <c r="C249" s="400"/>
      <c r="D249" s="477"/>
      <c r="E249" s="477"/>
      <c r="F249" s="477"/>
      <c r="G249" s="477"/>
      <c r="H249" s="383"/>
      <c r="I249" s="471"/>
      <c r="J249" s="428"/>
      <c r="K249" s="428"/>
      <c r="L249" s="472"/>
      <c r="M249" s="478"/>
      <c r="N249" s="478"/>
      <c r="O249" s="376"/>
      <c r="P249" s="432"/>
      <c r="Q249" s="480"/>
      <c r="R249" s="481"/>
      <c r="Y249" s="482"/>
      <c r="Z249" s="401"/>
      <c r="AA249" s="390"/>
      <c r="AB249" s="402"/>
      <c r="AC249" s="390"/>
      <c r="AE249" s="390"/>
      <c r="AF249" s="483"/>
      <c r="AJ249" s="484"/>
      <c r="AK249" s="63"/>
    </row>
    <row r="250" spans="2:37" ht="15" customHeight="1">
      <c r="B250" s="465"/>
      <c r="C250" s="400"/>
      <c r="D250" s="477"/>
      <c r="E250" s="477"/>
      <c r="F250" s="477"/>
      <c r="G250" s="477"/>
      <c r="H250" s="383"/>
      <c r="I250" s="471"/>
      <c r="J250" s="428"/>
      <c r="K250" s="428"/>
      <c r="L250" s="472"/>
      <c r="M250" s="478"/>
      <c r="N250" s="478"/>
      <c r="O250" s="376"/>
      <c r="P250" s="432"/>
      <c r="Q250" s="480"/>
      <c r="R250" s="481"/>
      <c r="Y250" s="482"/>
      <c r="Z250" s="401"/>
      <c r="AA250" s="390"/>
      <c r="AB250" s="402"/>
      <c r="AC250" s="390"/>
      <c r="AE250" s="390"/>
      <c r="AF250" s="483"/>
      <c r="AJ250" s="484"/>
      <c r="AK250" s="63"/>
    </row>
    <row r="251" spans="2:37" ht="15" customHeight="1">
      <c r="B251" s="465"/>
      <c r="C251" s="400"/>
      <c r="D251" s="477"/>
      <c r="E251" s="477"/>
      <c r="F251" s="477"/>
      <c r="G251" s="477"/>
      <c r="H251" s="383"/>
      <c r="I251" s="471"/>
      <c r="J251" s="428"/>
      <c r="K251" s="428"/>
      <c r="L251" s="472"/>
      <c r="M251" s="478"/>
      <c r="N251" s="478"/>
      <c r="O251" s="376"/>
      <c r="P251" s="432"/>
      <c r="Q251" s="480"/>
      <c r="R251" s="481"/>
      <c r="Y251" s="482"/>
      <c r="Z251" s="401"/>
      <c r="AA251" s="390"/>
      <c r="AB251" s="402"/>
      <c r="AC251" s="390"/>
      <c r="AE251" s="390"/>
      <c r="AF251" s="483"/>
      <c r="AJ251" s="484"/>
      <c r="AK251" s="63"/>
    </row>
    <row r="252" spans="2:37" ht="15" customHeight="1">
      <c r="B252" s="465"/>
      <c r="C252" s="400"/>
      <c r="D252" s="477"/>
      <c r="E252" s="477"/>
      <c r="F252" s="477"/>
      <c r="G252" s="477"/>
      <c r="H252" s="383"/>
      <c r="I252" s="471"/>
      <c r="J252" s="428"/>
      <c r="K252" s="428"/>
      <c r="L252" s="472"/>
      <c r="M252" s="478"/>
      <c r="N252" s="478"/>
      <c r="O252" s="376"/>
      <c r="P252" s="432"/>
      <c r="Q252" s="480"/>
      <c r="R252" s="481"/>
      <c r="Y252" s="482"/>
      <c r="Z252" s="401"/>
      <c r="AA252" s="390"/>
      <c r="AB252" s="402"/>
      <c r="AC252" s="390"/>
      <c r="AE252" s="390"/>
      <c r="AF252" s="483"/>
      <c r="AJ252" s="484"/>
      <c r="AK252" s="63"/>
    </row>
    <row r="253" spans="2:37" ht="15" customHeight="1">
      <c r="B253" s="465"/>
      <c r="C253" s="400"/>
      <c r="D253" s="477"/>
      <c r="E253" s="477"/>
      <c r="F253" s="477"/>
      <c r="G253" s="477"/>
      <c r="H253" s="383"/>
      <c r="I253" s="471"/>
      <c r="J253" s="428"/>
      <c r="K253" s="428"/>
      <c r="L253" s="472"/>
      <c r="M253" s="478"/>
      <c r="N253" s="478"/>
      <c r="O253" s="376"/>
      <c r="P253" s="432"/>
      <c r="Q253" s="480"/>
      <c r="R253" s="481"/>
      <c r="Y253" s="482"/>
      <c r="Z253" s="401"/>
      <c r="AA253" s="390"/>
      <c r="AB253" s="402"/>
      <c r="AC253" s="390"/>
      <c r="AE253" s="390"/>
      <c r="AF253" s="483"/>
      <c r="AJ253" s="484"/>
      <c r="AK253" s="63"/>
    </row>
    <row r="254" spans="2:37" ht="15" customHeight="1">
      <c r="B254" s="465"/>
      <c r="C254" s="400"/>
      <c r="D254" s="477"/>
      <c r="E254" s="477"/>
      <c r="F254" s="477"/>
      <c r="G254" s="477"/>
      <c r="H254" s="383"/>
      <c r="I254" s="471"/>
      <c r="J254" s="428"/>
      <c r="K254" s="428"/>
      <c r="L254" s="472"/>
      <c r="M254" s="478"/>
      <c r="N254" s="478"/>
      <c r="O254" s="376"/>
      <c r="P254" s="485"/>
      <c r="Q254" s="480"/>
      <c r="R254" s="481"/>
      <c r="Y254" s="482"/>
      <c r="Z254" s="401"/>
      <c r="AA254" s="390"/>
      <c r="AB254" s="402"/>
      <c r="AC254" s="390"/>
      <c r="AE254" s="390"/>
      <c r="AF254" s="483"/>
      <c r="AJ254" s="484"/>
      <c r="AK254" s="63"/>
    </row>
    <row r="255" spans="2:37" ht="15" customHeight="1">
      <c r="B255" s="465"/>
      <c r="C255" s="400"/>
      <c r="D255" s="477"/>
      <c r="E255" s="477"/>
      <c r="F255" s="477"/>
      <c r="G255" s="477"/>
      <c r="H255" s="383"/>
      <c r="I255" s="471"/>
      <c r="J255" s="428"/>
      <c r="K255" s="428"/>
      <c r="L255" s="472"/>
      <c r="M255" s="478"/>
      <c r="N255" s="478"/>
      <c r="O255" s="376"/>
      <c r="P255" s="485"/>
      <c r="Q255" s="480"/>
      <c r="R255" s="481"/>
      <c r="Y255" s="482"/>
      <c r="Z255" s="401"/>
      <c r="AA255" s="390"/>
      <c r="AB255" s="402"/>
      <c r="AC255" s="390"/>
      <c r="AE255" s="390"/>
      <c r="AF255" s="483"/>
      <c r="AJ255" s="484"/>
      <c r="AK255" s="63"/>
    </row>
    <row r="256" spans="2:37" ht="15" customHeight="1">
      <c r="B256" s="465"/>
      <c r="C256" s="400"/>
      <c r="D256" s="477"/>
      <c r="E256" s="477"/>
      <c r="F256" s="477"/>
      <c r="G256" s="477"/>
      <c r="H256" s="383"/>
      <c r="I256" s="471"/>
      <c r="J256" s="428"/>
      <c r="K256" s="428"/>
      <c r="L256" s="472"/>
      <c r="M256" s="478"/>
      <c r="N256" s="478"/>
      <c r="O256" s="376"/>
      <c r="P256" s="432"/>
      <c r="Q256" s="480"/>
      <c r="R256" s="481"/>
      <c r="Y256" s="482"/>
      <c r="Z256" s="401"/>
      <c r="AA256" s="390"/>
      <c r="AB256" s="402"/>
      <c r="AC256" s="390"/>
      <c r="AE256" s="390"/>
      <c r="AF256" s="483"/>
      <c r="AJ256" s="484"/>
      <c r="AK256" s="63"/>
    </row>
    <row r="257" spans="2:37" ht="15" customHeight="1">
      <c r="B257" s="465"/>
      <c r="C257" s="400"/>
      <c r="D257" s="477"/>
      <c r="E257" s="477"/>
      <c r="F257" s="477"/>
      <c r="G257" s="477"/>
      <c r="H257" s="383"/>
      <c r="I257" s="471"/>
      <c r="J257" s="428"/>
      <c r="K257" s="428"/>
      <c r="L257" s="472"/>
      <c r="M257" s="478"/>
      <c r="N257" s="478"/>
      <c r="O257" s="376"/>
      <c r="P257" s="432"/>
      <c r="Q257" s="480"/>
      <c r="R257" s="481"/>
      <c r="Y257" s="482"/>
      <c r="Z257" s="401"/>
      <c r="AA257" s="390"/>
      <c r="AB257" s="402"/>
      <c r="AC257" s="390"/>
      <c r="AE257" s="390"/>
      <c r="AF257" s="483"/>
      <c r="AJ257" s="484"/>
      <c r="AK257" s="63"/>
    </row>
    <row r="258" spans="2:37" ht="15" customHeight="1">
      <c r="B258" s="465"/>
      <c r="C258" s="400"/>
      <c r="D258" s="477"/>
      <c r="E258" s="477"/>
      <c r="F258" s="477"/>
      <c r="G258" s="477"/>
      <c r="H258" s="383"/>
      <c r="I258" s="471"/>
      <c r="J258" s="428"/>
      <c r="K258" s="428"/>
      <c r="L258" s="472"/>
      <c r="M258" s="478"/>
      <c r="N258" s="478"/>
      <c r="O258" s="376"/>
      <c r="P258" s="432"/>
      <c r="Q258" s="480"/>
      <c r="R258" s="481"/>
      <c r="Y258" s="482"/>
      <c r="Z258" s="401"/>
      <c r="AA258" s="390"/>
      <c r="AB258" s="402"/>
      <c r="AC258" s="390"/>
      <c r="AE258" s="390"/>
      <c r="AF258" s="483"/>
      <c r="AJ258" s="484"/>
      <c r="AK258" s="63"/>
    </row>
    <row r="259" spans="2:37" ht="15" customHeight="1">
      <c r="B259" s="465"/>
      <c r="C259" s="400"/>
      <c r="D259" s="477"/>
      <c r="E259" s="477"/>
      <c r="F259" s="477"/>
      <c r="G259" s="477"/>
      <c r="H259" s="383"/>
      <c r="I259" s="471"/>
      <c r="J259" s="428"/>
      <c r="K259" s="428"/>
      <c r="L259" s="472"/>
      <c r="M259" s="478"/>
      <c r="N259" s="478"/>
      <c r="O259" s="376"/>
      <c r="P259" s="432"/>
      <c r="Q259" s="480"/>
      <c r="R259" s="481"/>
      <c r="Y259" s="482"/>
      <c r="Z259" s="401"/>
      <c r="AA259" s="390"/>
      <c r="AB259" s="402"/>
      <c r="AC259" s="390"/>
      <c r="AE259" s="390"/>
      <c r="AF259" s="483"/>
      <c r="AJ259" s="484"/>
      <c r="AK259" s="63"/>
    </row>
    <row r="260" spans="2:37" ht="15" customHeight="1">
      <c r="B260" s="465"/>
      <c r="C260" s="400"/>
      <c r="D260" s="477"/>
      <c r="E260" s="477"/>
      <c r="F260" s="477"/>
      <c r="G260" s="477"/>
      <c r="H260" s="383"/>
      <c r="I260" s="471"/>
      <c r="J260" s="428"/>
      <c r="K260" s="428"/>
      <c r="L260" s="472"/>
      <c r="M260" s="478"/>
      <c r="N260" s="478"/>
      <c r="O260" s="376"/>
      <c r="P260" s="432"/>
      <c r="Q260" s="480"/>
      <c r="R260" s="481"/>
      <c r="Y260" s="482"/>
      <c r="Z260" s="401"/>
      <c r="AA260" s="390"/>
      <c r="AB260" s="402"/>
      <c r="AC260" s="390"/>
      <c r="AE260" s="390"/>
      <c r="AF260" s="483"/>
      <c r="AJ260" s="484"/>
      <c r="AK260" s="63"/>
    </row>
    <row r="261" spans="2:37" ht="15" customHeight="1">
      <c r="B261" s="465"/>
      <c r="C261" s="400"/>
      <c r="D261" s="477"/>
      <c r="E261" s="477"/>
      <c r="F261" s="477"/>
      <c r="G261" s="477"/>
      <c r="H261" s="383"/>
      <c r="I261" s="471"/>
      <c r="J261" s="428"/>
      <c r="K261" s="428"/>
      <c r="L261" s="472"/>
      <c r="M261" s="478"/>
      <c r="N261" s="478"/>
      <c r="O261" s="376"/>
      <c r="P261" s="432"/>
      <c r="Q261" s="480"/>
      <c r="R261" s="481"/>
      <c r="Y261" s="482"/>
      <c r="Z261" s="401"/>
      <c r="AA261" s="390"/>
      <c r="AB261" s="402"/>
      <c r="AC261" s="390"/>
      <c r="AE261" s="390"/>
      <c r="AF261" s="483"/>
      <c r="AJ261" s="484"/>
      <c r="AK261" s="63"/>
    </row>
    <row r="262" spans="2:37" ht="15" customHeight="1">
      <c r="B262" s="465"/>
      <c r="C262" s="400"/>
      <c r="D262" s="477"/>
      <c r="E262" s="477"/>
      <c r="F262" s="477"/>
      <c r="G262" s="477"/>
      <c r="H262" s="383"/>
      <c r="I262" s="471"/>
      <c r="J262" s="428"/>
      <c r="K262" s="428"/>
      <c r="L262" s="472"/>
      <c r="M262" s="478"/>
      <c r="N262" s="478"/>
      <c r="O262" s="376"/>
      <c r="P262" s="432"/>
      <c r="Q262" s="480"/>
      <c r="R262" s="481"/>
      <c r="Y262" s="482"/>
      <c r="Z262" s="401"/>
      <c r="AA262" s="390"/>
      <c r="AB262" s="402"/>
      <c r="AC262" s="390"/>
      <c r="AE262" s="390"/>
      <c r="AF262" s="483"/>
      <c r="AJ262" s="484"/>
      <c r="AK262" s="63"/>
    </row>
    <row r="263" spans="2:37" ht="15" customHeight="1">
      <c r="B263" s="465"/>
      <c r="C263" s="400"/>
      <c r="D263" s="477"/>
      <c r="E263" s="477"/>
      <c r="F263" s="477"/>
      <c r="G263" s="477"/>
      <c r="H263" s="383"/>
      <c r="I263" s="471"/>
      <c r="J263" s="428"/>
      <c r="K263" s="428"/>
      <c r="L263" s="472"/>
      <c r="M263" s="478"/>
      <c r="N263" s="478"/>
      <c r="O263" s="376"/>
      <c r="P263" s="432"/>
      <c r="Q263" s="480"/>
      <c r="R263" s="481"/>
      <c r="Y263" s="482"/>
      <c r="Z263" s="401"/>
      <c r="AA263" s="390"/>
      <c r="AB263" s="402"/>
      <c r="AC263" s="390"/>
      <c r="AE263" s="390"/>
      <c r="AF263" s="483"/>
      <c r="AJ263" s="484"/>
      <c r="AK263" s="63"/>
    </row>
    <row r="264" spans="2:37" ht="15" customHeight="1">
      <c r="B264" s="465"/>
      <c r="C264" s="400"/>
      <c r="D264" s="477"/>
      <c r="E264" s="477"/>
      <c r="F264" s="477"/>
      <c r="G264" s="477"/>
      <c r="H264" s="383"/>
      <c r="I264" s="471"/>
      <c r="J264" s="428"/>
      <c r="K264" s="428"/>
      <c r="L264" s="472"/>
      <c r="M264" s="478"/>
      <c r="N264" s="478"/>
      <c r="O264" s="376"/>
      <c r="P264" s="432"/>
      <c r="Q264" s="480"/>
      <c r="R264" s="481"/>
      <c r="Y264" s="482"/>
      <c r="Z264" s="401"/>
      <c r="AA264" s="390"/>
      <c r="AB264" s="402"/>
      <c r="AC264" s="390"/>
      <c r="AE264" s="390"/>
      <c r="AF264" s="483"/>
      <c r="AJ264" s="484"/>
      <c r="AK264" s="63"/>
    </row>
    <row r="265" spans="2:37" ht="15" customHeight="1">
      <c r="B265" s="465"/>
      <c r="C265" s="400"/>
      <c r="D265" s="477"/>
      <c r="E265" s="477"/>
      <c r="F265" s="477"/>
      <c r="G265" s="477"/>
      <c r="H265" s="383"/>
      <c r="I265" s="471"/>
      <c r="J265" s="428"/>
      <c r="K265" s="428"/>
      <c r="L265" s="472"/>
      <c r="M265" s="478"/>
      <c r="N265" s="478"/>
      <c r="O265" s="376"/>
      <c r="P265" s="432"/>
      <c r="Q265" s="480"/>
      <c r="R265" s="481"/>
      <c r="Y265" s="482"/>
      <c r="Z265" s="401"/>
      <c r="AA265" s="390"/>
      <c r="AB265" s="402"/>
      <c r="AC265" s="390"/>
      <c r="AE265" s="390"/>
      <c r="AF265" s="483"/>
      <c r="AJ265" s="484"/>
      <c r="AK265" s="63"/>
    </row>
    <row r="266" spans="2:37" ht="15" customHeight="1">
      <c r="B266" s="465"/>
      <c r="C266" s="400"/>
      <c r="D266" s="477"/>
      <c r="E266" s="477"/>
      <c r="F266" s="477"/>
      <c r="G266" s="477"/>
      <c r="H266" s="383"/>
      <c r="I266" s="471"/>
      <c r="J266" s="428"/>
      <c r="K266" s="428"/>
      <c r="L266" s="472"/>
      <c r="M266" s="478"/>
      <c r="N266" s="478"/>
      <c r="O266" s="376"/>
      <c r="P266" s="432"/>
      <c r="Q266" s="480"/>
      <c r="R266" s="481"/>
      <c r="Y266" s="482"/>
      <c r="Z266" s="401"/>
      <c r="AA266" s="390"/>
      <c r="AB266" s="402"/>
      <c r="AC266" s="390"/>
      <c r="AE266" s="390"/>
      <c r="AF266" s="483"/>
      <c r="AJ266" s="484"/>
      <c r="AK266" s="63"/>
    </row>
    <row r="267" spans="2:37" ht="15" customHeight="1">
      <c r="B267" s="465"/>
      <c r="C267" s="400"/>
      <c r="D267" s="477"/>
      <c r="E267" s="477"/>
      <c r="F267" s="477"/>
      <c r="G267" s="477"/>
      <c r="H267" s="383"/>
      <c r="I267" s="471"/>
      <c r="J267" s="428"/>
      <c r="K267" s="428"/>
      <c r="L267" s="472"/>
      <c r="M267" s="478"/>
      <c r="N267" s="478"/>
      <c r="O267" s="376"/>
      <c r="P267" s="432"/>
      <c r="Q267" s="480"/>
      <c r="R267" s="481"/>
      <c r="Y267" s="482"/>
      <c r="Z267" s="401"/>
      <c r="AA267" s="390"/>
      <c r="AB267" s="402"/>
      <c r="AC267" s="390"/>
      <c r="AE267" s="390"/>
      <c r="AF267" s="483"/>
      <c r="AJ267" s="484"/>
      <c r="AK267" s="63"/>
    </row>
    <row r="268" spans="2:37" ht="15" customHeight="1">
      <c r="B268" s="476"/>
      <c r="C268" s="400"/>
      <c r="D268" s="477"/>
      <c r="E268" s="477"/>
      <c r="F268" s="477"/>
      <c r="G268" s="477"/>
      <c r="H268" s="383"/>
      <c r="I268" s="471"/>
      <c r="J268" s="428"/>
      <c r="K268" s="428"/>
      <c r="L268" s="472"/>
      <c r="M268" s="478"/>
      <c r="N268" s="478"/>
      <c r="O268" s="479"/>
      <c r="P268" s="432"/>
      <c r="Q268" s="480"/>
      <c r="R268" s="481"/>
      <c r="Y268" s="482"/>
      <c r="Z268" s="401"/>
      <c r="AA268" s="390"/>
      <c r="AB268" s="402"/>
      <c r="AC268" s="390"/>
      <c r="AE268" s="390"/>
      <c r="AF268" s="483"/>
      <c r="AJ268" s="484"/>
      <c r="AK268" s="63"/>
    </row>
    <row r="269" spans="2:37" ht="15" customHeight="1">
      <c r="B269" s="465"/>
      <c r="C269" s="400"/>
      <c r="D269" s="477"/>
      <c r="E269" s="477"/>
      <c r="F269" s="477"/>
      <c r="G269" s="477"/>
      <c r="H269" s="383"/>
      <c r="I269" s="471"/>
      <c r="J269" s="428"/>
      <c r="K269" s="428"/>
      <c r="L269" s="472"/>
      <c r="M269" s="478"/>
      <c r="N269" s="478"/>
      <c r="O269" s="376"/>
      <c r="P269" s="432"/>
      <c r="Q269" s="480"/>
      <c r="R269" s="481"/>
      <c r="Y269" s="482"/>
      <c r="Z269" s="401"/>
      <c r="AA269" s="390"/>
      <c r="AB269" s="402"/>
      <c r="AC269" s="390"/>
      <c r="AE269" s="390"/>
      <c r="AF269" s="483"/>
      <c r="AJ269" s="484"/>
      <c r="AK269" s="63"/>
    </row>
    <row r="270" spans="2:37" ht="15" customHeight="1">
      <c r="B270" s="465"/>
      <c r="C270" s="400"/>
      <c r="D270" s="477"/>
      <c r="E270" s="477"/>
      <c r="F270" s="477"/>
      <c r="G270" s="477"/>
      <c r="H270" s="383"/>
      <c r="I270" s="471"/>
      <c r="J270" s="428"/>
      <c r="K270" s="428"/>
      <c r="L270" s="472"/>
      <c r="M270" s="478"/>
      <c r="N270" s="478"/>
      <c r="O270" s="376"/>
      <c r="P270" s="432"/>
      <c r="Q270" s="480"/>
      <c r="R270" s="481"/>
      <c r="Y270" s="482"/>
      <c r="Z270" s="401"/>
      <c r="AA270" s="390"/>
      <c r="AB270" s="402"/>
      <c r="AC270" s="390"/>
      <c r="AE270" s="390"/>
      <c r="AF270" s="483"/>
      <c r="AJ270" s="484"/>
      <c r="AK270" s="63"/>
    </row>
    <row r="271" spans="2:37" ht="15" customHeight="1">
      <c r="B271" s="465"/>
      <c r="C271" s="400"/>
      <c r="D271" s="477"/>
      <c r="E271" s="477"/>
      <c r="F271" s="477"/>
      <c r="G271" s="477"/>
      <c r="H271" s="383"/>
      <c r="I271" s="471"/>
      <c r="J271" s="428"/>
      <c r="K271" s="428"/>
      <c r="L271" s="472"/>
      <c r="M271" s="478"/>
      <c r="N271" s="478"/>
      <c r="O271" s="376"/>
      <c r="P271" s="485"/>
      <c r="Q271" s="480"/>
      <c r="R271" s="481"/>
      <c r="Y271" s="482"/>
      <c r="Z271" s="401"/>
      <c r="AA271" s="390"/>
      <c r="AB271" s="402"/>
      <c r="AC271" s="390"/>
      <c r="AE271" s="390"/>
      <c r="AF271" s="483"/>
      <c r="AJ271" s="484"/>
      <c r="AK271" s="63"/>
    </row>
    <row r="272" spans="2:37" ht="15" customHeight="1">
      <c r="B272" s="465"/>
      <c r="C272" s="400"/>
      <c r="D272" s="477"/>
      <c r="E272" s="477"/>
      <c r="F272" s="477"/>
      <c r="G272" s="477"/>
      <c r="H272" s="383"/>
      <c r="I272" s="471"/>
      <c r="J272" s="428"/>
      <c r="K272" s="428"/>
      <c r="L272" s="472"/>
      <c r="M272" s="478"/>
      <c r="N272" s="478"/>
      <c r="O272" s="376"/>
      <c r="P272" s="432"/>
      <c r="Q272" s="480"/>
      <c r="R272" s="481"/>
      <c r="Y272" s="482"/>
      <c r="Z272" s="401"/>
      <c r="AA272" s="390"/>
      <c r="AB272" s="402"/>
      <c r="AC272" s="390"/>
      <c r="AE272" s="390"/>
      <c r="AF272" s="483"/>
      <c r="AJ272" s="484"/>
      <c r="AK272" s="63"/>
    </row>
    <row r="273" spans="2:37" ht="15" customHeight="1">
      <c r="B273" s="465"/>
      <c r="C273" s="400"/>
      <c r="D273" s="477"/>
      <c r="E273" s="477"/>
      <c r="F273" s="477"/>
      <c r="G273" s="477"/>
      <c r="H273" s="383"/>
      <c r="I273" s="471"/>
      <c r="J273" s="428"/>
      <c r="K273" s="428"/>
      <c r="L273" s="472"/>
      <c r="M273" s="478"/>
      <c r="N273" s="478"/>
      <c r="O273" s="376"/>
      <c r="P273" s="485"/>
      <c r="Q273" s="480"/>
      <c r="R273" s="481"/>
      <c r="Y273" s="482"/>
      <c r="Z273" s="401"/>
      <c r="AA273" s="390"/>
      <c r="AB273" s="402"/>
      <c r="AC273" s="390"/>
      <c r="AE273" s="390"/>
      <c r="AF273" s="483"/>
      <c r="AJ273" s="484"/>
      <c r="AK273" s="63"/>
    </row>
    <row r="274" spans="2:37" ht="15" customHeight="1">
      <c r="B274" s="465"/>
      <c r="C274" s="400"/>
      <c r="D274" s="477"/>
      <c r="E274" s="477"/>
      <c r="F274" s="477"/>
      <c r="G274" s="477"/>
      <c r="H274" s="383"/>
      <c r="I274" s="471"/>
      <c r="J274" s="428"/>
      <c r="K274" s="428"/>
      <c r="L274" s="472"/>
      <c r="M274" s="478"/>
      <c r="N274" s="478"/>
      <c r="O274" s="376"/>
      <c r="P274" s="432"/>
      <c r="Q274" s="480"/>
      <c r="R274" s="481"/>
      <c r="Y274" s="482"/>
      <c r="Z274" s="401"/>
      <c r="AA274" s="390"/>
      <c r="AB274" s="402"/>
      <c r="AC274" s="390"/>
      <c r="AE274" s="390"/>
      <c r="AF274" s="483"/>
      <c r="AJ274" s="484"/>
      <c r="AK274" s="63"/>
    </row>
    <row r="275" spans="2:37" ht="15" customHeight="1">
      <c r="B275" s="465"/>
      <c r="C275" s="400"/>
      <c r="D275" s="477"/>
      <c r="E275" s="477"/>
      <c r="F275" s="477"/>
      <c r="G275" s="477"/>
      <c r="H275" s="383"/>
      <c r="I275" s="471"/>
      <c r="J275" s="428"/>
      <c r="K275" s="428"/>
      <c r="L275" s="472"/>
      <c r="M275" s="478"/>
      <c r="N275" s="478"/>
      <c r="O275" s="376"/>
      <c r="P275" s="432"/>
      <c r="Q275" s="480"/>
      <c r="R275" s="481"/>
      <c r="Y275" s="482"/>
      <c r="Z275" s="401"/>
      <c r="AA275" s="390"/>
      <c r="AB275" s="402"/>
      <c r="AC275" s="390"/>
      <c r="AE275" s="390"/>
      <c r="AF275" s="483"/>
      <c r="AJ275" s="484"/>
      <c r="AK275" s="63"/>
    </row>
    <row r="276" spans="2:37" s="1" customFormat="1" ht="15" customHeight="1">
      <c r="B276" s="465"/>
      <c r="C276" s="400"/>
      <c r="D276" s="477"/>
      <c r="E276" s="477"/>
      <c r="F276" s="477"/>
      <c r="G276" s="477"/>
      <c r="H276" s="383"/>
      <c r="I276" s="471"/>
      <c r="J276" s="428"/>
      <c r="K276" s="428"/>
      <c r="L276" s="472"/>
      <c r="M276" s="478"/>
      <c r="N276" s="478"/>
      <c r="O276" s="376"/>
      <c r="P276" s="485"/>
      <c r="Q276" s="480"/>
      <c r="R276" s="481"/>
      <c r="S276"/>
      <c r="T276"/>
      <c r="U276"/>
      <c r="V276"/>
      <c r="W276"/>
      <c r="X276"/>
      <c r="Y276" s="482"/>
      <c r="Z276" s="401"/>
      <c r="AA276" s="390"/>
      <c r="AB276" s="402"/>
      <c r="AC276" s="390"/>
      <c r="AD276"/>
      <c r="AE276" s="390"/>
      <c r="AF276" s="483"/>
      <c r="AG276"/>
      <c r="AJ276" s="484"/>
      <c r="AK276" s="63"/>
    </row>
    <row r="277" spans="2:37" ht="15" customHeight="1">
      <c r="B277" s="465"/>
      <c r="C277" s="400"/>
      <c r="D277" s="477"/>
      <c r="E277" s="477"/>
      <c r="F277" s="477"/>
      <c r="G277" s="477"/>
      <c r="H277" s="383"/>
      <c r="I277" s="471"/>
      <c r="J277" s="428"/>
      <c r="K277" s="428"/>
      <c r="L277" s="472"/>
      <c r="M277" s="478"/>
      <c r="N277" s="478"/>
      <c r="O277" s="376"/>
      <c r="P277" s="432"/>
      <c r="Q277" s="480"/>
      <c r="R277" s="481"/>
      <c r="T277" s="1"/>
      <c r="U277" s="1"/>
      <c r="V277" s="1"/>
      <c r="Y277" s="482"/>
      <c r="Z277" s="401"/>
      <c r="AA277" s="390"/>
      <c r="AB277" s="402"/>
      <c r="AC277" s="390"/>
      <c r="AD277" s="1"/>
      <c r="AE277" s="390"/>
      <c r="AF277" s="483"/>
      <c r="AJ277" s="484"/>
      <c r="AK277" s="63"/>
    </row>
    <row r="278" spans="2:37" ht="15" customHeight="1">
      <c r="B278" s="465"/>
      <c r="C278" s="400"/>
      <c r="D278" s="477"/>
      <c r="E278" s="477"/>
      <c r="F278" s="477"/>
      <c r="G278" s="477"/>
      <c r="H278" s="383"/>
      <c r="I278" s="471"/>
      <c r="J278" s="428"/>
      <c r="K278" s="428"/>
      <c r="L278" s="472"/>
      <c r="M278" s="478"/>
      <c r="N278" s="478"/>
      <c r="O278" s="376"/>
      <c r="P278" s="432"/>
      <c r="Q278" s="480"/>
      <c r="R278" s="481"/>
      <c r="Y278" s="482"/>
      <c r="Z278" s="401"/>
      <c r="AA278" s="390"/>
      <c r="AB278" s="402"/>
      <c r="AC278" s="390"/>
      <c r="AE278" s="390"/>
      <c r="AF278" s="483"/>
      <c r="AJ278" s="484"/>
      <c r="AK278" s="63"/>
    </row>
    <row r="279" spans="2:37" ht="15" customHeight="1">
      <c r="B279" s="465"/>
      <c r="C279" s="400"/>
      <c r="D279" s="477"/>
      <c r="E279" s="477"/>
      <c r="F279" s="477"/>
      <c r="G279" s="477"/>
      <c r="H279" s="383"/>
      <c r="I279" s="471"/>
      <c r="J279" s="428"/>
      <c r="K279" s="428"/>
      <c r="L279" s="472"/>
      <c r="M279" s="478"/>
      <c r="N279" s="478"/>
      <c r="O279" s="376"/>
      <c r="P279" s="432"/>
      <c r="Q279" s="480"/>
      <c r="R279" s="481"/>
      <c r="Y279" s="482"/>
      <c r="Z279" s="401"/>
      <c r="AA279" s="390"/>
      <c r="AB279" s="402"/>
      <c r="AC279" s="390"/>
      <c r="AE279" s="390"/>
      <c r="AF279" s="483"/>
      <c r="AJ279" s="484"/>
      <c r="AK279" s="63"/>
    </row>
    <row r="280" spans="2:37" ht="15" customHeight="1">
      <c r="B280" s="465"/>
      <c r="C280" s="400"/>
      <c r="D280" s="477"/>
      <c r="E280" s="477"/>
      <c r="F280" s="477"/>
      <c r="G280" s="477"/>
      <c r="H280" s="383"/>
      <c r="I280" s="471"/>
      <c r="J280" s="428"/>
      <c r="K280" s="428"/>
      <c r="L280" s="472"/>
      <c r="M280" s="478"/>
      <c r="N280" s="478"/>
      <c r="O280" s="376"/>
      <c r="P280" s="485"/>
      <c r="Q280" s="480"/>
      <c r="R280" s="481"/>
      <c r="Y280" s="482"/>
      <c r="Z280" s="401"/>
      <c r="AA280" s="390"/>
      <c r="AB280" s="402"/>
      <c r="AC280" s="390"/>
      <c r="AE280" s="390"/>
      <c r="AF280" s="483"/>
      <c r="AJ280" s="484"/>
      <c r="AK280" s="63"/>
    </row>
    <row r="281" spans="2:37" ht="15" customHeight="1">
      <c r="B281" s="465"/>
      <c r="C281" s="400"/>
      <c r="D281" s="477"/>
      <c r="E281" s="477"/>
      <c r="F281" s="477"/>
      <c r="G281" s="477"/>
      <c r="H281" s="383"/>
      <c r="I281" s="471"/>
      <c r="J281" s="428"/>
      <c r="K281" s="428"/>
      <c r="L281" s="472"/>
      <c r="M281" s="478"/>
      <c r="N281" s="478"/>
      <c r="O281" s="376"/>
      <c r="P281" s="485"/>
      <c r="Q281" s="480"/>
      <c r="R281" s="481"/>
      <c r="Y281" s="482"/>
      <c r="Z281" s="401"/>
      <c r="AA281" s="390"/>
      <c r="AB281" s="402"/>
      <c r="AC281" s="390"/>
      <c r="AE281" s="390"/>
      <c r="AF281" s="483"/>
      <c r="AJ281" s="484"/>
      <c r="AK281" s="63"/>
    </row>
    <row r="282" spans="2:37" ht="15" customHeight="1">
      <c r="B282" s="465"/>
      <c r="C282" s="400"/>
      <c r="D282" s="477"/>
      <c r="E282" s="477"/>
      <c r="F282" s="477"/>
      <c r="G282" s="477"/>
      <c r="H282" s="383"/>
      <c r="I282" s="471"/>
      <c r="J282" s="428"/>
      <c r="K282" s="428"/>
      <c r="L282" s="472"/>
      <c r="M282" s="478"/>
      <c r="N282" s="478"/>
      <c r="O282" s="376"/>
      <c r="P282" s="432"/>
      <c r="Q282" s="480"/>
      <c r="R282" s="481"/>
      <c r="Y282" s="482"/>
      <c r="Z282" s="401"/>
      <c r="AA282" s="390"/>
      <c r="AB282" s="402"/>
      <c r="AC282" s="390"/>
      <c r="AE282" s="390"/>
      <c r="AF282" s="483"/>
      <c r="AJ282" s="484"/>
      <c r="AK282" s="63"/>
    </row>
    <row r="283" spans="2:37" ht="15" customHeight="1">
      <c r="B283" s="465"/>
      <c r="C283" s="400"/>
      <c r="D283" s="477"/>
      <c r="E283" s="477"/>
      <c r="F283" s="477"/>
      <c r="G283" s="477"/>
      <c r="H283" s="383"/>
      <c r="I283" s="471"/>
      <c r="J283" s="428"/>
      <c r="K283" s="428"/>
      <c r="L283" s="472"/>
      <c r="M283" s="478"/>
      <c r="N283" s="478"/>
      <c r="O283" s="376"/>
      <c r="P283" s="432"/>
      <c r="Q283" s="480"/>
      <c r="R283" s="481"/>
      <c r="Y283" s="482"/>
      <c r="Z283" s="401"/>
      <c r="AA283" s="390"/>
      <c r="AB283" s="402"/>
      <c r="AC283" s="390"/>
      <c r="AE283" s="390"/>
      <c r="AF283" s="483"/>
      <c r="AJ283" s="484"/>
      <c r="AK283" s="63"/>
    </row>
    <row r="284" spans="2:37" ht="15" customHeight="1">
      <c r="B284" s="465"/>
      <c r="C284" s="400"/>
      <c r="D284" s="477"/>
      <c r="E284" s="477"/>
      <c r="F284" s="477"/>
      <c r="G284" s="477"/>
      <c r="H284" s="383"/>
      <c r="I284" s="471"/>
      <c r="J284" s="428"/>
      <c r="K284" s="428"/>
      <c r="L284" s="472"/>
      <c r="M284" s="478"/>
      <c r="N284" s="478"/>
      <c r="O284" s="376"/>
      <c r="P284" s="485"/>
      <c r="Q284" s="480"/>
      <c r="R284" s="481"/>
      <c r="Y284" s="482"/>
      <c r="Z284" s="401"/>
      <c r="AA284" s="390"/>
      <c r="AB284" s="402"/>
      <c r="AC284" s="390"/>
      <c r="AE284" s="390"/>
      <c r="AF284" s="483"/>
      <c r="AJ284" s="484"/>
      <c r="AK284" s="63"/>
    </row>
    <row r="285" spans="2:37" ht="15" customHeight="1">
      <c r="B285" s="465"/>
      <c r="C285" s="400"/>
      <c r="D285" s="477"/>
      <c r="E285" s="477"/>
      <c r="F285" s="477"/>
      <c r="G285" s="477"/>
      <c r="H285" s="383"/>
      <c r="I285" s="471"/>
      <c r="J285" s="428"/>
      <c r="K285" s="428"/>
      <c r="L285" s="472"/>
      <c r="M285" s="478"/>
      <c r="N285" s="478"/>
      <c r="O285" s="376"/>
      <c r="P285" s="432"/>
      <c r="Q285" s="480"/>
      <c r="R285" s="481"/>
      <c r="Y285" s="482"/>
      <c r="Z285" s="401"/>
      <c r="AA285" s="390"/>
      <c r="AB285" s="402"/>
      <c r="AC285" s="390"/>
      <c r="AE285" s="390"/>
      <c r="AF285" s="483"/>
      <c r="AJ285" s="484"/>
      <c r="AK285" s="63"/>
    </row>
    <row r="286" spans="2:37" ht="15" customHeight="1">
      <c r="B286" s="465"/>
      <c r="C286" s="400"/>
      <c r="D286" s="477"/>
      <c r="E286" s="477"/>
      <c r="F286" s="477"/>
      <c r="G286" s="477"/>
      <c r="H286" s="383"/>
      <c r="I286" s="471"/>
      <c r="J286" s="428"/>
      <c r="K286" s="428"/>
      <c r="L286" s="472"/>
      <c r="M286" s="478"/>
      <c r="N286" s="478"/>
      <c r="O286" s="376"/>
      <c r="P286" s="485"/>
      <c r="Q286" s="480"/>
      <c r="R286" s="481"/>
      <c r="Y286" s="482"/>
      <c r="Z286" s="401"/>
      <c r="AA286" s="390"/>
      <c r="AB286" s="402"/>
      <c r="AC286" s="390"/>
      <c r="AE286" s="390"/>
      <c r="AF286" s="483"/>
      <c r="AJ286" s="484"/>
      <c r="AK286" s="63"/>
    </row>
    <row r="287" spans="2:37" ht="15" customHeight="1">
      <c r="B287" s="465"/>
      <c r="C287" s="400"/>
      <c r="D287" s="477"/>
      <c r="E287" s="477"/>
      <c r="F287" s="477"/>
      <c r="G287" s="477"/>
      <c r="H287" s="383"/>
      <c r="I287" s="471"/>
      <c r="J287" s="428"/>
      <c r="K287" s="428"/>
      <c r="L287" s="472"/>
      <c r="M287" s="478"/>
      <c r="N287" s="478"/>
      <c r="O287" s="376"/>
      <c r="P287" s="432"/>
      <c r="Q287" s="480"/>
      <c r="R287" s="481"/>
      <c r="Y287" s="482"/>
      <c r="Z287" s="401"/>
      <c r="AA287" s="390"/>
      <c r="AB287" s="402"/>
      <c r="AC287" s="390"/>
      <c r="AE287" s="390"/>
      <c r="AF287" s="483"/>
      <c r="AJ287" s="484"/>
      <c r="AK287" s="63"/>
    </row>
    <row r="288" spans="2:37" ht="15" customHeight="1">
      <c r="B288" s="465"/>
      <c r="C288" s="400"/>
      <c r="D288" s="477"/>
      <c r="E288" s="477"/>
      <c r="F288" s="477"/>
      <c r="G288" s="477"/>
      <c r="H288" s="383"/>
      <c r="I288" s="471"/>
      <c r="J288" s="428"/>
      <c r="K288" s="428"/>
      <c r="L288" s="472"/>
      <c r="M288" s="478"/>
      <c r="N288" s="478"/>
      <c r="O288" s="376"/>
      <c r="P288" s="432"/>
      <c r="Q288" s="480"/>
      <c r="R288" s="481"/>
      <c r="Y288" s="482"/>
      <c r="Z288" s="401"/>
      <c r="AA288" s="390"/>
      <c r="AB288" s="402"/>
      <c r="AC288" s="390"/>
      <c r="AE288" s="390"/>
      <c r="AF288" s="483"/>
      <c r="AJ288" s="484"/>
      <c r="AK288" s="63"/>
    </row>
    <row r="289" spans="2:37" ht="15" customHeight="1">
      <c r="B289" s="465"/>
      <c r="C289" s="400"/>
      <c r="D289" s="477"/>
      <c r="E289" s="477"/>
      <c r="F289" s="477"/>
      <c r="G289" s="477"/>
      <c r="H289" s="383"/>
      <c r="I289" s="471"/>
      <c r="J289" s="428"/>
      <c r="K289" s="428"/>
      <c r="L289" s="472"/>
      <c r="M289" s="478"/>
      <c r="N289" s="478"/>
      <c r="O289" s="376"/>
      <c r="P289" s="432"/>
      <c r="Q289" s="480"/>
      <c r="R289" s="481"/>
      <c r="Y289" s="482"/>
      <c r="Z289" s="401"/>
      <c r="AA289" s="390"/>
      <c r="AB289" s="402"/>
      <c r="AC289" s="390"/>
      <c r="AE289" s="390"/>
      <c r="AF289" s="483"/>
      <c r="AJ289" s="484"/>
      <c r="AK289" s="63"/>
    </row>
    <row r="290" spans="2:37" s="1" customFormat="1" ht="15" customHeight="1">
      <c r="B290" s="465"/>
      <c r="C290" s="400"/>
      <c r="D290" s="477"/>
      <c r="E290" s="477"/>
      <c r="F290" s="477"/>
      <c r="G290" s="477"/>
      <c r="H290" s="383"/>
      <c r="I290" s="471"/>
      <c r="J290" s="428"/>
      <c r="K290" s="428"/>
      <c r="L290" s="472"/>
      <c r="M290" s="478"/>
      <c r="N290" s="478"/>
      <c r="O290" s="376"/>
      <c r="P290" s="432"/>
      <c r="Q290" s="480"/>
      <c r="R290" s="481"/>
      <c r="S290"/>
      <c r="T290"/>
      <c r="U290"/>
      <c r="V290"/>
      <c r="W290"/>
      <c r="X290"/>
      <c r="Y290" s="482"/>
      <c r="Z290" s="401"/>
      <c r="AA290" s="390"/>
      <c r="AB290" s="402"/>
      <c r="AC290" s="390"/>
      <c r="AD290"/>
      <c r="AE290" s="390"/>
      <c r="AF290" s="483"/>
      <c r="AG290"/>
      <c r="AH290"/>
      <c r="AJ290" s="484"/>
      <c r="AK290" s="63"/>
    </row>
    <row r="291" spans="2:37" ht="15" customHeight="1">
      <c r="B291" s="465"/>
      <c r="C291" s="400"/>
      <c r="D291" s="477"/>
      <c r="E291" s="477"/>
      <c r="F291" s="477"/>
      <c r="G291" s="477"/>
      <c r="H291" s="383"/>
      <c r="I291" s="471"/>
      <c r="J291" s="428"/>
      <c r="K291" s="428"/>
      <c r="L291" s="472"/>
      <c r="M291" s="478"/>
      <c r="N291" s="478"/>
      <c r="O291" s="376"/>
      <c r="P291" s="485"/>
      <c r="Q291" s="480"/>
      <c r="R291" s="481"/>
      <c r="Y291" s="482"/>
      <c r="Z291" s="401"/>
      <c r="AA291" s="390"/>
      <c r="AB291" s="402"/>
      <c r="AC291" s="390"/>
      <c r="AE291" s="390"/>
      <c r="AF291" s="483"/>
      <c r="AH291" s="1"/>
      <c r="AJ291" s="484"/>
      <c r="AK291" s="63"/>
    </row>
    <row r="292" spans="2:37" ht="15" customHeight="1">
      <c r="B292" s="465"/>
      <c r="C292" s="400"/>
      <c r="D292" s="477"/>
      <c r="E292" s="477"/>
      <c r="F292" s="477"/>
      <c r="G292" s="477"/>
      <c r="H292" s="383"/>
      <c r="I292" s="471"/>
      <c r="J292" s="428"/>
      <c r="K292" s="428"/>
      <c r="L292" s="472"/>
      <c r="M292" s="478"/>
      <c r="N292" s="478"/>
      <c r="O292" s="376"/>
      <c r="P292" s="485"/>
      <c r="Q292" s="480"/>
      <c r="R292" s="481"/>
      <c r="T292" s="1"/>
      <c r="U292" s="1"/>
      <c r="V292" s="1"/>
      <c r="Y292" s="482"/>
      <c r="Z292" s="401"/>
      <c r="AA292" s="390"/>
      <c r="AB292" s="402"/>
      <c r="AC292" s="390"/>
      <c r="AD292" s="1"/>
      <c r="AE292" s="390"/>
      <c r="AF292" s="483"/>
      <c r="AJ292" s="484"/>
      <c r="AK292" s="63"/>
    </row>
    <row r="293" spans="2:37" ht="15" customHeight="1">
      <c r="B293" s="465"/>
      <c r="C293" s="400"/>
      <c r="D293" s="477"/>
      <c r="E293" s="477"/>
      <c r="F293" s="477"/>
      <c r="G293" s="477"/>
      <c r="H293" s="383"/>
      <c r="I293" s="471"/>
      <c r="J293" s="428"/>
      <c r="K293" s="428"/>
      <c r="L293" s="472"/>
      <c r="M293" s="478"/>
      <c r="N293" s="478"/>
      <c r="O293" s="376"/>
      <c r="P293" s="485"/>
      <c r="Q293" s="480"/>
      <c r="R293" s="481"/>
      <c r="Y293" s="482"/>
      <c r="Z293" s="401"/>
      <c r="AA293" s="390"/>
      <c r="AB293" s="402"/>
      <c r="AC293" s="390"/>
      <c r="AE293" s="390"/>
      <c r="AF293" s="483"/>
      <c r="AJ293" s="484"/>
      <c r="AK293" s="63"/>
    </row>
    <row r="294" spans="2:37" ht="15" customHeight="1">
      <c r="B294" s="465"/>
      <c r="C294" s="400"/>
      <c r="D294" s="477"/>
      <c r="E294" s="477"/>
      <c r="F294" s="477"/>
      <c r="G294" s="477"/>
      <c r="H294" s="383"/>
      <c r="I294" s="471"/>
      <c r="J294" s="428"/>
      <c r="K294" s="428"/>
      <c r="L294" s="472"/>
      <c r="M294" s="478"/>
      <c r="N294" s="478"/>
      <c r="O294" s="376"/>
      <c r="P294" s="432"/>
      <c r="Q294" s="480"/>
      <c r="R294" s="481"/>
      <c r="Y294" s="482"/>
      <c r="Z294" s="401"/>
      <c r="AA294" s="390"/>
      <c r="AB294" s="402"/>
      <c r="AC294" s="390"/>
      <c r="AE294" s="390"/>
      <c r="AF294" s="483"/>
      <c r="AJ294" s="484"/>
      <c r="AK294" s="63"/>
    </row>
    <row r="295" spans="2:37" ht="15" customHeight="1">
      <c r="B295" s="465"/>
      <c r="C295" s="400"/>
      <c r="D295" s="477"/>
      <c r="E295" s="477"/>
      <c r="F295" s="477"/>
      <c r="G295" s="477"/>
      <c r="H295" s="383"/>
      <c r="I295" s="471"/>
      <c r="J295" s="428"/>
      <c r="K295" s="428"/>
      <c r="L295" s="472"/>
      <c r="M295" s="478"/>
      <c r="N295" s="478"/>
      <c r="O295" s="376"/>
      <c r="P295" s="432"/>
      <c r="Q295" s="480"/>
      <c r="R295" s="481"/>
      <c r="Y295" s="482"/>
      <c r="Z295" s="401"/>
      <c r="AA295" s="390"/>
      <c r="AB295" s="402"/>
      <c r="AC295" s="390"/>
      <c r="AE295" s="390"/>
      <c r="AF295" s="483"/>
      <c r="AJ295" s="484"/>
      <c r="AK295" s="63"/>
    </row>
    <row r="296" spans="2:37" ht="15" customHeight="1">
      <c r="B296" s="465"/>
      <c r="C296" s="400"/>
      <c r="D296" s="477"/>
      <c r="E296" s="477"/>
      <c r="F296" s="477"/>
      <c r="G296" s="477"/>
      <c r="H296" s="383"/>
      <c r="I296" s="471"/>
      <c r="J296" s="428"/>
      <c r="K296" s="428"/>
      <c r="L296" s="472"/>
      <c r="M296" s="478"/>
      <c r="N296" s="478"/>
      <c r="O296" s="376"/>
      <c r="P296" s="432"/>
      <c r="Q296" s="480"/>
      <c r="R296" s="481"/>
      <c r="Y296" s="482"/>
      <c r="Z296" s="401"/>
      <c r="AA296" s="390"/>
      <c r="AB296" s="402"/>
      <c r="AC296" s="390"/>
      <c r="AE296" s="390"/>
      <c r="AF296" s="483"/>
      <c r="AJ296" s="484"/>
      <c r="AK296" s="63"/>
    </row>
    <row r="297" spans="2:37" ht="15" customHeight="1">
      <c r="B297" s="465"/>
      <c r="C297" s="400"/>
      <c r="D297" s="477"/>
      <c r="E297" s="477"/>
      <c r="F297" s="477"/>
      <c r="G297" s="477"/>
      <c r="H297" s="383"/>
      <c r="I297" s="471"/>
      <c r="J297" s="428"/>
      <c r="K297" s="428"/>
      <c r="L297" s="472"/>
      <c r="M297" s="478"/>
      <c r="N297" s="478"/>
      <c r="O297" s="376"/>
      <c r="P297" s="432"/>
      <c r="Q297" s="480"/>
      <c r="R297" s="481"/>
      <c r="Y297" s="482"/>
      <c r="Z297" s="401"/>
      <c r="AA297" s="390"/>
      <c r="AB297" s="402"/>
      <c r="AC297" s="390"/>
      <c r="AE297" s="390"/>
      <c r="AF297" s="483"/>
      <c r="AJ297" s="484"/>
      <c r="AK297" s="63"/>
    </row>
    <row r="298" spans="2:37" ht="15" customHeight="1">
      <c r="B298" s="465"/>
      <c r="C298" s="400"/>
      <c r="D298" s="477"/>
      <c r="E298" s="477"/>
      <c r="F298" s="477"/>
      <c r="G298" s="477"/>
      <c r="H298" s="383"/>
      <c r="I298" s="471"/>
      <c r="J298" s="428"/>
      <c r="K298" s="428"/>
      <c r="L298" s="472"/>
      <c r="M298" s="478"/>
      <c r="N298" s="478"/>
      <c r="O298" s="376"/>
      <c r="P298" s="432"/>
      <c r="Q298" s="480"/>
      <c r="R298" s="481"/>
      <c r="Y298" s="482"/>
      <c r="Z298" s="401"/>
      <c r="AA298" s="390"/>
      <c r="AB298" s="402"/>
      <c r="AC298" s="390"/>
      <c r="AE298" s="390"/>
      <c r="AF298" s="483"/>
      <c r="AJ298" s="484"/>
      <c r="AK298" s="63"/>
    </row>
    <row r="299" spans="2:37" ht="15" customHeight="1">
      <c r="B299" s="465"/>
      <c r="C299" s="400"/>
      <c r="D299" s="477"/>
      <c r="E299" s="477"/>
      <c r="F299" s="477"/>
      <c r="G299" s="477"/>
      <c r="H299" s="383"/>
      <c r="I299" s="471"/>
      <c r="J299" s="428"/>
      <c r="K299" s="428"/>
      <c r="L299" s="472"/>
      <c r="M299" s="478"/>
      <c r="N299" s="478"/>
      <c r="O299" s="376"/>
      <c r="P299" s="485"/>
      <c r="Q299" s="480"/>
      <c r="R299" s="481"/>
      <c r="Y299" s="482"/>
      <c r="Z299" s="401"/>
      <c r="AA299" s="390"/>
      <c r="AB299" s="402"/>
      <c r="AC299" s="390"/>
      <c r="AE299" s="390"/>
      <c r="AF299" s="483"/>
      <c r="AJ299" s="484"/>
      <c r="AK299" s="63"/>
    </row>
    <row r="300" spans="2:37" ht="15" customHeight="1">
      <c r="B300" s="465"/>
      <c r="C300" s="400"/>
      <c r="D300" s="477"/>
      <c r="E300" s="477"/>
      <c r="F300" s="477"/>
      <c r="G300" s="477"/>
      <c r="H300" s="383"/>
      <c r="I300" s="471"/>
      <c r="J300" s="428"/>
      <c r="K300" s="428"/>
      <c r="L300" s="472"/>
      <c r="M300" s="478"/>
      <c r="N300" s="478"/>
      <c r="O300" s="376"/>
      <c r="P300" s="432"/>
      <c r="Q300" s="480"/>
      <c r="R300" s="481"/>
      <c r="Y300" s="482"/>
      <c r="Z300" s="401"/>
      <c r="AA300" s="390"/>
      <c r="AB300" s="402"/>
      <c r="AC300" s="390"/>
      <c r="AE300" s="390"/>
      <c r="AF300" s="483"/>
      <c r="AJ300" s="484"/>
      <c r="AK300" s="63"/>
    </row>
    <row r="301" spans="2:37" ht="15" customHeight="1">
      <c r="B301" s="465"/>
      <c r="C301" s="400"/>
      <c r="D301" s="477"/>
      <c r="E301" s="477"/>
      <c r="F301" s="477"/>
      <c r="G301" s="477"/>
      <c r="H301" s="383"/>
      <c r="I301" s="471"/>
      <c r="J301" s="428"/>
      <c r="K301" s="428"/>
      <c r="L301" s="472"/>
      <c r="M301" s="478"/>
      <c r="N301" s="478"/>
      <c r="O301" s="376"/>
      <c r="P301" s="485"/>
      <c r="Q301" s="480"/>
      <c r="R301" s="481"/>
      <c r="Y301" s="482"/>
      <c r="Z301" s="401"/>
      <c r="AA301" s="390"/>
      <c r="AB301" s="402"/>
      <c r="AC301" s="390"/>
      <c r="AE301" s="390"/>
      <c r="AF301" s="483"/>
      <c r="AJ301" s="484"/>
      <c r="AK301" s="63"/>
    </row>
    <row r="302" spans="2:37" ht="15" customHeight="1">
      <c r="B302" s="465"/>
      <c r="C302" s="400"/>
      <c r="D302" s="477"/>
      <c r="E302" s="477"/>
      <c r="F302" s="477"/>
      <c r="G302" s="477"/>
      <c r="H302" s="383"/>
      <c r="I302" s="471"/>
      <c r="J302" s="428"/>
      <c r="K302" s="428"/>
      <c r="L302" s="472"/>
      <c r="M302" s="478"/>
      <c r="N302" s="478"/>
      <c r="O302" s="376"/>
      <c r="P302" s="432"/>
      <c r="Q302" s="480"/>
      <c r="R302" s="481"/>
      <c r="Y302" s="482"/>
      <c r="Z302" s="401"/>
      <c r="AA302" s="390"/>
      <c r="AB302" s="402"/>
      <c r="AC302" s="390"/>
      <c r="AE302" s="390"/>
      <c r="AF302" s="483"/>
      <c r="AJ302" s="484"/>
      <c r="AK302" s="63"/>
    </row>
    <row r="303" spans="2:37" ht="15" customHeight="1">
      <c r="B303" s="465"/>
      <c r="C303" s="400"/>
      <c r="D303" s="477"/>
      <c r="E303" s="477"/>
      <c r="F303" s="477"/>
      <c r="G303" s="477"/>
      <c r="H303" s="383"/>
      <c r="I303" s="471"/>
      <c r="J303" s="428"/>
      <c r="K303" s="428"/>
      <c r="L303" s="472"/>
      <c r="M303" s="478"/>
      <c r="N303" s="478"/>
      <c r="O303" s="376"/>
      <c r="P303" s="432"/>
      <c r="Q303" s="480"/>
      <c r="R303" s="481"/>
      <c r="Y303" s="482"/>
      <c r="Z303" s="401"/>
      <c r="AA303" s="390"/>
      <c r="AB303" s="402"/>
      <c r="AC303" s="390"/>
      <c r="AE303" s="390"/>
      <c r="AF303" s="483"/>
      <c r="AJ303" s="484"/>
      <c r="AK303" s="63"/>
    </row>
    <row r="304" spans="2:37" ht="15" customHeight="1">
      <c r="B304" s="465"/>
      <c r="C304" s="400"/>
      <c r="D304" s="477"/>
      <c r="E304" s="477"/>
      <c r="F304" s="477"/>
      <c r="G304" s="477"/>
      <c r="H304" s="383"/>
      <c r="I304" s="471"/>
      <c r="J304" s="428"/>
      <c r="K304" s="428"/>
      <c r="L304" s="472"/>
      <c r="M304" s="478"/>
      <c r="N304" s="478"/>
      <c r="O304" s="376"/>
      <c r="P304" s="432"/>
      <c r="Q304" s="480"/>
      <c r="R304" s="481"/>
      <c r="Y304" s="482"/>
      <c r="Z304" s="401"/>
      <c r="AA304" s="390"/>
      <c r="AB304" s="402"/>
      <c r="AC304" s="390"/>
      <c r="AE304" s="390"/>
      <c r="AF304" s="483"/>
      <c r="AJ304" s="484"/>
      <c r="AK304" s="63"/>
    </row>
    <row r="305" spans="2:37" ht="15" customHeight="1">
      <c r="B305" s="465"/>
      <c r="C305" s="400"/>
      <c r="D305" s="477"/>
      <c r="E305" s="477"/>
      <c r="F305" s="477"/>
      <c r="G305" s="477"/>
      <c r="H305" s="383"/>
      <c r="I305" s="471"/>
      <c r="J305" s="428"/>
      <c r="K305" s="428"/>
      <c r="L305" s="472"/>
      <c r="M305" s="478"/>
      <c r="N305" s="478"/>
      <c r="O305" s="376"/>
      <c r="P305" s="485"/>
      <c r="Q305" s="480"/>
      <c r="R305" s="481"/>
      <c r="Y305" s="482"/>
      <c r="Z305" s="401"/>
      <c r="AA305" s="390"/>
      <c r="AB305" s="402"/>
      <c r="AC305" s="390"/>
      <c r="AE305" s="390"/>
      <c r="AF305" s="483"/>
      <c r="AJ305" s="484"/>
      <c r="AK305" s="63"/>
    </row>
    <row r="306" spans="2:37" ht="15" customHeight="1">
      <c r="B306" s="465"/>
      <c r="C306" s="400"/>
      <c r="D306" s="477"/>
      <c r="E306" s="477"/>
      <c r="F306" s="477"/>
      <c r="G306" s="477"/>
      <c r="H306" s="383"/>
      <c r="I306" s="471"/>
      <c r="J306" s="428"/>
      <c r="K306" s="428"/>
      <c r="L306" s="472"/>
      <c r="M306" s="478"/>
      <c r="N306" s="478"/>
      <c r="O306" s="376"/>
      <c r="P306" s="485"/>
      <c r="Q306" s="480"/>
      <c r="R306" s="481"/>
      <c r="Y306" s="482"/>
      <c r="Z306" s="401"/>
      <c r="AA306" s="390"/>
      <c r="AB306" s="402"/>
      <c r="AC306" s="390"/>
      <c r="AE306" s="390"/>
      <c r="AF306" s="483"/>
      <c r="AJ306" s="484"/>
      <c r="AK306" s="63"/>
    </row>
    <row r="307" spans="2:37" ht="15" customHeight="1">
      <c r="B307" s="465"/>
      <c r="C307" s="400"/>
      <c r="D307" s="477"/>
      <c r="E307" s="477"/>
      <c r="F307" s="477"/>
      <c r="G307" s="477"/>
      <c r="H307" s="383"/>
      <c r="I307" s="471"/>
      <c r="J307" s="428"/>
      <c r="K307" s="428"/>
      <c r="L307" s="472"/>
      <c r="M307" s="478"/>
      <c r="N307" s="478"/>
      <c r="O307" s="376"/>
      <c r="P307" s="485"/>
      <c r="Q307" s="480"/>
      <c r="R307" s="481"/>
      <c r="Y307" s="482"/>
      <c r="Z307" s="401"/>
      <c r="AA307" s="390"/>
      <c r="AB307" s="402"/>
      <c r="AC307" s="390"/>
      <c r="AE307" s="390"/>
      <c r="AF307" s="483"/>
      <c r="AJ307" s="484"/>
      <c r="AK307" s="63"/>
    </row>
    <row r="308" spans="2:37" ht="15" customHeight="1">
      <c r="B308" s="465"/>
      <c r="C308" s="400"/>
      <c r="D308" s="477"/>
      <c r="E308" s="477"/>
      <c r="F308" s="477"/>
      <c r="G308" s="477"/>
      <c r="H308" s="383"/>
      <c r="I308" s="471"/>
      <c r="J308" s="428"/>
      <c r="K308" s="428"/>
      <c r="L308" s="472"/>
      <c r="M308" s="478"/>
      <c r="N308" s="478"/>
      <c r="O308" s="376"/>
      <c r="P308" s="432"/>
      <c r="Q308" s="480"/>
      <c r="R308" s="481"/>
      <c r="Y308" s="482"/>
      <c r="Z308" s="401"/>
      <c r="AA308" s="390"/>
      <c r="AB308" s="402"/>
      <c r="AC308" s="390"/>
      <c r="AE308" s="390"/>
      <c r="AF308" s="483"/>
      <c r="AJ308" s="484"/>
      <c r="AK308" s="63"/>
    </row>
    <row r="309" spans="2:37" ht="15" customHeight="1">
      <c r="B309" s="465"/>
      <c r="C309" s="400"/>
      <c r="D309" s="477"/>
      <c r="E309" s="477"/>
      <c r="F309" s="477"/>
      <c r="G309" s="477"/>
      <c r="H309" s="383"/>
      <c r="I309" s="471"/>
      <c r="J309" s="428"/>
      <c r="K309" s="428"/>
      <c r="L309" s="472"/>
      <c r="M309" s="478"/>
      <c r="N309" s="478"/>
      <c r="O309" s="376"/>
      <c r="P309" s="432"/>
      <c r="Q309" s="480"/>
      <c r="R309" s="481"/>
      <c r="Y309" s="482"/>
      <c r="Z309" s="401"/>
      <c r="AA309" s="390"/>
      <c r="AB309" s="402"/>
      <c r="AC309" s="390"/>
      <c r="AE309" s="390"/>
      <c r="AF309" s="483"/>
      <c r="AJ309" s="484"/>
      <c r="AK309" s="63"/>
    </row>
    <row r="310" spans="2:37" ht="15" customHeight="1">
      <c r="B310" s="465"/>
      <c r="C310" s="400"/>
      <c r="D310" s="477"/>
      <c r="E310" s="477"/>
      <c r="F310" s="477"/>
      <c r="G310" s="477"/>
      <c r="H310" s="383"/>
      <c r="I310" s="471"/>
      <c r="J310" s="428"/>
      <c r="K310" s="428"/>
      <c r="L310" s="472"/>
      <c r="M310" s="478"/>
      <c r="N310" s="478"/>
      <c r="O310" s="376"/>
      <c r="P310" s="432"/>
      <c r="Q310" s="480"/>
      <c r="R310" s="481"/>
      <c r="Y310" s="482"/>
      <c r="Z310" s="401"/>
      <c r="AA310" s="390"/>
      <c r="AB310" s="402"/>
      <c r="AC310" s="390"/>
      <c r="AE310" s="390"/>
      <c r="AF310" s="483"/>
      <c r="AJ310" s="484"/>
      <c r="AK310" s="63"/>
    </row>
    <row r="311" spans="2:37" ht="15" customHeight="1">
      <c r="B311" s="465"/>
      <c r="C311" s="400"/>
      <c r="D311" s="477"/>
      <c r="E311" s="477"/>
      <c r="F311" s="477"/>
      <c r="G311" s="477"/>
      <c r="H311" s="383"/>
      <c r="I311" s="471"/>
      <c r="J311" s="428"/>
      <c r="K311" s="428"/>
      <c r="L311" s="472"/>
      <c r="M311" s="478"/>
      <c r="N311" s="478"/>
      <c r="O311" s="376"/>
      <c r="P311" s="485"/>
      <c r="Q311" s="480"/>
      <c r="R311" s="481"/>
      <c r="Y311" s="482"/>
      <c r="Z311" s="401"/>
      <c r="AA311" s="390"/>
      <c r="AB311" s="402"/>
      <c r="AC311" s="390"/>
      <c r="AE311" s="390"/>
      <c r="AF311" s="483"/>
      <c r="AJ311" s="484"/>
      <c r="AK311" s="63"/>
    </row>
    <row r="312" ht="12.75">
      <c r="AE312" s="39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R421"/>
  <sheetViews>
    <sheetView zoomScalePageLayoutView="0" workbookViewId="0" topLeftCell="A1">
      <selection activeCell="I40" sqref="I40"/>
    </sheetView>
  </sheetViews>
  <sheetFormatPr defaultColWidth="9.140625" defaultRowHeight="12.75"/>
  <cols>
    <col min="1" max="4" width="2.57421875" style="0" customWidth="1"/>
    <col min="5" max="5" width="18.7109375" style="0" customWidth="1"/>
    <col min="6" max="6" width="13.00390625" style="0" customWidth="1"/>
    <col min="7" max="7" width="10.57421875" style="0" customWidth="1"/>
    <col min="8" max="8" width="13.421875" style="0" customWidth="1"/>
    <col min="9" max="9" width="12.28125" style="0" customWidth="1"/>
    <col min="10" max="10" width="7.28125" style="0" customWidth="1"/>
    <col min="11" max="11" width="3.7109375" style="0" customWidth="1"/>
    <col min="15" max="15" width="15.421875" style="0" customWidth="1"/>
    <col min="16" max="16" width="13.00390625" style="0" customWidth="1"/>
  </cols>
  <sheetData>
    <row r="1" ht="12.75">
      <c r="A1" s="79" t="str">
        <f>'2.Yhteenveto'!A1</f>
        <v>18.1.2022, Kuntaliitto / Mikko Mehtonen, Lähde: VM, Opetushallitus</v>
      </c>
    </row>
    <row r="3" spans="1:11" ht="25.5" customHeight="1">
      <c r="A3" s="547" t="s">
        <v>687</v>
      </c>
      <c r="B3" s="548"/>
      <c r="C3" s="548"/>
      <c r="D3" s="548"/>
      <c r="E3" s="548"/>
      <c r="F3" s="548"/>
      <c r="G3" s="548"/>
      <c r="H3" s="548"/>
      <c r="I3" s="548"/>
      <c r="J3" s="549"/>
      <c r="K3" s="171"/>
    </row>
    <row r="5" spans="2:16" ht="18" customHeight="1">
      <c r="B5" s="54" t="s">
        <v>40</v>
      </c>
      <c r="C5" s="28"/>
      <c r="D5" s="28"/>
      <c r="E5" s="40"/>
      <c r="F5" s="55" t="s">
        <v>399</v>
      </c>
      <c r="P5" s="73"/>
    </row>
    <row r="6" spans="2:16" ht="17.25">
      <c r="B6" s="28"/>
      <c r="C6" s="28"/>
      <c r="D6" s="28"/>
      <c r="E6" s="101"/>
      <c r="F6" s="55" t="s">
        <v>398</v>
      </c>
      <c r="P6" s="73"/>
    </row>
    <row r="7" spans="15:16" ht="13.5">
      <c r="O7" s="74"/>
      <c r="P7" s="74"/>
    </row>
    <row r="8" spans="1:16" ht="13.5">
      <c r="A8" s="84" t="s">
        <v>0</v>
      </c>
      <c r="G8" s="164" t="str">
        <f>'2.Yhteenveto'!G11</f>
        <v>Akaa</v>
      </c>
      <c r="O8" s="75"/>
      <c r="P8" s="75"/>
    </row>
    <row r="9" spans="1:7" ht="12.75">
      <c r="A9" s="84" t="str">
        <f>'2.Yhteenveto'!B12</f>
        <v>Asukasluku 31.12.2020:</v>
      </c>
      <c r="G9" s="165">
        <f>'2.Yhteenveto'!H12</f>
        <v>16391</v>
      </c>
    </row>
    <row r="10" ht="12.75">
      <c r="E10" s="1"/>
    </row>
    <row r="11" spans="1:5" ht="12.75">
      <c r="A11" s="65"/>
      <c r="E11" s="1"/>
    </row>
    <row r="12" spans="2:7" ht="12.75">
      <c r="B12" s="1" t="s">
        <v>635</v>
      </c>
      <c r="E12" s="1"/>
      <c r="F12" s="30">
        <f>INDEX(kkk_1,MATCH($G$8,kunta,0),1,1)</f>
        <v>-718826.23676</v>
      </c>
      <c r="G12" s="5" t="s">
        <v>358</v>
      </c>
    </row>
    <row r="13" ht="12.75">
      <c r="E13" s="1"/>
    </row>
    <row r="14" ht="12.75">
      <c r="E14" s="1"/>
    </row>
    <row r="15" spans="2:5" ht="12.75">
      <c r="B15" s="1" t="s">
        <v>54</v>
      </c>
      <c r="E15" s="1"/>
    </row>
    <row r="16" spans="2:5" ht="12.75">
      <c r="B16" s="1" t="s">
        <v>688</v>
      </c>
      <c r="E16" s="1"/>
    </row>
    <row r="17" spans="5:6" ht="12.75">
      <c r="E17" s="125"/>
      <c r="F17" s="208" t="s">
        <v>55</v>
      </c>
    </row>
    <row r="18" spans="5:18" ht="12.75">
      <c r="E18" s="126"/>
      <c r="F18" s="209" t="s">
        <v>56</v>
      </c>
      <c r="R18" s="63"/>
    </row>
    <row r="19" spans="5:18" ht="12.75">
      <c r="E19" s="127"/>
      <c r="F19" s="210" t="s">
        <v>57</v>
      </c>
      <c r="O19" s="63"/>
      <c r="P19" s="63"/>
      <c r="R19" s="63"/>
    </row>
    <row r="20" spans="5:18" ht="12.75">
      <c r="E20" s="205" t="s">
        <v>689</v>
      </c>
      <c r="F20" s="206">
        <v>7112.84</v>
      </c>
      <c r="O20" s="63"/>
      <c r="P20" s="63"/>
      <c r="R20" s="63"/>
    </row>
    <row r="21" spans="15:18" ht="12.75">
      <c r="O21" s="63"/>
      <c r="P21" s="63"/>
      <c r="R21" s="63"/>
    </row>
    <row r="22" spans="15:18" ht="12.75">
      <c r="O22" s="63"/>
      <c r="P22" s="63"/>
      <c r="R22" s="63"/>
    </row>
    <row r="23" spans="2:18" ht="12.75">
      <c r="B23" s="1" t="s">
        <v>369</v>
      </c>
      <c r="O23" s="63"/>
      <c r="P23" s="63"/>
      <c r="R23" s="63"/>
    </row>
    <row r="24" spans="2:18" ht="12.75">
      <c r="B24" s="1"/>
      <c r="O24" s="63"/>
      <c r="P24" s="63"/>
      <c r="R24" s="63"/>
    </row>
    <row r="25" spans="4:15" ht="12.75">
      <c r="D25" s="211" t="s">
        <v>551</v>
      </c>
      <c r="O25" s="63"/>
    </row>
    <row r="26" spans="6:15" ht="12.75">
      <c r="F26" s="3" t="s">
        <v>31</v>
      </c>
      <c r="G26" s="3" t="s">
        <v>35</v>
      </c>
      <c r="H26" s="3" t="s">
        <v>36</v>
      </c>
      <c r="O26" s="63"/>
    </row>
    <row r="27" spans="5:15" ht="12.75">
      <c r="E27" s="48" t="s">
        <v>34</v>
      </c>
      <c r="F27" s="31"/>
      <c r="G27" s="50">
        <f>$F$20*0.61</f>
        <v>4338.8324</v>
      </c>
      <c r="H27" s="44">
        <f>F27*G27</f>
        <v>0</v>
      </c>
      <c r="O27" s="63"/>
    </row>
    <row r="28" spans="5:15" ht="12.75">
      <c r="E28" s="48" t="s">
        <v>33</v>
      </c>
      <c r="F28" s="31"/>
      <c r="G28" s="50">
        <f>$F$20*1</f>
        <v>7112.84</v>
      </c>
      <c r="H28" s="44">
        <f>F28*G28</f>
        <v>0</v>
      </c>
      <c r="O28" s="63"/>
    </row>
    <row r="29" spans="5:15" ht="12.75" thickBot="1">
      <c r="E29" t="s">
        <v>582</v>
      </c>
      <c r="F29" s="106"/>
      <c r="G29" s="207">
        <f>$F$20*1.6</f>
        <v>11380.544000000002</v>
      </c>
      <c r="H29" s="128">
        <f>F29*G29</f>
        <v>0</v>
      </c>
      <c r="O29" s="63"/>
    </row>
    <row r="30" spans="1:15" s="5" customFormat="1" ht="12.75" thickTop="1">
      <c r="A30" s="188"/>
      <c r="D30" s="188" t="s">
        <v>368</v>
      </c>
      <c r="E30" s="188"/>
      <c r="F30" s="188"/>
      <c r="G30" s="212"/>
      <c r="H30" s="212">
        <f>SUM(H27:H29)</f>
        <v>0</v>
      </c>
      <c r="I30" s="124"/>
      <c r="O30" s="213"/>
    </row>
    <row r="31" spans="1:15" ht="12.75">
      <c r="A31" s="52"/>
      <c r="B31" s="122"/>
      <c r="D31" s="52"/>
      <c r="E31" s="122"/>
      <c r="F31" s="122"/>
      <c r="G31" s="123"/>
      <c r="H31" s="123"/>
      <c r="I31" s="124"/>
      <c r="O31" s="63"/>
    </row>
    <row r="32" spans="1:15" ht="12.75">
      <c r="A32" s="52"/>
      <c r="B32" s="122"/>
      <c r="D32" s="52"/>
      <c r="E32" s="122"/>
      <c r="F32" s="122"/>
      <c r="G32" s="123"/>
      <c r="H32" s="123"/>
      <c r="I32" s="124"/>
      <c r="O32" s="63"/>
    </row>
    <row r="33" spans="1:15" ht="12.75">
      <c r="A33" s="52"/>
      <c r="D33" s="211" t="s">
        <v>550</v>
      </c>
      <c r="E33" s="122"/>
      <c r="F33" s="122"/>
      <c r="G33" s="123"/>
      <c r="H33" s="123"/>
      <c r="I33" s="124"/>
      <c r="O33" s="63"/>
    </row>
    <row r="34" spans="6:15" ht="12.75">
      <c r="F34" s="3" t="s">
        <v>31</v>
      </c>
      <c r="G34" s="3" t="s">
        <v>35</v>
      </c>
      <c r="H34" s="3" t="s">
        <v>36</v>
      </c>
      <c r="O34" s="63"/>
    </row>
    <row r="35" spans="5:15" ht="12.75">
      <c r="E35" s="48" t="s">
        <v>34</v>
      </c>
      <c r="F35" s="31"/>
      <c r="G35" s="50">
        <f>$F$20*0.61*0.94</f>
        <v>4078.502456</v>
      </c>
      <c r="H35" s="44">
        <f>F35*G35</f>
        <v>0</v>
      </c>
      <c r="O35" s="63"/>
    </row>
    <row r="36" spans="5:15" ht="12.75">
      <c r="E36" s="48" t="s">
        <v>33</v>
      </c>
      <c r="F36" s="31"/>
      <c r="G36" s="50">
        <f>$F$20*1*0.94</f>
        <v>6686.0696</v>
      </c>
      <c r="H36" s="44">
        <f>F36*G36</f>
        <v>0</v>
      </c>
      <c r="O36" s="63"/>
    </row>
    <row r="37" spans="5:15" ht="12.75" thickBot="1">
      <c r="E37" t="s">
        <v>582</v>
      </c>
      <c r="F37" s="106"/>
      <c r="G37" s="207">
        <f>$F$20*1.6*0.94</f>
        <v>10697.711360000001</v>
      </c>
      <c r="H37" s="128">
        <f>F37*G37</f>
        <v>0</v>
      </c>
      <c r="O37" s="63"/>
    </row>
    <row r="38" spans="1:15" s="5" customFormat="1" ht="12.75" thickTop="1">
      <c r="A38" s="188"/>
      <c r="D38" s="188" t="s">
        <v>368</v>
      </c>
      <c r="E38" s="188"/>
      <c r="F38" s="188"/>
      <c r="G38" s="212"/>
      <c r="H38" s="212">
        <f>SUM(H35:H37)</f>
        <v>0</v>
      </c>
      <c r="I38" s="124"/>
      <c r="O38" s="213"/>
    </row>
    <row r="39" spans="1:15" ht="13.5" thickBot="1">
      <c r="A39" s="52"/>
      <c r="C39" s="214"/>
      <c r="D39" s="108"/>
      <c r="E39" s="214"/>
      <c r="F39" s="214"/>
      <c r="G39" s="215"/>
      <c r="H39" s="215"/>
      <c r="I39" s="124"/>
      <c r="O39" s="63"/>
    </row>
    <row r="40" spans="1:15" ht="13.5" thickTop="1">
      <c r="A40" s="52"/>
      <c r="C40" s="122" t="s">
        <v>368</v>
      </c>
      <c r="D40" s="52"/>
      <c r="E40" s="122"/>
      <c r="F40" s="122"/>
      <c r="G40" s="123"/>
      <c r="H40" s="219">
        <f>H30+H38</f>
        <v>0</v>
      </c>
      <c r="I40" s="301">
        <f>INDEX(kkk_3,MATCH($G$8,kunta,0),1,1)</f>
        <v>1084283.10556</v>
      </c>
      <c r="O40" s="63"/>
    </row>
    <row r="41" spans="9:15" ht="12.75">
      <c r="I41" s="301"/>
      <c r="O41" s="63"/>
    </row>
    <row r="42" spans="1:15" ht="12.75">
      <c r="A42" s="52"/>
      <c r="B42" s="122" t="s">
        <v>367</v>
      </c>
      <c r="C42" s="52"/>
      <c r="D42" s="52"/>
      <c r="E42" s="122"/>
      <c r="F42" s="52"/>
      <c r="G42" s="52"/>
      <c r="H42" s="123"/>
      <c r="I42" s="301"/>
      <c r="O42" s="63"/>
    </row>
    <row r="43" spans="6:15" ht="12.75">
      <c r="F43" s="3" t="s">
        <v>31</v>
      </c>
      <c r="G43" s="3" t="s">
        <v>35</v>
      </c>
      <c r="H43" s="3" t="s">
        <v>36</v>
      </c>
      <c r="I43" s="301"/>
      <c r="O43" s="63"/>
    </row>
    <row r="44" spans="5:15" ht="12.75">
      <c r="E44" s="48" t="s">
        <v>34</v>
      </c>
      <c r="F44" s="31"/>
      <c r="G44" s="50">
        <f>$F$20*0.61</f>
        <v>4338.8324</v>
      </c>
      <c r="H44" s="44">
        <f>F44*G44</f>
        <v>0</v>
      </c>
      <c r="I44" s="301"/>
      <c r="O44" s="63"/>
    </row>
    <row r="45" spans="5:15" ht="12.75">
      <c r="E45" s="48" t="s">
        <v>33</v>
      </c>
      <c r="F45" s="31"/>
      <c r="G45" s="50">
        <f>$F$20*1</f>
        <v>7112.84</v>
      </c>
      <c r="H45" s="44">
        <f>F45*G45</f>
        <v>0</v>
      </c>
      <c r="I45" s="301"/>
      <c r="O45" s="63"/>
    </row>
    <row r="46" spans="5:15" ht="12.75" thickBot="1">
      <c r="E46" t="s">
        <v>582</v>
      </c>
      <c r="F46" s="106"/>
      <c r="G46" s="207">
        <f>$F$20*1.6</f>
        <v>11380.544000000002</v>
      </c>
      <c r="H46" s="128">
        <f>F46*G46</f>
        <v>0</v>
      </c>
      <c r="I46" s="301"/>
      <c r="O46" s="63"/>
    </row>
    <row r="47" spans="1:15" ht="13.5" thickTop="1">
      <c r="A47" s="52"/>
      <c r="B47" s="122" t="s">
        <v>552</v>
      </c>
      <c r="C47" s="52"/>
      <c r="D47" s="52"/>
      <c r="E47" s="122"/>
      <c r="F47" s="122"/>
      <c r="G47" s="123"/>
      <c r="H47" s="219">
        <f>SUM(H44:H46)</f>
        <v>0</v>
      </c>
      <c r="I47" s="301">
        <f>INDEX(kkk_2,MATCH($G$8,kunta,0),1,1)</f>
        <v>365456.8688</v>
      </c>
      <c r="O47" s="63"/>
    </row>
    <row r="48" spans="1:15" ht="12.75">
      <c r="A48" s="52"/>
      <c r="B48" s="122"/>
      <c r="C48" s="52"/>
      <c r="D48" s="52"/>
      <c r="E48" s="122"/>
      <c r="F48" s="122"/>
      <c r="G48" s="123"/>
      <c r="H48" s="219"/>
      <c r="I48" s="302"/>
      <c r="O48" s="63"/>
    </row>
    <row r="49" spans="1:15" ht="12.75">
      <c r="A49" s="52"/>
      <c r="B49" s="122"/>
      <c r="C49" s="52"/>
      <c r="D49" s="52"/>
      <c r="E49" s="122"/>
      <c r="F49" s="122"/>
      <c r="G49" s="123"/>
      <c r="H49" s="123"/>
      <c r="I49" s="302"/>
      <c r="O49" s="63"/>
    </row>
    <row r="50" spans="1:15" ht="12.75">
      <c r="A50" s="52"/>
      <c r="B50" s="122" t="s">
        <v>549</v>
      </c>
      <c r="C50" s="52"/>
      <c r="D50" s="52"/>
      <c r="E50" s="122"/>
      <c r="F50" s="122"/>
      <c r="G50" s="123"/>
      <c r="H50" s="219">
        <f>IF(H47-H40&lt;&gt;0,H47-H40,F12)</f>
        <v>-718826.23676</v>
      </c>
      <c r="I50" s="303">
        <f>I47-I40</f>
        <v>-718826.23676</v>
      </c>
      <c r="O50" s="63"/>
    </row>
    <row r="51" spans="1:15" ht="12.75">
      <c r="A51" s="52"/>
      <c r="B51" s="122"/>
      <c r="C51" s="52"/>
      <c r="D51" s="52"/>
      <c r="E51" s="122"/>
      <c r="F51" s="122"/>
      <c r="G51" s="123"/>
      <c r="H51" s="134" t="s">
        <v>400</v>
      </c>
      <c r="I51" s="124"/>
      <c r="O51" s="63"/>
    </row>
    <row r="52" ht="12.75">
      <c r="O52" s="63"/>
    </row>
    <row r="53" ht="12.75">
      <c r="O53" s="63"/>
    </row>
    <row r="54" ht="12.75">
      <c r="O54" s="63"/>
    </row>
    <row r="55" ht="12.75">
      <c r="O55" s="63"/>
    </row>
    <row r="56" ht="12.75">
      <c r="O56" s="63"/>
    </row>
    <row r="57" ht="12.75">
      <c r="O57" s="63"/>
    </row>
    <row r="58" ht="12.75">
      <c r="O58" s="63"/>
    </row>
    <row r="59" ht="12.75">
      <c r="O59" s="63"/>
    </row>
    <row r="60" ht="12.75">
      <c r="O60" s="63"/>
    </row>
    <row r="61" ht="12.75">
      <c r="O61" s="63"/>
    </row>
    <row r="62" ht="12.75">
      <c r="O62" s="63"/>
    </row>
    <row r="63" ht="12.75">
      <c r="O63" s="63"/>
    </row>
    <row r="64" ht="12.75">
      <c r="O64" s="63"/>
    </row>
    <row r="65" ht="12.75">
      <c r="O65" s="63"/>
    </row>
    <row r="66" ht="12.75">
      <c r="O66" s="63"/>
    </row>
    <row r="67" ht="12.75">
      <c r="O67" s="63"/>
    </row>
    <row r="68" ht="12.75">
      <c r="O68" s="63"/>
    </row>
    <row r="69" ht="12.75">
      <c r="O69" s="63"/>
    </row>
    <row r="70" ht="12.75">
      <c r="O70" s="63"/>
    </row>
    <row r="71" ht="12.75">
      <c r="O71" s="63"/>
    </row>
    <row r="72" ht="12.75">
      <c r="O72" s="63"/>
    </row>
    <row r="73" ht="12.75">
      <c r="O73" s="63"/>
    </row>
    <row r="74" ht="12.75">
      <c r="O74" s="63"/>
    </row>
    <row r="75" ht="12.75">
      <c r="O75" s="63"/>
    </row>
    <row r="76" ht="12.75">
      <c r="O76" s="63"/>
    </row>
    <row r="77" ht="12.75">
      <c r="O77" s="63"/>
    </row>
    <row r="78" ht="12.75">
      <c r="O78" s="63"/>
    </row>
    <row r="79" ht="12.75">
      <c r="O79" s="63"/>
    </row>
    <row r="80" ht="12.75">
      <c r="O80" s="63"/>
    </row>
    <row r="81" ht="12.75">
      <c r="O81" s="63"/>
    </row>
    <row r="82" ht="12.75">
      <c r="O82" s="63"/>
    </row>
    <row r="83" ht="12.75">
      <c r="O83" s="63"/>
    </row>
    <row r="84" ht="12.75">
      <c r="O84" s="63"/>
    </row>
    <row r="85" ht="12.75">
      <c r="O85" s="63"/>
    </row>
    <row r="86" ht="12.75">
      <c r="O86" s="63"/>
    </row>
    <row r="87" ht="12.75">
      <c r="O87" s="63"/>
    </row>
    <row r="88" ht="12.75">
      <c r="O88" s="63"/>
    </row>
    <row r="89" ht="12.75">
      <c r="O89" s="63"/>
    </row>
    <row r="90" ht="12.75">
      <c r="O90" s="63"/>
    </row>
    <row r="91" ht="12.75">
      <c r="O91" s="63"/>
    </row>
    <row r="92" ht="12.75">
      <c r="O92" s="63"/>
    </row>
    <row r="93" ht="12.75">
      <c r="O93" s="63"/>
    </row>
    <row r="94" ht="12.75">
      <c r="O94" s="63"/>
    </row>
    <row r="95" ht="12.75">
      <c r="O95" s="63"/>
    </row>
    <row r="96" ht="12.75">
      <c r="O96" s="63"/>
    </row>
    <row r="97" ht="12.75">
      <c r="O97" s="63"/>
    </row>
    <row r="98" ht="12.75">
      <c r="O98" s="63"/>
    </row>
    <row r="99" ht="12.75">
      <c r="O99" s="63"/>
    </row>
    <row r="100" ht="12.75">
      <c r="O100" s="63"/>
    </row>
    <row r="101" ht="12.75">
      <c r="O101" s="63"/>
    </row>
    <row r="102" ht="12.75">
      <c r="O102" s="63"/>
    </row>
    <row r="103" ht="12.75">
      <c r="O103" s="63"/>
    </row>
    <row r="104" ht="12.75">
      <c r="O104" s="63"/>
    </row>
    <row r="105" ht="12.75">
      <c r="O105" s="63"/>
    </row>
    <row r="106" ht="12.75">
      <c r="O106" s="63"/>
    </row>
    <row r="107" ht="12.75">
      <c r="O107" s="63"/>
    </row>
    <row r="108" ht="12.75">
      <c r="O108" s="63"/>
    </row>
    <row r="109" ht="12.75">
      <c r="O109" s="63"/>
    </row>
    <row r="110" ht="12.75">
      <c r="O110" s="63"/>
    </row>
    <row r="111" ht="12.75">
      <c r="O111" s="63"/>
    </row>
    <row r="112" ht="12.75">
      <c r="O112" s="63"/>
    </row>
    <row r="113" ht="12.75">
      <c r="O113" s="63"/>
    </row>
    <row r="114" ht="12.75">
      <c r="O114" s="63"/>
    </row>
    <row r="115" ht="12.75">
      <c r="O115" s="63"/>
    </row>
    <row r="116" ht="12.75">
      <c r="O116" s="63"/>
    </row>
    <row r="117" ht="12.75">
      <c r="O117" s="63"/>
    </row>
    <row r="118" ht="12.75">
      <c r="O118" s="63"/>
    </row>
    <row r="119" ht="12.75">
      <c r="O119" s="63"/>
    </row>
    <row r="120" ht="12.75">
      <c r="O120" s="63"/>
    </row>
    <row r="121" ht="12.75">
      <c r="O121" s="63"/>
    </row>
    <row r="122" ht="12.75">
      <c r="O122" s="63"/>
    </row>
    <row r="123" ht="12.75">
      <c r="O123" s="63"/>
    </row>
    <row r="124" ht="12.75">
      <c r="O124" s="63"/>
    </row>
    <row r="125" ht="12.75">
      <c r="O125" s="63"/>
    </row>
    <row r="126" ht="12.75">
      <c r="O126" s="63"/>
    </row>
    <row r="127" ht="12.75">
      <c r="O127" s="63"/>
    </row>
    <row r="128" ht="12.75">
      <c r="O128" s="63"/>
    </row>
    <row r="129" ht="12.75">
      <c r="O129" s="63"/>
    </row>
    <row r="130" ht="12.75">
      <c r="O130" s="63"/>
    </row>
    <row r="131" ht="12.75">
      <c r="O131" s="63"/>
    </row>
    <row r="132" ht="12.75">
      <c r="O132" s="63"/>
    </row>
    <row r="133" ht="12.75">
      <c r="O133" s="63"/>
    </row>
    <row r="134" ht="12.75">
      <c r="O134" s="63"/>
    </row>
    <row r="135" ht="12.75">
      <c r="O135" s="63"/>
    </row>
    <row r="136" ht="12.75">
      <c r="O136" s="63"/>
    </row>
    <row r="137" ht="12.75">
      <c r="O137" s="63"/>
    </row>
    <row r="138" ht="12.75">
      <c r="O138" s="63"/>
    </row>
    <row r="139" ht="12.75">
      <c r="O139" s="63"/>
    </row>
    <row r="140" ht="12.75">
      <c r="O140" s="63"/>
    </row>
    <row r="141" ht="12.75">
      <c r="O141" s="63"/>
    </row>
    <row r="142" ht="12.75">
      <c r="O142" s="63"/>
    </row>
    <row r="143" ht="12.75">
      <c r="O143" s="63"/>
    </row>
    <row r="144" ht="12.75">
      <c r="O144" s="63"/>
    </row>
    <row r="145" ht="12.75">
      <c r="O145" s="63"/>
    </row>
    <row r="146" ht="12.75">
      <c r="O146" s="63"/>
    </row>
    <row r="147" ht="12.75">
      <c r="O147" s="63"/>
    </row>
    <row r="148" ht="12.75">
      <c r="O148" s="63"/>
    </row>
    <row r="149" ht="12.75">
      <c r="O149" s="63"/>
    </row>
    <row r="150" ht="12.75">
      <c r="O150" s="63"/>
    </row>
    <row r="151" ht="12.75">
      <c r="O151" s="63"/>
    </row>
    <row r="152" ht="12.75">
      <c r="O152" s="63"/>
    </row>
    <row r="153" ht="12.75">
      <c r="O153" s="63"/>
    </row>
    <row r="154" ht="12.75">
      <c r="O154" s="63"/>
    </row>
    <row r="155" ht="12.75">
      <c r="O155" s="63"/>
    </row>
    <row r="156" ht="12.75">
      <c r="O156" s="63"/>
    </row>
    <row r="157" ht="12.75">
      <c r="O157" s="63"/>
    </row>
    <row r="158" ht="12.75">
      <c r="O158" s="63"/>
    </row>
    <row r="159" ht="12.75">
      <c r="O159" s="63"/>
    </row>
    <row r="160" ht="12.75">
      <c r="O160" s="63"/>
    </row>
    <row r="161" ht="12.75">
      <c r="O161" s="63"/>
    </row>
    <row r="162" ht="12.75">
      <c r="O162" s="63"/>
    </row>
    <row r="163" ht="12.75">
      <c r="O163" s="63"/>
    </row>
    <row r="164" ht="12.75">
      <c r="O164" s="63"/>
    </row>
    <row r="165" ht="12.75">
      <c r="O165" s="63"/>
    </row>
    <row r="166" ht="12.75">
      <c r="O166" s="63"/>
    </row>
    <row r="167" ht="12.75">
      <c r="O167" s="63"/>
    </row>
    <row r="168" ht="12.75">
      <c r="O168" s="63"/>
    </row>
    <row r="169" ht="12.75">
      <c r="O169" s="63"/>
    </row>
    <row r="170" ht="12.75">
      <c r="O170" s="63"/>
    </row>
    <row r="171" ht="12.75">
      <c r="O171" s="63"/>
    </row>
    <row r="172" ht="12.75">
      <c r="O172" s="63"/>
    </row>
    <row r="173" ht="12.75">
      <c r="O173" s="63"/>
    </row>
    <row r="174" ht="12.75">
      <c r="O174" s="63"/>
    </row>
    <row r="175" ht="12.75">
      <c r="O175" s="63"/>
    </row>
    <row r="176" ht="12.75">
      <c r="O176" s="63"/>
    </row>
    <row r="177" ht="12.75">
      <c r="O177" s="63"/>
    </row>
    <row r="178" ht="12.75">
      <c r="O178" s="63"/>
    </row>
    <row r="179" ht="12.75">
      <c r="O179" s="63"/>
    </row>
    <row r="180" ht="12.75">
      <c r="O180" s="63"/>
    </row>
    <row r="181" ht="12.75">
      <c r="O181" s="63"/>
    </row>
    <row r="182" ht="12.75">
      <c r="O182" s="63"/>
    </row>
    <row r="183" ht="12.75">
      <c r="O183" s="63"/>
    </row>
    <row r="184" ht="12.75">
      <c r="O184" s="63"/>
    </row>
    <row r="185" ht="12.75">
      <c r="O185" s="63"/>
    </row>
    <row r="186" ht="12.75">
      <c r="O186" s="63"/>
    </row>
    <row r="187" ht="12.75">
      <c r="O187" s="63"/>
    </row>
    <row r="188" ht="12.75">
      <c r="O188" s="63"/>
    </row>
    <row r="189" ht="12.75">
      <c r="O189" s="63"/>
    </row>
    <row r="190" ht="12.75">
      <c r="O190" s="63"/>
    </row>
    <row r="191" ht="12.75">
      <c r="O191" s="63"/>
    </row>
    <row r="192" ht="12.75">
      <c r="O192" s="63"/>
    </row>
    <row r="193" ht="12.75">
      <c r="O193" s="63"/>
    </row>
    <row r="194" ht="12.75">
      <c r="O194" s="63"/>
    </row>
    <row r="195" ht="12.75">
      <c r="O195" s="63"/>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Mehtonen Mikko</cp:lastModifiedBy>
  <cp:lastPrinted>2022-01-13T10:53:15Z</cp:lastPrinted>
  <dcterms:created xsi:type="dcterms:W3CDTF">2009-11-13T07:40:31Z</dcterms:created>
  <dcterms:modified xsi:type="dcterms:W3CDTF">2022-01-18T11:41:03Z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