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T:\Kuntakehitys ja Tutkimus\ARTTU2-TUTKIMUSOHJELMA\Osaprojekti_Päättäjätutkimus 2015\Pätu-excel-sovellus\Kunnat.netiin\"/>
    </mc:Choice>
  </mc:AlternateContent>
  <bookViews>
    <workbookView xWindow="-120" yWindow="137" windowWidth="17520" windowHeight="9720"/>
  </bookViews>
  <sheets>
    <sheet name="Etusivu" sheetId="1" r:id="rId1"/>
    <sheet name="work" sheetId="13" state="hidden" r:id="rId2"/>
    <sheet name="Vastauspros" sheetId="11" state="hidden" r:id="rId3"/>
    <sheet name="kys15_kaikkilh_kunnittain" sheetId="40" state="hidden" r:id="rId4"/>
    <sheet name="kys15_valtuusto_kunnittain" sheetId="41" state="hidden" r:id="rId5"/>
    <sheet name="kys16_kunnittain" sheetId="59" state="hidden" r:id="rId6"/>
    <sheet name="kys17_kunnittain" sheetId="42" state="hidden" r:id="rId7"/>
    <sheet name="kys18_kunnittain" sheetId="43" state="hidden" r:id="rId8"/>
    <sheet name="kys19_kunnittain" sheetId="44" state="hidden" r:id="rId9"/>
    <sheet name="kys20_kunnittain" sheetId="45" state="hidden" r:id="rId10"/>
    <sheet name="kys21_kunnittain" sheetId="46" state="hidden" r:id="rId11"/>
    <sheet name="kys22_kunnittain" sheetId="47" state="hidden" r:id="rId12"/>
    <sheet name="kys23_kunnittain" sheetId="48" state="hidden" r:id="rId13"/>
    <sheet name="kys24_kunnittain" sheetId="49" state="hidden" r:id="rId14"/>
    <sheet name="kys25_kunnittain" sheetId="50" state="hidden" r:id="rId15"/>
    <sheet name="kys26_kunnittain" sheetId="51" state="hidden" r:id="rId16"/>
    <sheet name="kys27_kunnittain" sheetId="52" state="hidden" r:id="rId17"/>
    <sheet name="kys28_kunnittain" sheetId="53" state="hidden" r:id="rId18"/>
    <sheet name="kys29_kunnittain" sheetId="54" state="hidden" r:id="rId19"/>
    <sheet name="kys30_kunnittain" sheetId="55" state="hidden" r:id="rId20"/>
    <sheet name="kys31_kunnittain" sheetId="56" state="hidden" r:id="rId21"/>
    <sheet name="kys34_kunnittain" sheetId="57" state="hidden" r:id="rId22"/>
    <sheet name="Kys35_kunnittain" sheetId="60" state="hidden" r:id="rId23"/>
    <sheet name="protogolla" sheetId="58" state="hidden" r:id="rId24"/>
  </sheets>
  <externalReferences>
    <externalReference r:id="rId25"/>
  </externalReferences>
  <definedNames>
    <definedName name="_GoBack" localSheetId="1">work!$A$4</definedName>
    <definedName name="ajankaytto_kunnat">kys15_kaikkilh_kunnittain!$A$2:$E$41</definedName>
    <definedName name="ajankaytto_ryhmat">kys15_kaikkilh_kunnittain!$A$44:$E$49</definedName>
    <definedName name="ajankaytto_val_kunnat">kys15_valtuusto_kunnittain!$A$2:$E$41</definedName>
    <definedName name="ajankaytto_val_ryhmat">kys15_valtuusto_kunnittain!$A$45:$E$50</definedName>
    <definedName name="asukasluku">Vastauspros!$A$2:$G$41</definedName>
    <definedName name="demok_kehit_kunnat">kys19_kunnittain!$A$2:$Q$41</definedName>
    <definedName name="demok_kehit_ryhmat">kys19_kunnittain!$A$44:$Q$49</definedName>
    <definedName name="edesauttaa_toimintaa_kunnat">kys16_kunnittain!$A$1:$S$41</definedName>
    <definedName name="edesauttaa_toimintaa_ryhmat">kys16_kunnittain!$A$45:$S$51</definedName>
    <definedName name="elinvoimaisuus_kunnat">kys24_kunnittain!$A$2:$U$41</definedName>
    <definedName name="elinvoimaisuus_ryhmat">kys24_kunnittain!$A$45:$U$50</definedName>
    <definedName name="hairinta_kunnat">kys31_kunnittain!$A$2:$E$41</definedName>
    <definedName name="hairinta_ryhmat">kys31_kunnittain!$A$45:$E$50</definedName>
    <definedName name="hyva_asua_kunnat">kys22_kunnittain!$A$2:$E$41</definedName>
    <definedName name="hyva_asua_ryhmat">kys22_kunnittain!$A$45:$E$50</definedName>
    <definedName name="ilmapiiri_kunnat">kys29_kunnittain!$A$2:$J$41</definedName>
    <definedName name="ilmapiiri_ryhmat">kys29_kunnittain!$A$45:$J$50</definedName>
    <definedName name="Kunnat">Vastauspros!$A$2:$A$41</definedName>
    <definedName name="Kunnat2">Vastauspros!$A$2:$A$41</definedName>
    <definedName name="kunta_kehit_kunnat">kys20_kunnittain!$A$2:$I$41</definedName>
    <definedName name="kunta_kehit_ryhmat">kys20_kunnittain!$A$46:$I$51</definedName>
    <definedName name="luottamustehtava_kunnat">kys18_kunnittain!$A$2:$E$41</definedName>
    <definedName name="luottamustehtava_ryhmat">kys18_kunnittain!$A$45:$E$50</definedName>
    <definedName name="paatoksentekotilanne_kunnat">kys28_kunnittain!$A$2:$G$41</definedName>
    <definedName name="paatoksentekotilanne_ryhmat">kys28_kunnittain!$A$46:$G$51</definedName>
    <definedName name="palaute_kunnat">kys30_kunnittain!$A$2:$E$41</definedName>
    <definedName name="palaute_ryhmat">kys30_kunnittain!$A$45:$E$50</definedName>
    <definedName name="palveluiden_saatavuus_kunnat">Kys35_kunnittain!$A$1:$AQ$41</definedName>
    <definedName name="palveluiden_saatavuus_ryhmat">Kys35_kunnittain!$A$44:$AQ$50</definedName>
    <definedName name="parjaaminen_kunnat">kys23_kunnittain!$A$2:$N$41</definedName>
    <definedName name="parjaaminen_ryhmat">kys23_kunnittain!$A$45:$N$50</definedName>
    <definedName name="puolueettomuus_kunnat">kys34_kunnittain!$A$2:$K$41</definedName>
    <definedName name="puolueettomuus_ryhmat">kys34_kunnittain!$A$45:$K$50</definedName>
    <definedName name="talous_kunnat">kys25_kunnittain!$A$2:$N$41</definedName>
    <definedName name="talous_ryhmat">kys25_kunnittain!$A$46:$N$51</definedName>
    <definedName name="_xlnm.Print_Area" localSheetId="0">Etusivu!$A$1:$I$1196</definedName>
    <definedName name="uudistukset_kunnat">kys21_kunnittain!$A$2:$O$41</definedName>
    <definedName name="uudistukset_ryhmat">kys21_kunnittain!$A$46:$O$51</definedName>
    <definedName name="vaalit_kunnat">kys17_kunnittain!$A$2:$E$41</definedName>
    <definedName name="vaalit_ryhmat">kys17_kunnittain!$A$44:$E$49</definedName>
    <definedName name="vaesto2015">[1]vaesto!$A$2:$B$318</definedName>
    <definedName name="vaikuttaminen_kunnat">kys26_kunnittain!$A$2:$U$41</definedName>
    <definedName name="vaikuttaminen_ryhmat">kys26_kunnittain!$A$45:$U$50</definedName>
    <definedName name="vaikutusvalta_kunnat">kys27_kunnittain!$A$2:$S$41</definedName>
    <definedName name="vaikutusvalta_ryhmat">kys27_kunnittain!$A$45:$S$50</definedName>
  </definedNames>
  <calcPr calcId="162913"/>
</workbook>
</file>

<file path=xl/calcChain.xml><?xml version="1.0" encoding="utf-8"?>
<calcChain xmlns="http://schemas.openxmlformats.org/spreadsheetml/2006/main">
  <c r="D220" i="13" l="1"/>
  <c r="D219" i="13"/>
  <c r="D218" i="13"/>
  <c r="D217" i="13"/>
  <c r="D216" i="13"/>
  <c r="D215" i="13"/>
  <c r="D213" i="13"/>
  <c r="D212" i="13"/>
  <c r="D211" i="13"/>
  <c r="D210" i="13"/>
  <c r="D209" i="13"/>
  <c r="D207" i="13"/>
  <c r="D206" i="13"/>
  <c r="D205" i="13"/>
  <c r="D204" i="13"/>
  <c r="D203" i="13"/>
  <c r="D202" i="13"/>
  <c r="D201" i="13"/>
  <c r="D200" i="13"/>
  <c r="D199" i="13"/>
  <c r="D198" i="13"/>
  <c r="D196" i="13"/>
  <c r="D195" i="13"/>
  <c r="D194" i="13"/>
  <c r="D193" i="13"/>
  <c r="D192" i="13"/>
  <c r="D191" i="13"/>
  <c r="D190" i="13"/>
  <c r="D189" i="13"/>
  <c r="D188" i="13"/>
  <c r="D186" i="13"/>
  <c r="D185" i="13"/>
  <c r="D183" i="13"/>
  <c r="D182" i="13"/>
  <c r="D181" i="13"/>
  <c r="D180" i="13"/>
  <c r="D179" i="13"/>
  <c r="D178" i="13"/>
  <c r="D184" i="13"/>
  <c r="D175" i="13"/>
  <c r="B220" i="13"/>
  <c r="B219" i="13"/>
  <c r="B218" i="13"/>
  <c r="B217" i="13"/>
  <c r="B216" i="13"/>
  <c r="B215" i="13"/>
  <c r="B213" i="13"/>
  <c r="B212" i="13"/>
  <c r="B211" i="13"/>
  <c r="B210" i="13"/>
  <c r="B209" i="13"/>
  <c r="B207" i="13"/>
  <c r="B206" i="13"/>
  <c r="B205" i="13"/>
  <c r="B204" i="13"/>
  <c r="B203" i="13"/>
  <c r="B202" i="13"/>
  <c r="B201" i="13"/>
  <c r="B200" i="13"/>
  <c r="B199" i="13"/>
  <c r="B198" i="13"/>
  <c r="B196" i="13"/>
  <c r="B195" i="13"/>
  <c r="B194" i="13"/>
  <c r="B193" i="13"/>
  <c r="B192" i="13"/>
  <c r="B191" i="13"/>
  <c r="B190" i="13"/>
  <c r="B189" i="13"/>
  <c r="B188" i="13"/>
  <c r="B186" i="13"/>
  <c r="B185" i="13"/>
  <c r="B184" i="13"/>
  <c r="B183" i="13"/>
  <c r="B182" i="13"/>
  <c r="B181" i="13"/>
  <c r="B180" i="13"/>
  <c r="B179" i="13"/>
  <c r="B178" i="13"/>
  <c r="D214" i="13"/>
  <c r="B214" i="13"/>
  <c r="D208" i="13"/>
  <c r="B208" i="13"/>
  <c r="D197" i="13"/>
  <c r="B197" i="13"/>
  <c r="D187" i="13"/>
  <c r="B187" i="13"/>
  <c r="D177" i="13"/>
  <c r="B177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7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D9" i="13"/>
  <c r="D68" i="13"/>
  <c r="B68" i="13"/>
  <c r="B163" i="13"/>
  <c r="D174" i="13"/>
  <c r="D173" i="13"/>
  <c r="D172" i="13"/>
  <c r="D171" i="13"/>
  <c r="D170" i="13"/>
  <c r="D160" i="13"/>
  <c r="D159" i="13"/>
  <c r="D158" i="13"/>
  <c r="D157" i="13"/>
  <c r="D156" i="13"/>
  <c r="D152" i="13"/>
  <c r="D151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1" i="13"/>
  <c r="D110" i="13"/>
  <c r="D109" i="13"/>
  <c r="D108" i="13"/>
  <c r="D107" i="13"/>
  <c r="D106" i="13"/>
  <c r="D105" i="13"/>
  <c r="D104" i="13"/>
  <c r="D103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0" i="13"/>
  <c r="D79" i="13"/>
  <c r="D78" i="13"/>
  <c r="D77" i="13"/>
  <c r="D76" i="13"/>
  <c r="D75" i="13"/>
  <c r="D74" i="13"/>
  <c r="D73" i="13"/>
  <c r="D72" i="13"/>
  <c r="D71" i="13"/>
  <c r="D169" i="13"/>
  <c r="D166" i="13"/>
  <c r="D163" i="13"/>
  <c r="D155" i="13"/>
  <c r="D150" i="13"/>
  <c r="D133" i="13"/>
  <c r="D114" i="13"/>
  <c r="D102" i="13"/>
  <c r="D83" i="13"/>
  <c r="B175" i="13"/>
  <c r="B174" i="13"/>
  <c r="B173" i="13"/>
  <c r="B172" i="13"/>
  <c r="B171" i="13"/>
  <c r="B170" i="13"/>
  <c r="B160" i="13"/>
  <c r="B159" i="13"/>
  <c r="B158" i="13"/>
  <c r="B157" i="13"/>
  <c r="B156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1" i="13"/>
  <c r="B110" i="13"/>
  <c r="B109" i="13"/>
  <c r="B108" i="13"/>
  <c r="B107" i="13"/>
  <c r="B106" i="13"/>
  <c r="B105" i="13"/>
  <c r="B104" i="13"/>
  <c r="B103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0" i="13"/>
  <c r="B79" i="13"/>
  <c r="B78" i="13"/>
  <c r="B77" i="13"/>
  <c r="B76" i="13"/>
  <c r="B75" i="13"/>
  <c r="B74" i="13"/>
  <c r="B73" i="13"/>
  <c r="B72" i="13"/>
  <c r="B71" i="13"/>
  <c r="B83" i="13"/>
  <c r="B102" i="13"/>
  <c r="B114" i="13"/>
  <c r="B133" i="13"/>
  <c r="B155" i="13"/>
  <c r="B169" i="13"/>
  <c r="B166" i="13"/>
  <c r="B152" i="13"/>
  <c r="B151" i="13"/>
  <c r="B150" i="13"/>
  <c r="D65" i="13"/>
  <c r="D64" i="13"/>
  <c r="D63" i="13"/>
  <c r="D62" i="13"/>
  <c r="D61" i="13"/>
  <c r="D60" i="13"/>
  <c r="D59" i="13"/>
  <c r="D58" i="13"/>
  <c r="D57" i="13"/>
  <c r="D56" i="13"/>
  <c r="D55" i="13"/>
  <c r="D48" i="13"/>
  <c r="B65" i="13"/>
  <c r="B64" i="13"/>
  <c r="B63" i="13"/>
  <c r="B62" i="13"/>
  <c r="B61" i="13"/>
  <c r="B60" i="13"/>
  <c r="B59" i="13"/>
  <c r="B58" i="13"/>
  <c r="B57" i="13"/>
  <c r="B56" i="13"/>
  <c r="B55" i="13"/>
  <c r="D52" i="13"/>
  <c r="D51" i="13"/>
  <c r="D50" i="13"/>
  <c r="D49" i="13"/>
  <c r="D33" i="13"/>
  <c r="B52" i="13"/>
  <c r="B51" i="13"/>
  <c r="B50" i="13"/>
  <c r="B49" i="13"/>
  <c r="B48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0" i="13"/>
  <c r="D4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0" i="13"/>
  <c r="B27" i="13"/>
  <c r="D27" i="13"/>
  <c r="D168" i="13"/>
  <c r="B168" i="13"/>
  <c r="D165" i="13"/>
  <c r="B165" i="13"/>
  <c r="D162" i="13"/>
  <c r="B162" i="13"/>
  <c r="D154" i="13"/>
  <c r="B154" i="13"/>
  <c r="D149" i="13"/>
  <c r="B149" i="13"/>
  <c r="D132" i="13"/>
  <c r="B132" i="13"/>
  <c r="D113" i="13"/>
  <c r="B113" i="13"/>
  <c r="D101" i="13"/>
  <c r="B101" i="13"/>
  <c r="D82" i="13"/>
  <c r="B82" i="13"/>
  <c r="D70" i="13"/>
  <c r="B70" i="13"/>
  <c r="D67" i="13"/>
  <c r="B67" i="13"/>
  <c r="D54" i="13"/>
  <c r="B54" i="13"/>
  <c r="D47" i="13"/>
  <c r="B47" i="13"/>
  <c r="D32" i="13"/>
  <c r="B32" i="13"/>
  <c r="D29" i="13"/>
  <c r="B29" i="13"/>
  <c r="D3" i="13"/>
  <c r="B26" i="13"/>
  <c r="D6" i="13"/>
  <c r="D26" i="13"/>
  <c r="B4" i="13"/>
  <c r="D1" i="13"/>
  <c r="B1" i="13" s="1"/>
  <c r="C216" i="13" s="1"/>
  <c r="C1" i="13"/>
  <c r="C208" i="13" s="1"/>
  <c r="B16" i="1"/>
  <c r="E16" i="1"/>
  <c r="C16" i="1"/>
  <c r="C52" i="13" l="1"/>
  <c r="C73" i="13"/>
  <c r="C123" i="13"/>
  <c r="C50" i="13"/>
  <c r="C56" i="13"/>
  <c r="C111" i="13"/>
  <c r="C86" i="13"/>
  <c r="C160" i="13"/>
  <c r="C106" i="13"/>
  <c r="C7" i="13"/>
  <c r="C191" i="13"/>
  <c r="C35" i="13"/>
  <c r="C102" i="13"/>
  <c r="C55" i="13"/>
  <c r="C129" i="13"/>
  <c r="C105" i="13"/>
  <c r="C118" i="13"/>
  <c r="C124" i="13"/>
  <c r="C23" i="13"/>
  <c r="C201" i="13"/>
  <c r="C72" i="13"/>
  <c r="C158" i="13"/>
  <c r="C137" i="13"/>
  <c r="C143" i="13"/>
  <c r="C204" i="13"/>
  <c r="C206" i="13"/>
  <c r="C186" i="13"/>
  <c r="C17" i="13"/>
  <c r="C180" i="13"/>
  <c r="C203" i="13"/>
  <c r="C188" i="13"/>
  <c r="C22" i="13"/>
  <c r="C212" i="13"/>
  <c r="C198" i="13"/>
  <c r="C181" i="13"/>
  <c r="C12" i="13"/>
  <c r="C200" i="13"/>
  <c r="C19" i="13"/>
  <c r="C219" i="13"/>
  <c r="C157" i="13"/>
  <c r="C139" i="13"/>
  <c r="C120" i="13"/>
  <c r="C99" i="13"/>
  <c r="C159" i="13"/>
  <c r="C130" i="13"/>
  <c r="C174" i="13"/>
  <c r="C156" i="13"/>
  <c r="C138" i="13"/>
  <c r="C119" i="13"/>
  <c r="C98" i="13"/>
  <c r="C171" i="13"/>
  <c r="C93" i="13"/>
  <c r="C144" i="13"/>
  <c r="C125" i="13"/>
  <c r="C107" i="13"/>
  <c r="C88" i="13"/>
  <c r="C71" i="13"/>
  <c r="C51" i="13"/>
  <c r="C48" i="13"/>
  <c r="C114" i="13"/>
  <c r="C166" i="13"/>
  <c r="C65" i="13"/>
  <c r="C79" i="13"/>
  <c r="C83" i="13"/>
  <c r="C45" i="13"/>
  <c r="C42" i="13"/>
  <c r="C37" i="13"/>
  <c r="C36" i="13"/>
  <c r="C95" i="13"/>
  <c r="C134" i="13"/>
  <c r="C94" i="13"/>
  <c r="C89" i="13"/>
  <c r="C121" i="13"/>
  <c r="C103" i="13"/>
  <c r="C62" i="13"/>
  <c r="C49" i="13"/>
  <c r="C155" i="13"/>
  <c r="C75" i="13"/>
  <c r="C63" i="13"/>
  <c r="C38" i="13"/>
  <c r="C30" i="13"/>
  <c r="C217" i="13"/>
  <c r="C179" i="13"/>
  <c r="C205" i="13"/>
  <c r="C20" i="13"/>
  <c r="C192" i="13"/>
  <c r="C11" i="13"/>
  <c r="C128" i="13"/>
  <c r="C91" i="13"/>
  <c r="C122" i="13"/>
  <c r="C146" i="13"/>
  <c r="C109" i="13"/>
  <c r="C104" i="13"/>
  <c r="C136" i="13"/>
  <c r="C96" i="13"/>
  <c r="C58" i="13"/>
  <c r="C78" i="13"/>
  <c r="C133" i="13"/>
  <c r="C163" i="13"/>
  <c r="C39" i="13"/>
  <c r="C27" i="13"/>
  <c r="C68" i="13"/>
  <c r="C202" i="13"/>
  <c r="C182" i="13"/>
  <c r="C13" i="13"/>
  <c r="C178" i="13"/>
  <c r="C199" i="13"/>
  <c r="C183" i="13"/>
  <c r="C18" i="13"/>
  <c r="C209" i="13"/>
  <c r="C193" i="13"/>
  <c r="C24" i="13"/>
  <c r="C10" i="13"/>
  <c r="C196" i="13"/>
  <c r="C15" i="13"/>
  <c r="C218" i="13"/>
  <c r="C152" i="13"/>
  <c r="C135" i="13"/>
  <c r="C116" i="13"/>
  <c r="C145" i="13"/>
  <c r="C126" i="13"/>
  <c r="C170" i="13"/>
  <c r="C151" i="13"/>
  <c r="C115" i="13"/>
  <c r="C108" i="13"/>
  <c r="C140" i="13"/>
  <c r="C84" i="13"/>
  <c r="C64" i="13"/>
  <c r="C80" i="13"/>
  <c r="C61" i="13"/>
  <c r="C43" i="13"/>
  <c r="C33" i="13"/>
  <c r="C190" i="13"/>
  <c r="C207" i="13"/>
  <c r="C194" i="13"/>
  <c r="C175" i="13"/>
  <c r="C211" i="13"/>
  <c r="C210" i="13"/>
  <c r="C195" i="13"/>
  <c r="C14" i="13"/>
  <c r="C189" i="13"/>
  <c r="C220" i="13"/>
  <c r="C215" i="13"/>
  <c r="C147" i="13"/>
  <c r="C110" i="13"/>
  <c r="C141" i="13"/>
  <c r="C172" i="13"/>
  <c r="C127" i="13"/>
  <c r="C90" i="13"/>
  <c r="C85" i="13"/>
  <c r="C117" i="13"/>
  <c r="C77" i="13"/>
  <c r="C60" i="13"/>
  <c r="C76" i="13"/>
  <c r="C57" i="13"/>
  <c r="C59" i="13"/>
  <c r="C34" i="13"/>
  <c r="C44" i="13"/>
  <c r="C213" i="13"/>
  <c r="C21" i="13"/>
  <c r="C184" i="13"/>
  <c r="C40" i="13"/>
  <c r="C150" i="13"/>
  <c r="C74" i="13"/>
  <c r="C92" i="13"/>
  <c r="C97" i="13"/>
  <c r="C142" i="13"/>
  <c r="C87" i="13"/>
  <c r="C173" i="13"/>
  <c r="C16" i="13"/>
  <c r="C169" i="13"/>
  <c r="C4" i="13"/>
  <c r="C41" i="13"/>
  <c r="C185" i="13"/>
  <c r="C47" i="13"/>
  <c r="C70" i="13"/>
  <c r="C187" i="13"/>
  <c r="C6" i="13"/>
  <c r="C26" i="13"/>
  <c r="C113" i="13"/>
  <c r="C165" i="13"/>
  <c r="C168" i="13"/>
  <c r="C177" i="13"/>
  <c r="C132" i="13"/>
  <c r="C32" i="13"/>
  <c r="C67" i="13"/>
  <c r="C162" i="13"/>
  <c r="C82" i="13"/>
  <c r="C9" i="13"/>
  <c r="C214" i="13"/>
  <c r="C3" i="13"/>
  <c r="C101" i="13"/>
  <c r="C29" i="13"/>
  <c r="C54" i="13"/>
  <c r="C154" i="13"/>
  <c r="C149" i="13"/>
  <c r="C197" i="13"/>
</calcChain>
</file>

<file path=xl/sharedStrings.xml><?xml version="1.0" encoding="utf-8"?>
<sst xmlns="http://schemas.openxmlformats.org/spreadsheetml/2006/main" count="2272" uniqueCount="697">
  <si>
    <t>Suomen Kuntaliitto</t>
  </si>
  <si>
    <t>Marianne Pekola-Sjöblom</t>
  </si>
  <si>
    <t>Hirvensalmi</t>
  </si>
  <si>
    <t>Hollola</t>
  </si>
  <si>
    <t>Hämeenlinna</t>
  </si>
  <si>
    <t>Jyväskylä</t>
  </si>
  <si>
    <t>Kotka</t>
  </si>
  <si>
    <t>Kuusamo</t>
  </si>
  <si>
    <t>Lappeenranta</t>
  </si>
  <si>
    <t>Lempäälä</t>
  </si>
  <si>
    <t>Mustasaari</t>
  </si>
  <si>
    <t>Oulu</t>
  </si>
  <si>
    <t>Pudasjärvi</t>
  </si>
  <si>
    <t>Salo</t>
  </si>
  <si>
    <t>Sipoo</t>
  </si>
  <si>
    <t>Turku</t>
  </si>
  <si>
    <t>Vaasa</t>
  </si>
  <si>
    <t>Vimpeli</t>
  </si>
  <si>
    <t>Näpäytä solua ja valitse kunta alasvetovalikosta</t>
  </si>
  <si>
    <t>vastanneet</t>
  </si>
  <si>
    <t>Kunta</t>
  </si>
  <si>
    <t>Kunnan nimi</t>
  </si>
  <si>
    <t>Kemiönsaari</t>
  </si>
  <si>
    <t>Raasepori</t>
  </si>
  <si>
    <t>Vöyri</t>
  </si>
  <si>
    <t xml:space="preserve">Hirvensalmi       </t>
  </si>
  <si>
    <t xml:space="preserve">Hollola           </t>
  </si>
  <si>
    <t xml:space="preserve">Kotka             </t>
  </si>
  <si>
    <t xml:space="preserve">Kuusamo           </t>
  </si>
  <si>
    <t xml:space="preserve">Lempäälä          </t>
  </si>
  <si>
    <t xml:space="preserve">Mustasaari        </t>
  </si>
  <si>
    <t xml:space="preserve">Pudasjärvi        </t>
  </si>
  <si>
    <t xml:space="preserve">Sipoo             </t>
  </si>
  <si>
    <t xml:space="preserve">Turku             </t>
  </si>
  <si>
    <t xml:space="preserve">Vimpeli           </t>
  </si>
  <si>
    <t>Yhteensä</t>
  </si>
  <si>
    <t>otos</t>
  </si>
  <si>
    <t>prosenttina</t>
  </si>
  <si>
    <t>Otos, lkm</t>
  </si>
  <si>
    <t>Vastanneet, lkm</t>
  </si>
  <si>
    <t>%</t>
  </si>
  <si>
    <t>Vast. lkm</t>
  </si>
  <si>
    <t>kuntanro</t>
  </si>
  <si>
    <t>Kaikki ARTTU kunnat</t>
  </si>
  <si>
    <t>Askola</t>
  </si>
  <si>
    <t>Espoo</t>
  </si>
  <si>
    <t>Hattula</t>
  </si>
  <si>
    <t xml:space="preserve">Hämeenlinna </t>
  </si>
  <si>
    <t>Inari</t>
  </si>
  <si>
    <t xml:space="preserve">Jyväskylä </t>
  </si>
  <si>
    <t>Kankaanpää</t>
  </si>
  <si>
    <t>Keitele</t>
  </si>
  <si>
    <t>Keuruu</t>
  </si>
  <si>
    <t xml:space="preserve">Kokkola </t>
  </si>
  <si>
    <t xml:space="preserve">Kurikka </t>
  </si>
  <si>
    <t xml:space="preserve">Lappeenranta </t>
  </si>
  <si>
    <t>Liperi</t>
  </si>
  <si>
    <t xml:space="preserve">Mikkeli </t>
  </si>
  <si>
    <t>Nivala</t>
  </si>
  <si>
    <t xml:space="preserve">Oulu </t>
  </si>
  <si>
    <t>Paltamo</t>
  </si>
  <si>
    <t>Parkano</t>
  </si>
  <si>
    <t>Petäjävesi</t>
  </si>
  <si>
    <t xml:space="preserve">Raasepori </t>
  </si>
  <si>
    <t>Raisio</t>
  </si>
  <si>
    <t>Rautalampi</t>
  </si>
  <si>
    <t xml:space="preserve">Salo </t>
  </si>
  <si>
    <t>Säkylä</t>
  </si>
  <si>
    <t>Tampere</t>
  </si>
  <si>
    <t>Tornio</t>
  </si>
  <si>
    <t xml:space="preserve">Vaasa </t>
  </si>
  <si>
    <t>Vantaa</t>
  </si>
  <si>
    <t>Kokkola</t>
  </si>
  <si>
    <t>Kurikka</t>
  </si>
  <si>
    <t>Mikkeli</t>
  </si>
  <si>
    <t>Kaikki kunnat (N=42)</t>
  </si>
  <si>
    <t>Asukasluku 31.12.2014</t>
  </si>
  <si>
    <t>ARTTU2-Tutkimuskunnat</t>
  </si>
  <si>
    <t>Hämeenkoski*</t>
  </si>
  <si>
    <t>N_BREAK</t>
  </si>
  <si>
    <t>Päättäjäkysely 2015</t>
  </si>
  <si>
    <t>Vastaus-prosentti,
valtuutetut</t>
  </si>
  <si>
    <t>Valtuusto 
(vastaukset/ paikat)</t>
  </si>
  <si>
    <t>47/75</t>
  </si>
  <si>
    <t>15/35</t>
  </si>
  <si>
    <t>23/43</t>
  </si>
  <si>
    <t>20/59</t>
  </si>
  <si>
    <t>33/67</t>
  </si>
  <si>
    <t>15/21</t>
  </si>
  <si>
    <t>14/27</t>
  </si>
  <si>
    <t>23/35</t>
  </si>
  <si>
    <t>30/51</t>
  </si>
  <si>
    <t>25/51</t>
  </si>
  <si>
    <t>27/43</t>
  </si>
  <si>
    <t>21/43</t>
  </si>
  <si>
    <t>21/59</t>
  </si>
  <si>
    <t>30/43</t>
  </si>
  <si>
    <t>20/35</t>
  </si>
  <si>
    <t>42/59</t>
  </si>
  <si>
    <t>29/43</t>
  </si>
  <si>
    <t>16/35</t>
  </si>
  <si>
    <t>37/67</t>
  </si>
  <si>
    <t>16/21</t>
  </si>
  <si>
    <t>13/27</t>
  </si>
  <si>
    <t>16/27</t>
  </si>
  <si>
    <t>33/43</t>
  </si>
  <si>
    <t>20/43</t>
  </si>
  <si>
    <t>32/51</t>
  </si>
  <si>
    <t>18/27</t>
  </si>
  <si>
    <t>35/67</t>
  </si>
  <si>
    <t>26/67</t>
  </si>
  <si>
    <t>31/67</t>
  </si>
  <si>
    <t>54/67</t>
  </si>
  <si>
    <t>15/27</t>
  </si>
  <si>
    <t>(8/21)</t>
  </si>
  <si>
    <t>Köyliö*</t>
  </si>
  <si>
    <t>(4/21)</t>
  </si>
  <si>
    <t>(9/27)</t>
  </si>
  <si>
    <t>(9/21)</t>
  </si>
  <si>
    <t>(12/27)</t>
  </si>
  <si>
    <t>(7/21)</t>
  </si>
  <si>
    <t>(6/21)</t>
  </si>
  <si>
    <t>v02</t>
  </si>
  <si>
    <t>KokoLk_mean</t>
  </si>
  <si>
    <t>kunta_mean</t>
  </si>
  <si>
    <t>v15_mean</t>
  </si>
  <si>
    <t>KokoLk</t>
  </si>
  <si>
    <t>KAIKKI</t>
  </si>
  <si>
    <t>v17_plt</t>
  </si>
  <si>
    <t>v18_plt</t>
  </si>
  <si>
    <t>alle 5000</t>
  </si>
  <si>
    <t>5000-10000</t>
  </si>
  <si>
    <t>10001-20000</t>
  </si>
  <si>
    <t>20001-50000</t>
  </si>
  <si>
    <t>50001-100000</t>
  </si>
  <si>
    <t>yli 100000</t>
  </si>
  <si>
    <t>Ajankäyttö luottamustehtäviin keskimäärin tuntia/viikko</t>
  </si>
  <si>
    <t>v1901_pgt</t>
  </si>
  <si>
    <t>v1902_pgt</t>
  </si>
  <si>
    <t>v1903_pgt</t>
  </si>
  <si>
    <t>v1904_pgt</t>
  </si>
  <si>
    <t>v1905_pgt</t>
  </si>
  <si>
    <t>v1906_pgt</t>
  </si>
  <si>
    <t>v1907_pgt</t>
  </si>
  <si>
    <t>v1908_pgt</t>
  </si>
  <si>
    <t>v1909_pgt</t>
  </si>
  <si>
    <t>v1910_pgt</t>
  </si>
  <si>
    <t>v1911_pgt</t>
  </si>
  <si>
    <t>v1912_pgt</t>
  </si>
  <si>
    <t>v1913_pgt</t>
  </si>
  <si>
    <t>v2001_pgt</t>
  </si>
  <si>
    <t>v2002_pgt</t>
  </si>
  <si>
    <t>v2003_pgt</t>
  </si>
  <si>
    <t>v2004_pgt</t>
  </si>
  <si>
    <t>v2005_pgt</t>
  </si>
  <si>
    <t>v2101_pgt</t>
  </si>
  <si>
    <t>v2102_pgt</t>
  </si>
  <si>
    <t>v2103_pgt</t>
  </si>
  <si>
    <t>v2104_pgt</t>
  </si>
  <si>
    <t>v2105_pgt</t>
  </si>
  <si>
    <t>v2106_pgt</t>
  </si>
  <si>
    <t>v2107_pgt</t>
  </si>
  <si>
    <t>v2108_pgt</t>
  </si>
  <si>
    <t>v2109_pgt</t>
  </si>
  <si>
    <t>v2110_pgt</t>
  </si>
  <si>
    <t>v2111_pgt</t>
  </si>
  <si>
    <t>v22_mean</t>
  </si>
  <si>
    <t>v2301_mean</t>
  </si>
  <si>
    <t>v2302_mean</t>
  </si>
  <si>
    <t>v2303_mean</t>
  </si>
  <si>
    <t>v2304_mean</t>
  </si>
  <si>
    <t>v2305_mean</t>
  </si>
  <si>
    <t>v2306_mean</t>
  </si>
  <si>
    <t>v2307_mean</t>
  </si>
  <si>
    <t>v2308_mean</t>
  </si>
  <si>
    <t>v2309_mean</t>
  </si>
  <si>
    <t>v2310_mean</t>
  </si>
  <si>
    <t>v2401_pgt</t>
  </si>
  <si>
    <t>v2402_pgt</t>
  </si>
  <si>
    <t>v2403_pgt</t>
  </si>
  <si>
    <t>v2404_pgt</t>
  </si>
  <si>
    <t>v2405_pgt</t>
  </si>
  <si>
    <t>v2406_pgt</t>
  </si>
  <si>
    <t>v2407_pgt</t>
  </si>
  <si>
    <t>v2408_pgt</t>
  </si>
  <si>
    <t>v2409_pgt</t>
  </si>
  <si>
    <t>v2410_pgt</t>
  </si>
  <si>
    <t>v2411_pgt</t>
  </si>
  <si>
    <t>v2412_pgt</t>
  </si>
  <si>
    <t>v2413_pgt</t>
  </si>
  <si>
    <t>v2414_pgt</t>
  </si>
  <si>
    <t>v2415_pgt</t>
  </si>
  <si>
    <t>v2416_pgt</t>
  </si>
  <si>
    <t>v2417_pgt</t>
  </si>
  <si>
    <t>v2501_mean</t>
  </si>
  <si>
    <t>v2502_mean</t>
  </si>
  <si>
    <t>v2503_mean</t>
  </si>
  <si>
    <t>v2504_mean</t>
  </si>
  <si>
    <t>v2505_mean</t>
  </si>
  <si>
    <t>v2506_mean</t>
  </si>
  <si>
    <t>v2507_mean</t>
  </si>
  <si>
    <t>v2508_mean</t>
  </si>
  <si>
    <t>v2509_mean</t>
  </si>
  <si>
    <t>v2510_mean</t>
  </si>
  <si>
    <t>v2601_mean</t>
  </si>
  <si>
    <t>v2602_mean</t>
  </si>
  <si>
    <t>v2603_mean</t>
  </si>
  <si>
    <t>v2604_mean</t>
  </si>
  <si>
    <t>v2605_mean</t>
  </si>
  <si>
    <t>v2606_mean</t>
  </si>
  <si>
    <t>v2607_mean</t>
  </si>
  <si>
    <t>v2608_mean</t>
  </si>
  <si>
    <t>v2609_mean</t>
  </si>
  <si>
    <t>v2610_mean</t>
  </si>
  <si>
    <t>v2611_mean</t>
  </si>
  <si>
    <t>v2612_mean</t>
  </si>
  <si>
    <t>v2613_mean</t>
  </si>
  <si>
    <t>v2614_mean</t>
  </si>
  <si>
    <t>v2615_mean</t>
  </si>
  <si>
    <t>v2616_mean</t>
  </si>
  <si>
    <t>v2617_mean</t>
  </si>
  <si>
    <t>v2701_mean</t>
  </si>
  <si>
    <t>v2702_mean</t>
  </si>
  <si>
    <t>v2703_mean</t>
  </si>
  <si>
    <t>v2704_mean</t>
  </si>
  <si>
    <t>v2705_mean</t>
  </si>
  <si>
    <t>v2706_mean</t>
  </si>
  <si>
    <t>v2707_mean</t>
  </si>
  <si>
    <t>v2708_mean</t>
  </si>
  <si>
    <t>v2709_mean</t>
  </si>
  <si>
    <t>v2710_mean</t>
  </si>
  <si>
    <t>v2711_mean</t>
  </si>
  <si>
    <t>v2712_mean</t>
  </si>
  <si>
    <t>v2713_mean</t>
  </si>
  <si>
    <t>v2714_mean</t>
  </si>
  <si>
    <t>v2715_mean</t>
  </si>
  <si>
    <t>v28_pin</t>
  </si>
  <si>
    <t>v28_pin_1</t>
  </si>
  <si>
    <t>v28_pin_2</t>
  </si>
  <si>
    <t>v2901_mean</t>
  </si>
  <si>
    <t>v2902_mean</t>
  </si>
  <si>
    <t>v2903_mean</t>
  </si>
  <si>
    <t>v2904_mean</t>
  </si>
  <si>
    <t>v2905_mean</t>
  </si>
  <si>
    <t>v2906_mean</t>
  </si>
  <si>
    <t>v30_pgt</t>
  </si>
  <si>
    <t>v31_pgt</t>
  </si>
  <si>
    <t>v3401_mean</t>
  </si>
  <si>
    <t>v3402_mean</t>
  </si>
  <si>
    <t>v3403_mean</t>
  </si>
  <si>
    <t>v3404_mean</t>
  </si>
  <si>
    <t>v3405_mean</t>
  </si>
  <si>
    <t>v3406_mean</t>
  </si>
  <si>
    <t>v3407_mean</t>
  </si>
  <si>
    <t>K 17 Aiotko asettua ehdolle seuraavissa kuntavaaleissa keväällä 2017?</t>
  </si>
  <si>
    <t>Ajankäyttö luottamustehtäviin keskimäärin tuntia/viikko (vain valtuusto)</t>
  </si>
  <si>
    <t>1 Luottamustehtävän hoitaminen koko- tai osapäivätoimisesti</t>
  </si>
  <si>
    <t>2 Suoralla kansanvaalilla valittu pormestari</t>
  </si>
  <si>
    <t>3 Valtuuston valitsema pormestari</t>
  </si>
  <si>
    <t>4 Äänestysikärajan laskeminen 16 vuoteen kuntavaaleissa</t>
  </si>
  <si>
    <t>5 Äänestäminen internetin välityksellä kuntavaaleissa</t>
  </si>
  <si>
    <t>6 Kunnallisen (neuvoa-antavan) kansanäänestyksen nykyistä laajempi käyttö kuntalaisten mielipiteiden selvittämisessä</t>
  </si>
  <si>
    <t>7 Jäsenmäärältään nykyistä PIENEMPI valtuusto</t>
  </si>
  <si>
    <t>8 Jäsenmäärältään nykyistä SUUREMPI valtuusto</t>
  </si>
  <si>
    <t>9 Vaalipäivien yhdistäminen niin, että kunnallisvaalit pidettäisiin samanaikaisesti eduskuntavaalien kanssa</t>
  </si>
  <si>
    <t>10 Kuntalaisista kootut raadit ja paneelit, jotka voivat ottaa kantaa vireillä oleviin asioihin</t>
  </si>
  <si>
    <t>11 Suorilla vaaleilla valittu kunnanosavaltuusto</t>
  </si>
  <si>
    <t>12 Osallistuva budjetointi (kuntalaiset osallistuvat kunnan budjetin laadintaan)</t>
  </si>
  <si>
    <t>13 Kaksoiskuntalaisuuden mahdollistaminen</t>
  </si>
  <si>
    <t>1. Nykyistä suuremmat peruskunnat, joilla on vastuu suurimmasta osasta kuntien lakisääteisistä tehtävistä</t>
  </si>
  <si>
    <t>2 Erityyppisille kunnille annetaan erilaiset tehtävät</t>
  </si>
  <si>
    <t>3 Vastuu sosiaali- ja terveystoimesta siirretään vaaleilla valituille kuntia suuremmille itsehallintoalueille</t>
  </si>
  <si>
    <t>4. Vastuu erikoissairaanhoidosta siirretään valtiolle</t>
  </si>
  <si>
    <t>5. Laajaa väestöpohjaa vaativat palvelut hoidetaan kuntien välisenä yhteistyönä</t>
  </si>
  <si>
    <t>K 18. Olisitko halukas ottamaan vastaan sinulle tarjottavan luottamustehtävän (esim. lautakuntapaikan) seuraavien kuntavaalien jälkeen?</t>
  </si>
  <si>
    <t>1 Palvelujen säilyminen kunnan järjestämänä</t>
  </si>
  <si>
    <t>2 Palvelujen tarjoaminen mahdollisimman lähellä kotia (lähikoulut, terveysasemat ym)</t>
  </si>
  <si>
    <t>3 Mahdollisuus käyttää joustavasti myös naapurikuntien palveluja</t>
  </si>
  <si>
    <t>4 Mahdollisuus käyttää joustavasti myös järjestöjen ja yritysten tarjoamia palveluja</t>
  </si>
  <si>
    <t>5 Palvelujen monipuolisuuden ja korkean laadun mahdollistaminen, vaikka se vaatisi palvelupisteiden vähentämistä</t>
  </si>
  <si>
    <t>6 Mahdollisuus käyttää joustavasti yhä kattavampia sähköisiä palveluja</t>
  </si>
  <si>
    <t>7 Liikkuvien palvelujen (mm. terveysbussit) lisääminen, vaikka se merkitsisi pysyvien palvelupisteiden vähentämistä</t>
  </si>
  <si>
    <t>8 Mahdollisuus valita kunnan järjestämä verorahoitteinen palvelu julkisen ja yksityisen palveluntuottajan välillä (palveluseteli)</t>
  </si>
  <si>
    <t>9 Kuntalaisten vastuun lisääminen omasta terveydestään ja hyvinvoinnistaan</t>
  </si>
  <si>
    <t>10 Käyttäjä-/palvelumaksujen käyttöönotto tai korottaminen kunnallisissa palveluissa</t>
  </si>
  <si>
    <t>11 Palvelujen käyttäjien ottaminen mukaan kunnan palvelujen suunnitteluun ja kehittämiseen</t>
  </si>
  <si>
    <t>1 Väestönkehitys</t>
  </si>
  <si>
    <t>2 Kuntatalous</t>
  </si>
  <si>
    <t>3 Kunnallinen palvelutarjonta</t>
  </si>
  <si>
    <t>4 Kaupalliset palvelut</t>
  </si>
  <si>
    <t>5 Työpaikkatarjonta</t>
  </si>
  <si>
    <t>6 Koulutustarjonta</t>
  </si>
  <si>
    <t>7 Tontti- ja asuntotarjonta</t>
  </si>
  <si>
    <t>8 Kulttuuri- ja liikuntamahdollisuudet</t>
  </si>
  <si>
    <t>9 Liikenneyhteydet</t>
  </si>
  <si>
    <t>10 Matkailu ja vapaa-ajan asuminen</t>
  </si>
  <si>
    <t xml:space="preserve">1 Kaavoitus ja maankäyttö </t>
  </si>
  <si>
    <t xml:space="preserve">2 Asuntopolitiikka </t>
  </si>
  <si>
    <t xml:space="preserve">3 Yritysten toimitilatarjonta </t>
  </si>
  <si>
    <t xml:space="preserve">4 Tapa toteuttaa kunnan hankinnat </t>
  </si>
  <si>
    <t xml:space="preserve">5 Kuntalaisten valinnanvapauden lisääminen </t>
  </si>
  <si>
    <t xml:space="preserve">6 Avoimen datan hyödyntäminen </t>
  </si>
  <si>
    <t xml:space="preserve">7 Aktiivinen toiminta tapahtumien saamiseksi paikkakunnalle </t>
  </si>
  <si>
    <t xml:space="preserve">8 Kunnan markkinointi </t>
  </si>
  <si>
    <t xml:space="preserve">9 Elinkeinotoimintaa edistävät kehittämishankkeet </t>
  </si>
  <si>
    <t xml:space="preserve">10 Yritysneuvonnan palvelut </t>
  </si>
  <si>
    <t xml:space="preserve">11 Julkiset liikenneyhteydet </t>
  </si>
  <si>
    <t xml:space="preserve">12 Syrjäytymisen ehkäisy </t>
  </si>
  <si>
    <t xml:space="preserve">13 Yhteisöllisyyden edistäminen </t>
  </si>
  <si>
    <t xml:space="preserve">14 Koulutusmahdollisuuksien kehittäminen </t>
  </si>
  <si>
    <t xml:space="preserve">15 Kunnallisten palvelujen kehittäminen </t>
  </si>
  <si>
    <t xml:space="preserve">16 Verojen ja maksujen alentaminen </t>
  </si>
  <si>
    <t xml:space="preserve">17 Paikallinen kokeilutoiminta </t>
  </si>
  <si>
    <t>1 Kuntien lakisääteisten tehtävien vähentäminen</t>
  </si>
  <si>
    <t>2 Kuntien vapaaehtoisten tehtävien vähentäminen</t>
  </si>
  <si>
    <t>3 Asiakasmaksujen korottaminen</t>
  </si>
  <si>
    <t>4 Verojen korottaminen</t>
  </si>
  <si>
    <t>5 Palvelutasosta tinkiminen</t>
  </si>
  <si>
    <t>6 Toimintatapojen uudistaminen</t>
  </si>
  <si>
    <t>7 Sähköisten palvelujen kehittäminen</t>
  </si>
  <si>
    <t>8 Palveluverkon karsiminen</t>
  </si>
  <si>
    <t>9 Omaisuuden myynti</t>
  </si>
  <si>
    <t>10 Kuntien päätösvallan lisääminen palvelujen järjestämistavoissa</t>
  </si>
  <si>
    <t>1 Kunnan visio ja strategia</t>
  </si>
  <si>
    <t>2 Kunnan budjetti</t>
  </si>
  <si>
    <t>3 Kunnan talouden tasapaino</t>
  </si>
  <si>
    <t>4 Investoinnit</t>
  </si>
  <si>
    <t>5 Kaavoitusasiat</t>
  </si>
  <si>
    <t>6 Kunnan oma palvelutuotanto</t>
  </si>
  <si>
    <t>7 Kuntien yhteinen palvelutuotanto</t>
  </si>
  <si>
    <t>8 Kunnan yhteistyö muiden kuntien kanssa</t>
  </si>
  <si>
    <t>9 Kunnan henkilöstöpolitiikka</t>
  </si>
  <si>
    <t>10 Kunnan toiminnan rahoitus</t>
  </si>
  <si>
    <t>11 Suhteet valtioon</t>
  </si>
  <si>
    <t>12 Seutukunnalliset asiat</t>
  </si>
  <si>
    <t>13 Maakunnalliset asiat</t>
  </si>
  <si>
    <t>14 Kunnan omistajaohjaus ja konsernipolitiikka</t>
  </si>
  <si>
    <t>15 Kunnan omistamien liikelaitosten ja yhtiöiden toiminta</t>
  </si>
  <si>
    <t>16 Elinkeinopolitiikka</t>
  </si>
  <si>
    <t>17 Kunnan eri keskusten tasapuolinen kehittäminen</t>
  </si>
  <si>
    <t>1 Valtuusto</t>
  </si>
  <si>
    <t>2 Hallitus</t>
  </si>
  <si>
    <t>3 Lautakunnat</t>
  </si>
  <si>
    <t>4 Valtuuston puheenjohtaja</t>
  </si>
  <si>
    <t>5 Hallituksen puheenjohtaja</t>
  </si>
  <si>
    <t>6 Kunnan-/kaupunginjohtaja</t>
  </si>
  <si>
    <t>7 Muut johtavat viranhaltijat</t>
  </si>
  <si>
    <t>8 Henkilöstö</t>
  </si>
  <si>
    <t>9 Kuntalaiset</t>
  </si>
  <si>
    <t>10 Valtio</t>
  </si>
  <si>
    <t>11 Paikallinen elinkeinoelämä</t>
  </si>
  <si>
    <t>12 Media</t>
  </si>
  <si>
    <t>13 Paikalliset järjestöt ja yhdistykset</t>
  </si>
  <si>
    <t>14 Naapurikuntien päätöksentekijät</t>
  </si>
  <si>
    <t>15 Sinä itse</t>
  </si>
  <si>
    <t xml:space="preserve">1 Äänestää oman mielipiteensä mukaisesti </t>
  </si>
  <si>
    <t xml:space="preserve">2 Äänestää valtuustoryhmän/puolueryhmän enemmistön mielipiteen mukaisesti </t>
  </si>
  <si>
    <t xml:space="preserve">3 Äänestää äänestäjän käsityksen mukaisesti </t>
  </si>
  <si>
    <t>1 Kuntalaisten ja luottamushenkilöiden välillä</t>
  </si>
  <si>
    <t>2 Luottamushenkilöiden ja viranhaltijoiden välillä</t>
  </si>
  <si>
    <t>3 Puolueryhmien välillä</t>
  </si>
  <si>
    <t>4 Puolueryhmien sisällä</t>
  </si>
  <si>
    <t>5 Kunnan viranhaltijajohdon ja henkilöstön välillä</t>
  </si>
  <si>
    <t>6 Kunnan eri keskusten asukkaiden välillä</t>
  </si>
  <si>
    <t>1 Kaavoitus ja tonttipolitiikka</t>
  </si>
  <si>
    <t>2 Rakennuslupien myöntäminen</t>
  </si>
  <si>
    <t>3 Ympäristölupien myöntäminen</t>
  </si>
  <si>
    <t>4 Julkiset hankinnat</t>
  </si>
  <si>
    <t>5 Virkojen ja toimien täyttäminen</t>
  </si>
  <si>
    <t>6 Avustusten jakaminen yhdistyksille ja ryhmille</t>
  </si>
  <si>
    <t>7 Kunnan eri keskusten välillä</t>
  </si>
  <si>
    <t>K15 Arvioi kuinka monta tuntia viikossa käytät keskimäärin kunnallisten luottamustehtäviesi hoitoon. (Laske mukaan myös mahdolliset tehtävät puolue- tai valtuustoryhmässäsi) tuntia/viikko</t>
  </si>
  <si>
    <t>K 19 Kunnallisen demokratian kehittämiseksi on esitetty useita uusia ideoita ja toimintatapoja. Miten suhtaudut seuraaviin kehittämisvaihtoehtoihin?</t>
  </si>
  <si>
    <t>K 20 Kuntasektorin tulevaisuudesta on keskusteltu vilkkaasti viime vuosina. Miten suhtaudut seuraaviin periaatteellisiin kehittämisvaihtoehtoihin?</t>
  </si>
  <si>
    <t xml:space="preserve">K 21 Monissa kunnissa on käynnissä palveluihin liittyviä uudistuksia. Miten tärkeänä pidät seuraavia asioita oman kuntasi näkökulmasta? </t>
  </si>
  <si>
    <t xml:space="preserve">K 22 Kuvittele tilanne, jossa kunnat kilpailevat keskenään siitä missä kunnassa tai kaupungissa on "hyvä asua ja elää”. Miten arvioisit nykyisen kotikuntasi sijoittuvan kilpailussa?  </t>
  </si>
  <si>
    <t>K 23  Kun pohdit kuntasi nykytilaa kriittisesti, miten arvioit kuntasi pärjäävän suhteessa muihin kuntiin seuraavien asioiden kohdalla? </t>
  </si>
  <si>
    <t xml:space="preserve">K 24 Kun ajattelet, mitä kunnalliset päätöksentekijät voivat tehdä paikallisen elinvoimaisuuden parantamiseksi, mitkä toimenpiteet näet tärkeimpinä? </t>
  </si>
  <si>
    <t>K 25 Miten arvioit seuraavien keinojen vaikuttavuutta kuntasi talouden tasapainottamiseen?</t>
  </si>
  <si>
    <t>K 26 Missä määrin koet voivasi kunnallisena päätöksentekijänä/viranhaltijana vaikuttaa seuraaviin asioihin omassa kunnassasi?</t>
  </si>
  <si>
    <t>K 27 Miten suurta vaikutusvaltaa seuraavilla ryhmillä/toimijoilla on mielestäsi kuntasi poliittisessa päätöksenteossa?</t>
  </si>
  <si>
    <t>K 28 Kuvittele päätöksentekotilanne, missä syntyy ristiriita yksittäisen luottamushenkilön oman mielipiteen ja hänen poliittisten ryhmänsä mielipiteen välillä, ja/tai luottamushenkilön oman mielipiteen ja hänen äänestäjiensä mielipiteen välillä. Miten luottamushenkilön pitäisi mielestäsi toimia tällaisessa päätöksentekotilanteessa?</t>
  </si>
  <si>
    <t>K 29 Miten arvioit yleistä ilmapiiriä eri osapuolten välillä kuntasi asioiden hoidossa?</t>
  </si>
  <si>
    <t>K 30 Kun kuntalaiset ottavat sinuun yhteyttä kertoakseen mielipiteensä vireillä olevista asioista tai tehdyistä päätöksistä, onko heidän antamansa palaute yleensä myönteistä vai kielteistä?</t>
  </si>
  <si>
    <t>K 31 Oletko itse tai onko läheisesi joutunut luottamus- tai virkatehtäviesi takia väkivallan tai sen uhkausten tai muuntyyppisen häirinnän kohteeksi tämän valtuustokauden aikana?</t>
  </si>
  <si>
    <t>K 34 Puolueettomuudella tarkoitetaan, että yksityishenkilöiden, yritysten tai ryhmien erityisintressit eivät saa vaikuttaa siihen, miten asiat ratkaistaan kunnallisessa päätöksenteossa ja viranomaistoiminnassa. Missä määrin koet, että puolueettomuusvaatimus täyttyy omassa kunnassasi seuraavien toimintojen osalta?</t>
  </si>
  <si>
    <t>Kuntasektorin tulevaisuudesta on keskusteltu vilkkaasti viime vuosina. Miten suhtaudut seuraaviin periaatteellisiin kehittämisvaihtoehtoihin?</t>
  </si>
  <si>
    <t xml:space="preserve">Monissa kunnissa on käynnissä palveluihin liittyviä uudistuksia. Miten tärkeänä pidät seuraavia asioita oman kuntasi näkökulmasta? </t>
  </si>
  <si>
    <t xml:space="preserve">Miten arvioisit nykyisen kotikuntasi sijoittuvan kilpailussa?  </t>
  </si>
  <si>
    <t>KYSYMYS</t>
  </si>
  <si>
    <t>FUNKTIO</t>
  </si>
  <si>
    <t>MAHD. RAJAUS</t>
  </si>
  <si>
    <t>YLEISRAJAUS (kaikki kysymykset)</t>
  </si>
  <si>
    <t>15a Arvioi kuinka monta tuntia viikossa käytät keskimäärin kunnallisten luottamustehtäviesi hoitoon KAIKKI LH:T</t>
  </si>
  <si>
    <t>mean</t>
  </si>
  <si>
    <t>vain lh</t>
  </si>
  <si>
    <t>Ei Hämeenkoski, Köyliö</t>
  </si>
  <si>
    <t>15b Arvioi kuinka monta tuntia viikossa käytät keskimäärin kunnallisten luottamustehtäviesi hoitoon VALTUUSTO &amp; HALLITUS</t>
  </si>
  <si>
    <t>vain lh, vain valtuusto + hallitus</t>
  </si>
  <si>
    <t>17. Aiotko asettua ehdolle seuraavissa kuntavaaleissa keväällä 2017?</t>
  </si>
  <si>
    <t>1. kyllä, % plt_2</t>
  </si>
  <si>
    <t>18. Olisitko halukas ottamaan vastaan sinulle tarjottavan luottamustehtävän (esim lautakuntapaikan)...</t>
  </si>
  <si>
    <t>16. Miten hyvin arvioit seuraavien asioiden edesauttavan toimintaasi kunnallisena luottamushenkilönä</t>
  </si>
  <si>
    <t>mean (1-5)</t>
  </si>
  <si>
    <t>1601 Oma koulutus/tietopohja</t>
  </si>
  <si>
    <t>1602 Oma kokemus</t>
  </si>
  <si>
    <t>1603 Luottamushenkilökoulutus</t>
  </si>
  <si>
    <t>1604 Tiedonsaanti viranhaltijoilta</t>
  </si>
  <si>
    <t>1605 Osallistumismahdollisuudet valmisteluvaiheessa</t>
  </si>
  <si>
    <t>1606 Tiedonkulku organisaation sisällä</t>
  </si>
  <si>
    <t>1607 Valtuustoryhmän tuki</t>
  </si>
  <si>
    <t>1608 Kunnan päätöksentekokulttuuri</t>
  </si>
  <si>
    <t>1609 Palkkioiden riittävyys</t>
  </si>
  <si>
    <t>1610 Kunnan tarjoamat tilat ja välineet</t>
  </si>
  <si>
    <t>1611 Mahdollisuus hoitaa luottamustehtäviä osa- tai kokopäiväisesti</t>
  </si>
  <si>
    <t>1612 Työnantajan suhtautuminen luottamustehtävien hoitoon</t>
  </si>
  <si>
    <t>1613 Perhe-elämän ja luottamustehtävien yhteensovittaminen</t>
  </si>
  <si>
    <t>1614 Kuntalaisten tuki</t>
  </si>
  <si>
    <t>1615 Kunnallisten asioiden käsittely mediassa</t>
  </si>
  <si>
    <t>19. Kunnallisen demokratian kehittämiseksi on esitetty useita ideoita ja toimintatapoja...</t>
  </si>
  <si>
    <t>pgt_3 (suhtautuu myönteisesti, % 4-5)</t>
  </si>
  <si>
    <t>1901 Luottamustehtävän hoitaminen koko- tai osapäivätoimisesti</t>
  </si>
  <si>
    <t>1902 Suoralla kansanvaalilla valittu pormestari</t>
  </si>
  <si>
    <t>1903 Valtuuston valitsema pormestari</t>
  </si>
  <si>
    <t>1904 Äänestysikärajan laskeminen 16 vuoteen kunnallisvaaleissa</t>
  </si>
  <si>
    <t>1905 Äänestäminen internetin välityksellä kunnallisvaaleissa</t>
  </si>
  <si>
    <t>1906 Kansanäänestyksen nykyistä laajempi käyttö kuntalaisten mielipiteiden selvittämisessä</t>
  </si>
  <si>
    <t>1907 Jäsenmäärältään nykyistä PIENEMPI valtuusto</t>
  </si>
  <si>
    <t>1908 Jäsenmäärältään nykyistä  SUUREMPI valtuusto</t>
  </si>
  <si>
    <t>1909 Vaalipäivien yhdistäminen (kuntavaalit &amp; eduskuntavaalit)</t>
  </si>
  <si>
    <t>1910 Kuntalaisista kootut raadit ja paneelit, jotka voivat ottaa kantaa vireillä oleviin asioihin</t>
  </si>
  <si>
    <t>1911 Suorilla vaaleilla valittu kunnanosavaltuusto</t>
  </si>
  <si>
    <t>1912 Osallistuva budjetointi (kuntalaiset osallistuvat kunnan budjetin laadintaan)</t>
  </si>
  <si>
    <t>1913 Kaksoiskuntalaisuuden mahdollistaminen</t>
  </si>
  <si>
    <r>
      <t>20.</t>
    </r>
    <r>
      <rPr>
        <b/>
        <sz val="11"/>
        <color indexed="8"/>
        <rFont val="Verdana"/>
        <family val="2"/>
      </rPr>
      <t xml:space="preserve"> Kuntasektorin tulevaisuudesta on keskusteltu vilkkaasti viime vuosina. Miten suhtaudut seuraaviin...</t>
    </r>
  </si>
  <si>
    <t>2001 Nykyistä suuremmat peruskunnat</t>
  </si>
  <si>
    <t>2002 Erityyppisille kunnille annetaan erilaiset tehtävät</t>
  </si>
  <si>
    <t>2003 Vastuu sosiaali- ja terveystoimesta vaaleilla valituille itsehallintoalueille</t>
  </si>
  <si>
    <t>2004 Vastuu erikoisairaanhoidosta siirretään valtiolle</t>
  </si>
  <si>
    <t>2005 Laaja väestöpohjaa vaativat palvelut hoidetaan kuntien välisenä yhteistyönä</t>
  </si>
  <si>
    <t>21. Monissa kunnissa on käynnissä palveluihin liittyviä uudistuksia. Miten tärkeinä pidät seuraavia asioita...</t>
  </si>
  <si>
    <t>pgt_3 (erittäin tärkeää % 4-5)</t>
  </si>
  <si>
    <t>2101 Palvelujen säilyminen kunnan järjestämänä</t>
  </si>
  <si>
    <t>2102 Palvelujen tarjoaminen mahdollisimman lähellä kotia</t>
  </si>
  <si>
    <t>2103 Mahdollisuus käyttää joustavasti myös naapurikuntien palveluja</t>
  </si>
  <si>
    <t>2104 Mahdollisuus käyttää joustavasti myös järjestöjen ja yritysten tarjoamia palveluja</t>
  </si>
  <si>
    <t>2105 Palvelujen monipuolisuuden ja laadun mahdollistaminen vaikka se vaatisi palvelupisteiden vähentämistä</t>
  </si>
  <si>
    <t>2106 Mahdollisuus käyttää joustavasti yhä kattavampia sähköisiä palveluja</t>
  </si>
  <si>
    <t>2107 Liikkuvien palvelujen lisääminen, vaikka se merkitsisi pysyvien palvelupisteiden vähentämistä</t>
  </si>
  <si>
    <t>2108 Palveluseteli</t>
  </si>
  <si>
    <t>2109 Kuntalaisten vastuun lisääminen omasta terveydestään ja hyvinvoinnistaan</t>
  </si>
  <si>
    <t>2110 Käyttäjä-/palvelumaksujen käyttöönotto tai korottaminen kunnallisissa palveluissa</t>
  </si>
  <si>
    <t>2111 Palvelujen käyttäjien mukaan ottaminen kunnan palvelujen suunnitteluun ja kehittämiseen</t>
  </si>
  <si>
    <t>22. Kuvittele tilanne, jossa kunnat kilpailevat keskenään siitä, missä kunnassa tai kaupungissa on hyvä asua ja elää...</t>
  </si>
  <si>
    <t>23. Kun pohdit kuntasi nykytilaa kriittisesti, miten arvioit kuntasi pärjäävän suhteessa muihin kuntiin</t>
  </si>
  <si>
    <t>2301 Väestönkehitys</t>
  </si>
  <si>
    <t>2302 Kuntatalous</t>
  </si>
  <si>
    <t>2303 Kunnallinen palvelutarjonta</t>
  </si>
  <si>
    <t>2304 Kaupalliset palvelut</t>
  </si>
  <si>
    <t>2305 Työpaikkatarjonta</t>
  </si>
  <si>
    <t>2306 Koulutustarjonta</t>
  </si>
  <si>
    <t>2307 Tontti- ja asuntotarjonta</t>
  </si>
  <si>
    <t>2308 Kulttuuri- ja liikuntamahdollisuudet</t>
  </si>
  <si>
    <t>2309 Liikenneyhteydet</t>
  </si>
  <si>
    <t>2310 Matkailu ja vapaa-ajan asuminen</t>
  </si>
  <si>
    <t>24. Kun ajattelet, mitä kunnalliset päätöksentekijät voivat tehdä paikallisen elinvoimaisuuden parantamiseksi...</t>
  </si>
  <si>
    <t>pgt_0 % joka valinnut k.o. Toimenpiteen</t>
  </si>
  <si>
    <t>2401 Kaavoitus ja maankäyttö</t>
  </si>
  <si>
    <t>2402 Asuntopolitiikka</t>
  </si>
  <si>
    <t>2403 Yritysten toimitilatarjonta</t>
  </si>
  <si>
    <t>2404 Tapa toteuttaa kunnan hankinnat</t>
  </si>
  <si>
    <t>2405 Kuntalaisten valinnanvapauden lisääminen</t>
  </si>
  <si>
    <t>2406 Avoimen datan hyödyntäminen</t>
  </si>
  <si>
    <t>2407 Aktiivinen toiminta tapahtumien saamiseksi paikkakunnalle</t>
  </si>
  <si>
    <t>2408 Kunnan markkinointi</t>
  </si>
  <si>
    <t>2409 Elinkeinotoimintaa edistävät kehittämishankkeet</t>
  </si>
  <si>
    <t>2410 Yritysneuvonnan palvelut</t>
  </si>
  <si>
    <t>2411 Julkiset liikenneyhteydet</t>
  </si>
  <si>
    <t>2412 Syrjäytymisen ehkäisy</t>
  </si>
  <si>
    <t>2413 Yhteisöllisyyden edistäminen</t>
  </si>
  <si>
    <t>2414 Koulutusmahdollisuuksien kehittäminen</t>
  </si>
  <si>
    <t>2415 Kunnallisten palvelujen kehittäminen</t>
  </si>
  <si>
    <t>2416 Verojen ja maksujen alentaminen</t>
  </si>
  <si>
    <t>2417 Paikallinen kokeilutoiminta</t>
  </si>
  <si>
    <t>25. Miten arvioit seuraavien keinojen vaikuttavuutta kuntasi talouden tasapainottamiseen?</t>
  </si>
  <si>
    <t>mean 1-5, en osaa sanoa = missing</t>
  </si>
  <si>
    <t>2501 Kuntien lakisääteisten tehtävien vähentäminen</t>
  </si>
  <si>
    <t>2502 Kuntien vapaaehtoisten tehtävien vähentäminen</t>
  </si>
  <si>
    <t>2503 Asiakasmaksujen korottaminen</t>
  </si>
  <si>
    <t>2504 Verojen korottaminen</t>
  </si>
  <si>
    <t>2505 Palvelutasosta tinkiminen</t>
  </si>
  <si>
    <t>2506 Toimintatapojen uudistaminen</t>
  </si>
  <si>
    <t>2507 Sähköisten palvelujen kehittäminen</t>
  </si>
  <si>
    <t>2508 Palveluverkon karsiminen</t>
  </si>
  <si>
    <t>2509 Omaisuuden myynti</t>
  </si>
  <si>
    <t>2510 Kuntien päätösvallan lisääminen palvelujen järjestämisessä</t>
  </si>
  <si>
    <t>26. Missä määrin koet voivasi kunnallisena päätöksentekijänä/viranhaltijana vaikuttaa seuraaviin asioihin omassa kunnassasi?</t>
  </si>
  <si>
    <t>mean 1-5</t>
  </si>
  <si>
    <t>2601 Kunnan visio ja strategia</t>
  </si>
  <si>
    <t>2602 Kunnan budjetti</t>
  </si>
  <si>
    <t>2603 Kunnan talouden tasapaino</t>
  </si>
  <si>
    <t>2604 Investoinnit</t>
  </si>
  <si>
    <t>2605 Kaavoitusasiat</t>
  </si>
  <si>
    <t>2606 Kunnan oma palvelutuotanto</t>
  </si>
  <si>
    <t>2607 Kuntien yhteinen palvelutuotanto</t>
  </si>
  <si>
    <t>2608 Kunnan yhteistyö muiden kuntien kanssa</t>
  </si>
  <si>
    <t>2609 Kunnan henkilöstöpolitiikka</t>
  </si>
  <si>
    <t>2610 Kunnan toiminnan rahoitus</t>
  </si>
  <si>
    <t>2611 Suhteet valtioon</t>
  </si>
  <si>
    <t>2612 Seutukunnalliset asiat</t>
  </si>
  <si>
    <t>2613 Maakunnalliset asiat</t>
  </si>
  <si>
    <t>2614 Kunnan omistajaohjaus ja konsernipolitiikka</t>
  </si>
  <si>
    <t>2615 Kunnan omistamien liikelaitosten ja yhtiöiden toiminta</t>
  </si>
  <si>
    <t>2616 Elinkeinopolitiikka</t>
  </si>
  <si>
    <t>2617 Kunnan eri keskusten tasapuolinen kehittäminen</t>
  </si>
  <si>
    <t>27. Miten suurta vaikutusvaltaa seuraavilla ryhmillä on mielestäsi kuntasi poliittisessa päätöksenteossa?</t>
  </si>
  <si>
    <t>2701 Valtuusto</t>
  </si>
  <si>
    <t>2702 Hallitus</t>
  </si>
  <si>
    <t>2703 Lautakunnat</t>
  </si>
  <si>
    <t>2704 Valtuuston puheenjohtaja</t>
  </si>
  <si>
    <t>2705 Hallituksen puheenjohtaja</t>
  </si>
  <si>
    <t>2706 Kunnan/kaupunginjohtaja</t>
  </si>
  <si>
    <t>2707 Muut johtavat viranhaltijat</t>
  </si>
  <si>
    <t>2708 Henkilöstö</t>
  </si>
  <si>
    <t>2709 Kuntalaiset</t>
  </si>
  <si>
    <t>2710 Valtio</t>
  </si>
  <si>
    <t>2711 Paikallinen elinkeinoelämä</t>
  </si>
  <si>
    <t>2712 Media</t>
  </si>
  <si>
    <t>2713 Paikalliset järjestöt ja yhdistykset</t>
  </si>
  <si>
    <t>2714 Naapurikuntien päätöksentekijät</t>
  </si>
  <si>
    <t>2715 Sinä itse</t>
  </si>
  <si>
    <t>28. Kuvittele päätöksentekotilanne, missä syntyy ristiriita....</t>
  </si>
  <si>
    <t>prosenttijakauma pct_inside 1, 2, 3</t>
  </si>
  <si>
    <t>2801 äänestää oman mielipiteensä mukaan</t>
  </si>
  <si>
    <t>2802 äänestää valtuustoryhmän enemmistön mielipiteen mukaan</t>
  </si>
  <si>
    <t>2803 äänestää äänestäjien käsityksen mukaisesti</t>
  </si>
  <si>
    <t>29. Miten arvioit yleistä ilmapiiriä eri osapuolten välillä kuntasi asioiden hoidossa?</t>
  </si>
  <si>
    <t>2901 Kuntalaisten ja luottamushenkilöiden välillä</t>
  </si>
  <si>
    <t>2902 Luottamushenkilöiden ja viranhaltijoiden välillä</t>
  </si>
  <si>
    <t>2903 Puolueryhmien välillä</t>
  </si>
  <si>
    <t>2904 Puolueryhmien sisällä</t>
  </si>
  <si>
    <t>2905 Kunnan viranhaltijoiden ja henkilöstön välillä</t>
  </si>
  <si>
    <t>2906 Kunnan eri keskusten asukkaiden välillä</t>
  </si>
  <si>
    <t>30. Kun kuntalaiset ottavat sinuun yhteyttä kertoakseen mielipiteensä vireillä olevista asioista...</t>
  </si>
  <si>
    <t>pgt_0 myönteisen palautteen osuus, %</t>
  </si>
  <si>
    <t>31. Oletko itse tai onko läheisesi joutunut luottamus- tai virkatehtäviesi takia....</t>
  </si>
  <si>
    <t xml:space="preserve">pgt_1 </t>
  </si>
  <si>
    <t>itse tai/ja läheinen joutunut uhkausten</t>
  </si>
  <si>
    <t>kohteeksi</t>
  </si>
  <si>
    <t>Kysymyksiä 32 &amp; 33 ei raportoida kuntakohtaisesti koska vastausmäärät pieniä ja yksityiskohtainen raportointi</t>
  </si>
  <si>
    <t>vaarantaisi tietosuojaa</t>
  </si>
  <si>
    <t>34. Missä määrin koet, että puolueettomuusvaatimus täytyy omassa kunnassasi seuraavien toimintojen osalta?</t>
  </si>
  <si>
    <t>3401 Kaavoitus ja tonttipolitiikka</t>
  </si>
  <si>
    <t>3402 Rakennuslupien myöntäminen</t>
  </si>
  <si>
    <t>3403 Ympäristölupien myöntäminen</t>
  </si>
  <si>
    <t>3404 Julkiset hankinnat</t>
  </si>
  <si>
    <t>3405 Virkojen ja toimien täyttäminen</t>
  </si>
  <si>
    <t>3406 Avustusten jakaminen yhdistyksille ja ryhmille</t>
  </si>
  <si>
    <t>3407 Kunnan eri keskusten välillä</t>
  </si>
  <si>
    <t>Itse tai/ja läheinen on joutunut luottamus- tai virkatehtäviesi takia väkivallan tai sen uhkausten tai muuntyyppisen häirinnän kohteeksi tämän valtuustokauden aikana? (%)</t>
  </si>
  <si>
    <t>Kuntalaisten antama palaute on ollut myönteistä (%)</t>
  </si>
  <si>
    <t>Aikoo asettua ehdolle seuraavissa kuntavaaleissa keväällä 2017? (%)</t>
  </si>
  <si>
    <t>On halukas ottamaan vastaan tarjottavan luottamustehtävän (esim. lautakuntapaikan) seuraavien kuntavaalien jälkeen? (%)</t>
  </si>
  <si>
    <t>Esbo</t>
  </si>
  <si>
    <t>Tavastehus</t>
  </si>
  <si>
    <t>Enare</t>
  </si>
  <si>
    <t>Kimitoön</t>
  </si>
  <si>
    <t>Karleby</t>
  </si>
  <si>
    <t>Villmanstrand</t>
  </si>
  <si>
    <t>S:t Michel</t>
  </si>
  <si>
    <t>Korsholm</t>
  </si>
  <si>
    <t>Uleåborg</t>
  </si>
  <si>
    <t>Raseborg</t>
  </si>
  <si>
    <t>Reso</t>
  </si>
  <si>
    <t>Sibbo</t>
  </si>
  <si>
    <t>Tammerfors</t>
  </si>
  <si>
    <t>Torneå</t>
  </si>
  <si>
    <t>Åbo</t>
  </si>
  <si>
    <t>Vasa</t>
  </si>
  <si>
    <t>Vanda</t>
  </si>
  <si>
    <t>Vörå</t>
  </si>
  <si>
    <t>v1601_mean</t>
  </si>
  <si>
    <t>v1602_mean</t>
  </si>
  <si>
    <t>v1603_mean</t>
  </si>
  <si>
    <t>v1604_mean</t>
  </si>
  <si>
    <t>v1605_mean</t>
  </si>
  <si>
    <t>v1606_mean</t>
  </si>
  <si>
    <t>v1607_mean</t>
  </si>
  <si>
    <t>v1608_mean</t>
  </si>
  <si>
    <t>v1609_mean</t>
  </si>
  <si>
    <t>v1610_mean</t>
  </si>
  <si>
    <t>v1611_mean</t>
  </si>
  <si>
    <t>v1612_mean</t>
  </si>
  <si>
    <t>v1613_mean</t>
  </si>
  <si>
    <t>v1614_mean</t>
  </si>
  <si>
    <t>v1615_mean</t>
  </si>
  <si>
    <t>N=</t>
  </si>
  <si>
    <t>v3501_mean</t>
  </si>
  <si>
    <t>v3502_mean</t>
  </si>
  <si>
    <t>v3503_mean</t>
  </si>
  <si>
    <t>v3504_mean</t>
  </si>
  <si>
    <t>v3505_mean</t>
  </si>
  <si>
    <t>v3506_mean</t>
  </si>
  <si>
    <t>v3507_mean</t>
  </si>
  <si>
    <t>v3508_mean</t>
  </si>
  <si>
    <t>v3509_mean</t>
  </si>
  <si>
    <t>v3510_mean</t>
  </si>
  <si>
    <t>v3511_mean</t>
  </si>
  <si>
    <t>v3512_mean</t>
  </si>
  <si>
    <t>v3513_mean</t>
  </si>
  <si>
    <t>v3514_mean</t>
  </si>
  <si>
    <t>v3515_mean</t>
  </si>
  <si>
    <t>v3516_mean</t>
  </si>
  <si>
    <t>v3517_mean</t>
  </si>
  <si>
    <t>v3518_mean</t>
  </si>
  <si>
    <t>v3519_mean</t>
  </si>
  <si>
    <t>v3520_mean</t>
  </si>
  <si>
    <t>v3521_mean</t>
  </si>
  <si>
    <t>v3522_mean</t>
  </si>
  <si>
    <t>v3523_mean</t>
  </si>
  <si>
    <t>v3524_mean</t>
  </si>
  <si>
    <t>v3525_mean</t>
  </si>
  <si>
    <t>v3526_mean</t>
  </si>
  <si>
    <t>v3527_mean</t>
  </si>
  <si>
    <t>v3528_mean</t>
  </si>
  <si>
    <t>v3529_mean</t>
  </si>
  <si>
    <t>v3530_mean</t>
  </si>
  <si>
    <t>v3531_mean</t>
  </si>
  <si>
    <t>v3532_mean</t>
  </si>
  <si>
    <t>v3533_mean</t>
  </si>
  <si>
    <t>v3534_mean</t>
  </si>
  <si>
    <t>v3535_mean</t>
  </si>
  <si>
    <t>v3536_mean</t>
  </si>
  <si>
    <t>v3537_mean</t>
  </si>
  <si>
    <t>v3538_mean</t>
  </si>
  <si>
    <t>v3539_mean</t>
  </si>
  <si>
    <t>K 16 Miten hyvin arvioit seuraavien asioiden edesauttavan toimintaasi kunnallisena luottamushenkilönä?</t>
  </si>
  <si>
    <t>1 Oma koulutus/tietopohja</t>
  </si>
  <si>
    <t>2 Oma kokemus</t>
  </si>
  <si>
    <t>3 Luottamushenkilökoulutus</t>
  </si>
  <si>
    <t>4 Tiedonsaanti viranhaltijoilta</t>
  </si>
  <si>
    <t>5 Osallistumismahdollisuudet valmisteluvaiheessa</t>
  </si>
  <si>
    <t>6 Tiedonkulku kunnan organisaation sisällä</t>
  </si>
  <si>
    <t>7 Valtuustoryhmän tuki</t>
  </si>
  <si>
    <t>8 Kunnan päätöksentekokulttuuri</t>
  </si>
  <si>
    <t>9 Palkkioiden riittävyys</t>
  </si>
  <si>
    <t>10 Kunnan tarjoamat tilat ja välineet</t>
  </si>
  <si>
    <t>11 Mahdollisuus hoitaa luottamustehtäviä osa- tai kokopäiväisesti</t>
  </si>
  <si>
    <t>12 Työnantajan suhtautuminen luottamustehtävien hoitoon</t>
  </si>
  <si>
    <t>13 Perhe-elämän ja luottamustehtävien yhteensovittaminen</t>
  </si>
  <si>
    <t>14 Kuntalaisten tuki</t>
  </si>
  <si>
    <t>15 Kunnallisten asioiden käsittely mediassa</t>
  </si>
  <si>
    <t>35. Miten arvioit kuntasi järjestämien palvelujen saatavuutta ja saavutettavuutta?</t>
  </si>
  <si>
    <t>Terveyspalvelujen saatavuus ja saavutettavuus:</t>
  </si>
  <si>
    <t>1 Terveyskeskuksen lääkärivastaanotto</t>
  </si>
  <si>
    <t>2 Sairaan-/terveydenhoitajan vastaanotto</t>
  </si>
  <si>
    <t>3 Hammashoito</t>
  </si>
  <si>
    <t>4 Äitiys- ja lastenneuvola</t>
  </si>
  <si>
    <t>5 Kouluterveydenhuolto</t>
  </si>
  <si>
    <t>6 Sairaalahoito</t>
  </si>
  <si>
    <t>7 Kotisairaanhoito</t>
  </si>
  <si>
    <t>8 Terveyskeskuksen vuodeosasto</t>
  </si>
  <si>
    <t>9 Mielenterveyspalvelut</t>
  </si>
  <si>
    <t>Sosiaalipalvelujen saatavuus ja saavutettavuus:</t>
  </si>
  <si>
    <t>10 Vanhusten palveluasuminen (esim. palvelutalo)</t>
  </si>
  <si>
    <t>11 Vanhusten laitoshoito (esim. vanhainkoti)</t>
  </si>
  <si>
    <t>12 Vanhusten kotipalvelu</t>
  </si>
  <si>
    <t>13 Lapsiperheiden kotipalvelu</t>
  </si>
  <si>
    <t>14 Perheneuvola</t>
  </si>
  <si>
    <t>15 Lastensuojelun palvelut</t>
  </si>
  <si>
    <t>16 Vammaisten palvelut</t>
  </si>
  <si>
    <t>17 Päihdepalvelut</t>
  </si>
  <si>
    <t>18 Toimeentulotuki</t>
  </si>
  <si>
    <t>Koulutuspalvelujen saatavuus ja saavutettavuus:</t>
  </si>
  <si>
    <t>19 Lasten päivähoito</t>
  </si>
  <si>
    <t>20 Esiopetus</t>
  </si>
  <si>
    <t>21 Perusopetus, luokat 1-6</t>
  </si>
  <si>
    <t>22 Perusopetus, luokat 7-9</t>
  </si>
  <si>
    <t>23 Lukiokoulutus</t>
  </si>
  <si>
    <t>24 Ammatillinen koulutus</t>
  </si>
  <si>
    <t>25 Erityisopetus</t>
  </si>
  <si>
    <t>26 Oppilas-/opiskelijahuolto</t>
  </si>
  <si>
    <t>27 Aamu- tai iltapäivätoiminta</t>
  </si>
  <si>
    <t>28 Oppilaiden koulukuljetus</t>
  </si>
  <si>
    <t>Sivistys- ja kulttuuripalvelujen saatavuus ja saavutettavuus:</t>
  </si>
  <si>
    <t>29 Kansalais- ja työväenopisto</t>
  </si>
  <si>
    <t>30 Kirjastopalvelut</t>
  </si>
  <si>
    <t>31 Kulttuuripalvelut</t>
  </si>
  <si>
    <t>32 Liikuntapalvelut</t>
  </si>
  <si>
    <t>33 Nuorisopalvelut</t>
  </si>
  <si>
    <t>Teknisten palvelujen saatavuus ja saavutettavuus:</t>
  </si>
  <si>
    <t>34 Kunnallinen asuntotarjonta</t>
  </si>
  <si>
    <t>35 Kunnallinen tonttitarjonta</t>
  </si>
  <si>
    <t>36 Joukkoliikennepalvelut</t>
  </si>
  <si>
    <t>37 Rakennusvalvonta</t>
  </si>
  <si>
    <t>38 Jätehuolto</t>
  </si>
  <si>
    <t>39 Kierrätystoiminta (paperit, lasit, paristot)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</si>
</sst>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0.0"/>
  </numFmts>
  <fonts count="34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56"/>
      <name val="Verdana"/>
      <family val="2"/>
    </font>
    <font>
      <b/>
      <sz val="11"/>
      <color indexed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2"/>
      <name val="Verdana"/>
      <family val="2"/>
      <scheme val="minor"/>
    </font>
    <font>
      <sz val="10"/>
      <color theme="1"/>
      <name val="Arial"/>
      <family val="2"/>
    </font>
    <font>
      <b/>
      <i/>
      <sz val="8"/>
      <color theme="1"/>
      <name val="Verdana"/>
      <family val="2"/>
    </font>
    <font>
      <sz val="11"/>
      <color theme="1"/>
      <name val="Calibri"/>
      <family val="2"/>
    </font>
    <font>
      <sz val="8"/>
      <color theme="1"/>
      <name val="Verdana"/>
      <family val="2"/>
      <scheme val="minor"/>
    </font>
    <font>
      <b/>
      <sz val="10"/>
      <color theme="1"/>
      <name val="Arial"/>
      <family val="2"/>
    </font>
    <font>
      <sz val="9"/>
      <color theme="1"/>
      <name val="Verdana"/>
      <family val="2"/>
      <scheme val="minor"/>
    </font>
    <font>
      <b/>
      <sz val="8"/>
      <color theme="1"/>
      <name val="Verdana"/>
      <family val="2"/>
    </font>
    <font>
      <sz val="9"/>
      <color rgb="FF272727"/>
      <name val="Arial"/>
      <family val="2"/>
    </font>
    <font>
      <b/>
      <sz val="9"/>
      <color theme="1"/>
      <name val="Verdana"/>
      <family val="2"/>
      <scheme val="minor"/>
    </font>
    <font>
      <b/>
      <sz val="9"/>
      <color rgb="FF272727"/>
      <name val="Arial"/>
      <family val="2"/>
    </font>
    <font>
      <b/>
      <sz val="11"/>
      <color rgb="FF272727"/>
      <name val="Arial"/>
      <family val="2"/>
    </font>
    <font>
      <sz val="11"/>
      <color rgb="FF272727"/>
      <name val="Arial"/>
      <family val="2"/>
    </font>
    <font>
      <b/>
      <sz val="10"/>
      <color rgb="FF272727"/>
      <name val="Arial"/>
      <family val="2"/>
    </font>
    <font>
      <sz val="10"/>
      <color rgb="FF272727"/>
      <name val="Arial"/>
      <family val="2"/>
    </font>
    <font>
      <b/>
      <sz val="14"/>
      <name val="Verdan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gray125">
        <bgColor rgb="FFE5E5E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5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6">
    <xf numFmtId="0" fontId="0" fillId="0" borderId="0"/>
    <xf numFmtId="0" fontId="12" fillId="3" borderId="1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Font="1"/>
    <xf numFmtId="0" fontId="14" fillId="0" borderId="0" xfId="4" applyFont="1"/>
    <xf numFmtId="0" fontId="15" fillId="0" borderId="0" xfId="4" applyFont="1"/>
    <xf numFmtId="0" fontId="14" fillId="0" borderId="0" xfId="5" applyFont="1"/>
    <xf numFmtId="3" fontId="14" fillId="0" borderId="0" xfId="4" applyNumberFormat="1" applyFont="1"/>
    <xf numFmtId="0" fontId="16" fillId="0" borderId="0" xfId="0" applyFont="1"/>
    <xf numFmtId="3" fontId="4" fillId="0" borderId="2" xfId="6" applyNumberFormat="1" applyFont="1" applyBorder="1"/>
    <xf numFmtId="3" fontId="6" fillId="0" borderId="0" xfId="6" applyNumberFormat="1" applyFont="1" applyBorder="1"/>
    <xf numFmtId="0" fontId="16" fillId="0" borderId="0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0" xfId="4" applyFont="1"/>
    <xf numFmtId="3" fontId="4" fillId="4" borderId="2" xfId="6" applyNumberFormat="1" applyFont="1" applyFill="1" applyBorder="1"/>
    <xf numFmtId="2" fontId="19" fillId="0" borderId="0" xfId="0" applyNumberFormat="1" applyFont="1"/>
    <xf numFmtId="1" fontId="19" fillId="0" borderId="0" xfId="0" applyNumberFormat="1" applyFont="1"/>
    <xf numFmtId="0" fontId="20" fillId="5" borderId="9" xfId="0" applyFont="1" applyFill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9" fillId="0" borderId="0" xfId="0" applyFont="1"/>
    <xf numFmtId="3" fontId="4" fillId="4" borderId="0" xfId="6" applyNumberFormat="1" applyFont="1" applyFill="1" applyBorder="1"/>
    <xf numFmtId="0" fontId="19" fillId="6" borderId="1" xfId="0" applyFont="1" applyFill="1" applyBorder="1" applyAlignment="1">
      <alignment vertical="top"/>
    </xf>
    <xf numFmtId="0" fontId="19" fillId="0" borderId="1" xfId="0" applyFont="1" applyBorder="1" applyAlignment="1">
      <alignment vertical="top"/>
    </xf>
    <xf numFmtId="0" fontId="19" fillId="6" borderId="11" xfId="0" applyFont="1" applyFill="1" applyBorder="1" applyAlignment="1">
      <alignment vertical="top"/>
    </xf>
    <xf numFmtId="0" fontId="19" fillId="0" borderId="11" xfId="0" applyFont="1" applyBorder="1" applyAlignment="1">
      <alignment vertical="top"/>
    </xf>
    <xf numFmtId="0" fontId="19" fillId="0" borderId="0" xfId="0" applyFont="1" applyAlignment="1">
      <alignment horizontal="left"/>
    </xf>
    <xf numFmtId="3" fontId="5" fillId="2" borderId="12" xfId="6" applyNumberFormat="1" applyFont="1" applyFill="1" applyBorder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19" fillId="0" borderId="22" xfId="0" applyFont="1" applyBorder="1"/>
    <xf numFmtId="3" fontId="1" fillId="7" borderId="22" xfId="0" applyNumberFormat="1" applyFont="1" applyFill="1" applyBorder="1"/>
    <xf numFmtId="3" fontId="19" fillId="7" borderId="22" xfId="0" applyNumberFormat="1" applyFont="1" applyFill="1" applyBorder="1"/>
    <xf numFmtId="0" fontId="19" fillId="7" borderId="22" xfId="0" applyFont="1" applyFill="1" applyBorder="1"/>
    <xf numFmtId="164" fontId="19" fillId="0" borderId="22" xfId="0" applyNumberFormat="1" applyFont="1" applyBorder="1"/>
    <xf numFmtId="4" fontId="1" fillId="7" borderId="22" xfId="0" applyNumberFormat="1" applyFont="1" applyFill="1" applyBorder="1"/>
    <xf numFmtId="164" fontId="1" fillId="7" borderId="22" xfId="0" applyNumberFormat="1" applyFont="1" applyFill="1" applyBorder="1"/>
    <xf numFmtId="2" fontId="19" fillId="7" borderId="22" xfId="0" applyNumberFormat="1" applyFont="1" applyFill="1" applyBorder="1"/>
    <xf numFmtId="1" fontId="19" fillId="7" borderId="22" xfId="0" applyNumberFormat="1" applyFont="1" applyFill="1" applyBorder="1"/>
    <xf numFmtId="1" fontId="1" fillId="8" borderId="22" xfId="0" applyNumberFormat="1" applyFont="1" applyFill="1" applyBorder="1"/>
    <xf numFmtId="164" fontId="19" fillId="7" borderId="22" xfId="0" applyNumberFormat="1" applyFont="1" applyFill="1" applyBorder="1"/>
    <xf numFmtId="3" fontId="1" fillId="8" borderId="22" xfId="0" applyNumberFormat="1" applyFont="1" applyFill="1" applyBorder="1"/>
    <xf numFmtId="1" fontId="19" fillId="0" borderId="22" xfId="0" applyNumberFormat="1" applyFont="1" applyBorder="1"/>
    <xf numFmtId="0" fontId="19" fillId="0" borderId="23" xfId="0" applyFont="1" applyBorder="1"/>
    <xf numFmtId="3" fontId="1" fillId="7" borderId="23" xfId="0" applyNumberFormat="1" applyFont="1" applyFill="1" applyBorder="1"/>
    <xf numFmtId="3" fontId="19" fillId="7" borderId="23" xfId="0" applyNumberFormat="1" applyFont="1" applyFill="1" applyBorder="1"/>
    <xf numFmtId="0" fontId="19" fillId="7" borderId="23" xfId="0" applyFont="1" applyFill="1" applyBorder="1"/>
    <xf numFmtId="0" fontId="19" fillId="0" borderId="24" xfId="0" applyFont="1" applyBorder="1"/>
    <xf numFmtId="1" fontId="1" fillId="9" borderId="24" xfId="7" applyNumberFormat="1" applyFont="1" applyFill="1" applyBorder="1"/>
    <xf numFmtId="1" fontId="19" fillId="7" borderId="24" xfId="0" applyNumberFormat="1" applyFont="1" applyFill="1" applyBorder="1"/>
    <xf numFmtId="0" fontId="19" fillId="7" borderId="24" xfId="0" applyFont="1" applyFill="1" applyBorder="1"/>
    <xf numFmtId="2" fontId="1" fillId="9" borderId="24" xfId="7" applyNumberFormat="1" applyFont="1" applyFill="1" applyBorder="1"/>
    <xf numFmtId="2" fontId="19" fillId="7" borderId="24" xfId="0" applyNumberFormat="1" applyFont="1" applyFill="1" applyBorder="1"/>
    <xf numFmtId="3" fontId="1" fillId="7" borderId="24" xfId="3" applyNumberFormat="1" applyFont="1" applyFill="1" applyBorder="1"/>
    <xf numFmtId="3" fontId="19" fillId="7" borderId="24" xfId="0" applyNumberFormat="1" applyFont="1" applyFill="1" applyBorder="1"/>
    <xf numFmtId="1" fontId="1" fillId="9" borderId="24" xfId="0" applyNumberFormat="1" applyFont="1" applyFill="1" applyBorder="1"/>
    <xf numFmtId="2" fontId="1" fillId="9" borderId="24" xfId="0" applyNumberFormat="1" applyFont="1" applyFill="1" applyBorder="1"/>
    <xf numFmtId="3" fontId="1" fillId="7" borderId="24" xfId="0" applyNumberFormat="1" applyFont="1" applyFill="1" applyBorder="1"/>
    <xf numFmtId="1" fontId="1" fillId="9" borderId="22" xfId="7" applyNumberFormat="1" applyFont="1" applyFill="1" applyBorder="1"/>
    <xf numFmtId="2" fontId="1" fillId="9" borderId="22" xfId="7" applyNumberFormat="1" applyFont="1" applyFill="1" applyBorder="1"/>
    <xf numFmtId="0" fontId="19" fillId="7" borderId="25" xfId="0" applyFont="1" applyFill="1" applyBorder="1"/>
    <xf numFmtId="0" fontId="23" fillId="0" borderId="0" xfId="0" applyFont="1"/>
    <xf numFmtId="0" fontId="23" fillId="0" borderId="24" xfId="0" applyFont="1" applyBorder="1"/>
    <xf numFmtId="0" fontId="20" fillId="5" borderId="13" xfId="0" applyNumberFormat="1" applyFont="1" applyFill="1" applyBorder="1" applyAlignment="1">
      <alignment vertical="center" wrapText="1"/>
    </xf>
    <xf numFmtId="3" fontId="20" fillId="5" borderId="13" xfId="0" applyNumberFormat="1" applyFont="1" applyFill="1" applyBorder="1" applyAlignment="1">
      <alignment vertical="center" wrapText="1"/>
    </xf>
    <xf numFmtId="165" fontId="20" fillId="5" borderId="13" xfId="11" applyNumberFormat="1" applyFont="1" applyFill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center" vertical="center"/>
    </xf>
    <xf numFmtId="164" fontId="19" fillId="7" borderId="24" xfId="0" applyNumberFormat="1" applyFont="1" applyFill="1" applyBorder="1"/>
    <xf numFmtId="164" fontId="1" fillId="9" borderId="24" xfId="0" applyNumberFormat="1" applyFont="1" applyFill="1" applyBorder="1"/>
    <xf numFmtId="1" fontId="1" fillId="7" borderId="24" xfId="3" applyNumberFormat="1" applyFont="1" applyFill="1" applyBorder="1"/>
    <xf numFmtId="166" fontId="19" fillId="0" borderId="0" xfId="0" applyNumberFormat="1" applyFont="1"/>
    <xf numFmtId="166" fontId="1" fillId="7" borderId="24" xfId="3" applyNumberFormat="1" applyFont="1" applyFill="1" applyBorder="1"/>
    <xf numFmtId="2" fontId="19" fillId="0" borderId="24" xfId="0" applyNumberFormat="1" applyFont="1" applyBorder="1"/>
    <xf numFmtId="4" fontId="19" fillId="7" borderId="24" xfId="0" applyNumberFormat="1" applyFont="1" applyFill="1" applyBorder="1"/>
    <xf numFmtId="2" fontId="19" fillId="7" borderId="25" xfId="0" applyNumberFormat="1" applyFont="1" applyFill="1" applyBorder="1"/>
    <xf numFmtId="0" fontId="24" fillId="0" borderId="0" xfId="0" applyFont="1" applyAlignment="1">
      <alignment vertical="center"/>
    </xf>
    <xf numFmtId="1" fontId="19" fillId="0" borderId="24" xfId="0" applyNumberFormat="1" applyFont="1" applyBorder="1"/>
    <xf numFmtId="0" fontId="21" fillId="0" borderId="10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17" fontId="0" fillId="0" borderId="0" xfId="0" applyNumberFormat="1"/>
    <xf numFmtId="17" fontId="21" fillId="0" borderId="10" xfId="0" applyNumberFormat="1" applyFont="1" applyBorder="1" applyAlignment="1">
      <alignment horizontal="right" vertical="center" wrapText="1"/>
    </xf>
    <xf numFmtId="17" fontId="21" fillId="0" borderId="9" xfId="0" applyNumberFormat="1" applyFont="1" applyBorder="1" applyAlignment="1">
      <alignment horizontal="right" vertical="center" wrapText="1"/>
    </xf>
    <xf numFmtId="17" fontId="21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2" fontId="0" fillId="0" borderId="0" xfId="0" applyNumberFormat="1"/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8" xfId="0" applyFont="1" applyBorder="1" applyAlignment="1">
      <alignment horizontal="right" vertical="center" wrapText="1"/>
    </xf>
    <xf numFmtId="17" fontId="21" fillId="0" borderId="18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/>
    </xf>
    <xf numFmtId="1" fontId="0" fillId="0" borderId="0" xfId="0" applyNumberFormat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1" fontId="19" fillId="7" borderId="0" xfId="0" applyNumberFormat="1" applyFont="1" applyFill="1" applyBorder="1"/>
    <xf numFmtId="4" fontId="19" fillId="7" borderId="0" xfId="0" applyNumberFormat="1" applyFont="1" applyFill="1" applyBorder="1"/>
    <xf numFmtId="2" fontId="19" fillId="7" borderId="0" xfId="0" applyNumberFormat="1" applyFont="1" applyFill="1" applyBorder="1"/>
    <xf numFmtId="2" fontId="19" fillId="0" borderId="0" xfId="0" applyNumberFormat="1" applyFont="1" applyBorder="1"/>
    <xf numFmtId="0" fontId="30" fillId="0" borderId="0" xfId="0" applyFont="1"/>
    <xf numFmtId="0" fontId="23" fillId="0" borderId="22" xfId="0" applyFont="1" applyBorder="1"/>
    <xf numFmtId="0" fontId="29" fillId="0" borderId="0" xfId="0" applyFont="1" applyAlignment="1">
      <alignment vertical="center"/>
    </xf>
    <xf numFmtId="166" fontId="19" fillId="0" borderId="22" xfId="0" applyNumberFormat="1" applyFont="1" applyBorder="1"/>
    <xf numFmtId="166" fontId="1" fillId="8" borderId="22" xfId="0" applyNumberFormat="1" applyFont="1" applyFill="1" applyBorder="1"/>
    <xf numFmtId="0" fontId="31" fillId="0" borderId="0" xfId="0" applyFont="1"/>
    <xf numFmtId="0" fontId="31" fillId="0" borderId="0" xfId="0" applyFont="1" applyAlignment="1">
      <alignment vertical="center"/>
    </xf>
    <xf numFmtId="0" fontId="32" fillId="0" borderId="0" xfId="0" applyFont="1"/>
    <xf numFmtId="166" fontId="1" fillId="9" borderId="24" xfId="0" applyNumberFormat="1" applyFont="1" applyFill="1" applyBorder="1"/>
    <xf numFmtId="0" fontId="0" fillId="0" borderId="0" xfId="0"/>
    <xf numFmtId="3" fontId="1" fillId="0" borderId="0" xfId="3" applyNumberFormat="1" applyFont="1"/>
    <xf numFmtId="0" fontId="0" fillId="0" borderId="0" xfId="0" applyFont="1" applyProtection="1">
      <protection locked="0"/>
    </xf>
    <xf numFmtId="0" fontId="14" fillId="0" borderId="0" xfId="4" applyFont="1" applyProtection="1">
      <protection locked="0"/>
    </xf>
    <xf numFmtId="0" fontId="15" fillId="0" borderId="0" xfId="4" applyFont="1" applyProtection="1">
      <protection locked="0"/>
    </xf>
    <xf numFmtId="0" fontId="33" fillId="3" borderId="3" xfId="4" applyFont="1" applyFill="1" applyBorder="1" applyAlignment="1" applyProtection="1">
      <alignment horizontal="center"/>
      <protection locked="0"/>
    </xf>
    <xf numFmtId="0" fontId="33" fillId="3" borderId="4" xfId="4" applyFont="1" applyFill="1" applyBorder="1" applyAlignment="1" applyProtection="1">
      <alignment horizontal="center"/>
      <protection locked="0"/>
    </xf>
    <xf numFmtId="0" fontId="33" fillId="3" borderId="19" xfId="4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19" xfId="0" applyBorder="1" applyAlignment="1"/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/>
    <xf numFmtId="0" fontId="13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Font="1" applyFill="1" applyBorder="1"/>
  </cellXfs>
  <cellStyles count="16">
    <cellStyle name="ARTTU" xfId="1"/>
    <cellStyle name="Normaali" xfId="0" builtinId="0"/>
    <cellStyle name="Normaali 2" xfId="2"/>
    <cellStyle name="Normaali 2 2" xfId="3"/>
    <cellStyle name="Normaali 3" xfId="4"/>
    <cellStyle name="Normaali 3 2" xfId="5"/>
    <cellStyle name="Normaali 4" xfId="6"/>
    <cellStyle name="Normaali 5" xfId="7"/>
    <cellStyle name="Normaali 6" xfId="8"/>
    <cellStyle name="Normaali 7" xfId="9"/>
    <cellStyle name="Normaali 7 2" xfId="10"/>
    <cellStyle name="Pilkku" xfId="11" builtinId="3"/>
    <cellStyle name="Prosenttia 2" xfId="12"/>
    <cellStyle name="Prosenttia 2 2" xfId="13"/>
    <cellStyle name="Prosenttia 3" xfId="14"/>
    <cellStyle name="Prosenttia 3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i-FI" sz="1200"/>
              <a:t>K 15 Ajankäyttö luottamustehtäviin keskimäärin tuntia/viikko</a:t>
            </a:r>
          </a:p>
        </c:rich>
      </c:tx>
      <c:layout>
        <c:manualLayout>
          <c:xMode val="edge"/>
          <c:yMode val="edge"/>
          <c:x val="0.13161099103885279"/>
          <c:y val="2.314824871029052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work!$B$3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</c:f>
              <c:strCache>
                <c:ptCount val="1"/>
                <c:pt idx="0">
                  <c:v>Ajankäyttö luottamustehtäviin keskimäärin tuntia/viikko</c:v>
                </c:pt>
              </c:strCache>
            </c:strRef>
          </c:cat>
          <c:val>
            <c:numRef>
              <c:f>work!$B$4</c:f>
              <c:numCache>
                <c:formatCode>0.0</c:formatCode>
                <c:ptCount val="1"/>
                <c:pt idx="0">
                  <c:v>8.1300000000000008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43E-92F9-0AE6F6651857}"/>
            </c:ext>
          </c:extLst>
        </c:ser>
        <c:ser>
          <c:idx val="1"/>
          <c:order val="1"/>
          <c:tx>
            <c:strRef>
              <c:f>work!$C$3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</c:f>
              <c:strCache>
                <c:ptCount val="1"/>
                <c:pt idx="0">
                  <c:v>Ajankäyttö luottamustehtäviin keskimäärin tuntia/viikko</c:v>
                </c:pt>
              </c:strCache>
            </c:strRef>
          </c:cat>
          <c:val>
            <c:numRef>
              <c:f>work!$C$4</c:f>
              <c:numCache>
                <c:formatCode>0.0</c:formatCode>
                <c:ptCount val="1"/>
                <c:pt idx="0">
                  <c:v>8.3724137931034477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B-443E-92F9-0AE6F6651857}"/>
            </c:ext>
          </c:extLst>
        </c:ser>
        <c:ser>
          <c:idx val="2"/>
          <c:order val="2"/>
          <c:tx>
            <c:strRef>
              <c:f>work!$D$3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</c:f>
              <c:strCache>
                <c:ptCount val="1"/>
                <c:pt idx="0">
                  <c:v>Ajankäyttö luottamustehtäviin keskimäärin tuntia/viikko</c:v>
                </c:pt>
              </c:strCache>
            </c:strRef>
          </c:cat>
          <c:val>
            <c:numRef>
              <c:f>work!$D$4</c:f>
              <c:numCache>
                <c:formatCode>0.0</c:formatCode>
                <c:ptCount val="1"/>
                <c:pt idx="0">
                  <c:v>8.3461538461538467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AB-443E-92F9-0AE6F6651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45039"/>
        <c:axId val="1"/>
      </c:barChart>
      <c:catAx>
        <c:axId val="2036645039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036645039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24 Kun ajattelet, mitä kunnalliset päätöksentekijät voivat tehdä paikallisen elinvoimaisuuden parantamiseksi, mitkä toimenpiteet näet tärkeimpinä? </a:t>
            </a:r>
            <a:r>
              <a:rPr lang="fi-FI" sz="1200" b="0"/>
              <a:t>(%)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work!$D$82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work!$A$83:$A$99</c:f>
              <c:strCache>
                <c:ptCount val="17"/>
                <c:pt idx="0">
                  <c:v>1 Kaavoitus ja maankäyttö </c:v>
                </c:pt>
                <c:pt idx="1">
                  <c:v>2 Asuntopolitiikka </c:v>
                </c:pt>
                <c:pt idx="2">
                  <c:v>3 Yritysten toimitilatarjonta </c:v>
                </c:pt>
                <c:pt idx="3">
                  <c:v>4 Tapa toteuttaa kunnan hankinnat </c:v>
                </c:pt>
                <c:pt idx="4">
                  <c:v>5 Kuntalaisten valinnanvapauden lisääminen </c:v>
                </c:pt>
                <c:pt idx="5">
                  <c:v>6 Avoimen datan hyödyntäminen </c:v>
                </c:pt>
                <c:pt idx="6">
                  <c:v>7 Aktiivinen toiminta tapahtumien saamiseksi paikkakunnalle </c:v>
                </c:pt>
                <c:pt idx="7">
                  <c:v>8 Kunnan markkinointi </c:v>
                </c:pt>
                <c:pt idx="8">
                  <c:v>9 Elinkeinotoimintaa edistävät kehittämishankkeet </c:v>
                </c:pt>
                <c:pt idx="9">
                  <c:v>10 Yritysneuvonnan palvelut </c:v>
                </c:pt>
                <c:pt idx="10">
                  <c:v>11 Julkiset liikenneyhteydet </c:v>
                </c:pt>
                <c:pt idx="11">
                  <c:v>12 Syrjäytymisen ehkäisy </c:v>
                </c:pt>
                <c:pt idx="12">
                  <c:v>13 Yhteisöllisyyden edistäminen </c:v>
                </c:pt>
                <c:pt idx="13">
                  <c:v>14 Koulutusmahdollisuuksien kehittäminen </c:v>
                </c:pt>
                <c:pt idx="14">
                  <c:v>15 Kunnallisten palvelujen kehittäminen </c:v>
                </c:pt>
                <c:pt idx="15">
                  <c:v>16 Verojen ja maksujen alentaminen </c:v>
                </c:pt>
                <c:pt idx="16">
                  <c:v>17 Paikallinen kokeilutoiminta </c:v>
                </c:pt>
              </c:strCache>
            </c:strRef>
          </c:cat>
          <c:val>
            <c:numRef>
              <c:f>work!$D$83:$D$99</c:f>
              <c:numCache>
                <c:formatCode>0</c:formatCode>
                <c:ptCount val="17"/>
                <c:pt idx="0">
                  <c:v>84.21052631578948</c:v>
                </c:pt>
                <c:pt idx="1">
                  <c:v>36.842105263157897</c:v>
                </c:pt>
                <c:pt idx="2">
                  <c:v>26.315789473684209</c:v>
                </c:pt>
                <c:pt idx="3">
                  <c:v>7.0175438596491224</c:v>
                </c:pt>
                <c:pt idx="4">
                  <c:v>10.526315789473685</c:v>
                </c:pt>
                <c:pt idx="5">
                  <c:v>8.7719298245614041</c:v>
                </c:pt>
                <c:pt idx="6">
                  <c:v>31.578947368421051</c:v>
                </c:pt>
                <c:pt idx="7">
                  <c:v>17.543859649122808</c:v>
                </c:pt>
                <c:pt idx="8">
                  <c:v>64.912280701754383</c:v>
                </c:pt>
                <c:pt idx="9">
                  <c:v>5.2631578947368425</c:v>
                </c:pt>
                <c:pt idx="10">
                  <c:v>42.10526315789474</c:v>
                </c:pt>
                <c:pt idx="11">
                  <c:v>31.578947368421051</c:v>
                </c:pt>
                <c:pt idx="12">
                  <c:v>17.543859649122808</c:v>
                </c:pt>
                <c:pt idx="13">
                  <c:v>50.877192982456137</c:v>
                </c:pt>
                <c:pt idx="14">
                  <c:v>47.368421052631582</c:v>
                </c:pt>
                <c:pt idx="15">
                  <c:v>10.526315789473685</c:v>
                </c:pt>
                <c:pt idx="16">
                  <c:v>10.526315789473685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0-44DE-9112-4D08CAA72AC8}"/>
            </c:ext>
          </c:extLst>
        </c:ser>
        <c:ser>
          <c:idx val="1"/>
          <c:order val="1"/>
          <c:tx>
            <c:strRef>
              <c:f>work!$C$82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work!$A$83:$A$99</c:f>
              <c:strCache>
                <c:ptCount val="17"/>
                <c:pt idx="0">
                  <c:v>1 Kaavoitus ja maankäyttö </c:v>
                </c:pt>
                <c:pt idx="1">
                  <c:v>2 Asuntopolitiikka </c:v>
                </c:pt>
                <c:pt idx="2">
                  <c:v>3 Yritysten toimitilatarjonta </c:v>
                </c:pt>
                <c:pt idx="3">
                  <c:v>4 Tapa toteuttaa kunnan hankinnat </c:v>
                </c:pt>
                <c:pt idx="4">
                  <c:v>5 Kuntalaisten valinnanvapauden lisääminen </c:v>
                </c:pt>
                <c:pt idx="5">
                  <c:v>6 Avoimen datan hyödyntäminen </c:v>
                </c:pt>
                <c:pt idx="6">
                  <c:v>7 Aktiivinen toiminta tapahtumien saamiseksi paikkakunnalle </c:v>
                </c:pt>
                <c:pt idx="7">
                  <c:v>8 Kunnan markkinointi </c:v>
                </c:pt>
                <c:pt idx="8">
                  <c:v>9 Elinkeinotoimintaa edistävät kehittämishankkeet </c:v>
                </c:pt>
                <c:pt idx="9">
                  <c:v>10 Yritysneuvonnan palvelut </c:v>
                </c:pt>
                <c:pt idx="10">
                  <c:v>11 Julkiset liikenneyhteydet </c:v>
                </c:pt>
                <c:pt idx="11">
                  <c:v>12 Syrjäytymisen ehkäisy </c:v>
                </c:pt>
                <c:pt idx="12">
                  <c:v>13 Yhteisöllisyyden edistäminen </c:v>
                </c:pt>
                <c:pt idx="13">
                  <c:v>14 Koulutusmahdollisuuksien kehittäminen </c:v>
                </c:pt>
                <c:pt idx="14">
                  <c:v>15 Kunnallisten palvelujen kehittäminen </c:v>
                </c:pt>
                <c:pt idx="15">
                  <c:v>16 Verojen ja maksujen alentaminen </c:v>
                </c:pt>
                <c:pt idx="16">
                  <c:v>17 Paikallinen kokeilutoiminta </c:v>
                </c:pt>
              </c:strCache>
            </c:strRef>
          </c:cat>
          <c:val>
            <c:numRef>
              <c:f>work!$C$83:$C$99</c:f>
              <c:numCache>
                <c:formatCode>0</c:formatCode>
                <c:ptCount val="17"/>
                <c:pt idx="0">
                  <c:v>65.97014925373135</c:v>
                </c:pt>
                <c:pt idx="1">
                  <c:v>22.388059701492537</c:v>
                </c:pt>
                <c:pt idx="2">
                  <c:v>26.865671641791046</c:v>
                </c:pt>
                <c:pt idx="3">
                  <c:v>26.268656716417912</c:v>
                </c:pt>
                <c:pt idx="4">
                  <c:v>14.626865671641792</c:v>
                </c:pt>
                <c:pt idx="5">
                  <c:v>10.746268656716419</c:v>
                </c:pt>
                <c:pt idx="6">
                  <c:v>28.955223880597014</c:v>
                </c:pt>
                <c:pt idx="7">
                  <c:v>33.432835820895519</c:v>
                </c:pt>
                <c:pt idx="8">
                  <c:v>66.268656716417908</c:v>
                </c:pt>
                <c:pt idx="9">
                  <c:v>12.238805970149254</c:v>
                </c:pt>
                <c:pt idx="10">
                  <c:v>35.522388059701491</c:v>
                </c:pt>
                <c:pt idx="11">
                  <c:v>29.552238805970148</c:v>
                </c:pt>
                <c:pt idx="12">
                  <c:v>20.597014925373134</c:v>
                </c:pt>
                <c:pt idx="13">
                  <c:v>33.731343283582092</c:v>
                </c:pt>
                <c:pt idx="14">
                  <c:v>31.343283582089551</c:v>
                </c:pt>
                <c:pt idx="15">
                  <c:v>11.044776119402986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0-44DE-9112-4D08CAA72AC8}"/>
            </c:ext>
          </c:extLst>
        </c:ser>
        <c:ser>
          <c:idx val="0"/>
          <c:order val="2"/>
          <c:tx>
            <c:strRef>
              <c:f>work!$B$82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work!$A$83:$A$99</c:f>
              <c:strCache>
                <c:ptCount val="17"/>
                <c:pt idx="0">
                  <c:v>1 Kaavoitus ja maankäyttö </c:v>
                </c:pt>
                <c:pt idx="1">
                  <c:v>2 Asuntopolitiikka </c:v>
                </c:pt>
                <c:pt idx="2">
                  <c:v>3 Yritysten toimitilatarjonta </c:v>
                </c:pt>
                <c:pt idx="3">
                  <c:v>4 Tapa toteuttaa kunnan hankinnat </c:v>
                </c:pt>
                <c:pt idx="4">
                  <c:v>5 Kuntalaisten valinnanvapauden lisääminen </c:v>
                </c:pt>
                <c:pt idx="5">
                  <c:v>6 Avoimen datan hyödyntäminen </c:v>
                </c:pt>
                <c:pt idx="6">
                  <c:v>7 Aktiivinen toiminta tapahtumien saamiseksi paikkakunnalle </c:v>
                </c:pt>
                <c:pt idx="7">
                  <c:v>8 Kunnan markkinointi </c:v>
                </c:pt>
                <c:pt idx="8">
                  <c:v>9 Elinkeinotoimintaa edistävät kehittämishankkeet </c:v>
                </c:pt>
                <c:pt idx="9">
                  <c:v>10 Yritysneuvonnan palvelut </c:v>
                </c:pt>
                <c:pt idx="10">
                  <c:v>11 Julkiset liikenneyhteydet </c:v>
                </c:pt>
                <c:pt idx="11">
                  <c:v>12 Syrjäytymisen ehkäisy </c:v>
                </c:pt>
                <c:pt idx="12">
                  <c:v>13 Yhteisöllisyyden edistäminen </c:v>
                </c:pt>
                <c:pt idx="13">
                  <c:v>14 Koulutusmahdollisuuksien kehittäminen </c:v>
                </c:pt>
                <c:pt idx="14">
                  <c:v>15 Kunnallisten palvelujen kehittäminen </c:v>
                </c:pt>
                <c:pt idx="15">
                  <c:v>16 Verojen ja maksujen alentaminen </c:v>
                </c:pt>
                <c:pt idx="16">
                  <c:v>17 Paikallinen kokeilutoiminta </c:v>
                </c:pt>
              </c:strCache>
            </c:strRef>
          </c:cat>
          <c:val>
            <c:numRef>
              <c:f>work!$B$83:$B$99</c:f>
              <c:numCache>
                <c:formatCode>#,##0</c:formatCode>
                <c:ptCount val="17"/>
                <c:pt idx="0">
                  <c:v>69.846350832266324</c:v>
                </c:pt>
                <c:pt idx="1">
                  <c:v>36.555697823303454</c:v>
                </c:pt>
                <c:pt idx="2">
                  <c:v>30.985915492957748</c:v>
                </c:pt>
                <c:pt idx="3">
                  <c:v>23.111395646606915</c:v>
                </c:pt>
                <c:pt idx="4">
                  <c:v>16.645326504481435</c:v>
                </c:pt>
                <c:pt idx="5">
                  <c:v>9.0268886043533936</c:v>
                </c:pt>
                <c:pt idx="6">
                  <c:v>20.550576184379</c:v>
                </c:pt>
                <c:pt idx="7">
                  <c:v>27.784891165172855</c:v>
                </c:pt>
                <c:pt idx="8">
                  <c:v>64.340588988476313</c:v>
                </c:pt>
                <c:pt idx="9">
                  <c:v>13.50832266325224</c:v>
                </c:pt>
                <c:pt idx="10">
                  <c:v>36.299615877080669</c:v>
                </c:pt>
                <c:pt idx="11">
                  <c:v>26.056338028169016</c:v>
                </c:pt>
                <c:pt idx="12">
                  <c:v>25.92829705505762</c:v>
                </c:pt>
                <c:pt idx="13">
                  <c:v>24.775928297055057</c:v>
                </c:pt>
                <c:pt idx="14">
                  <c:v>32.650448143405889</c:v>
                </c:pt>
                <c:pt idx="15">
                  <c:v>11.075544174135723</c:v>
                </c:pt>
                <c:pt idx="16">
                  <c:v>16.837387964148526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0-44DE-9112-4D08CAA7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4831"/>
        <c:axId val="1"/>
      </c:barChart>
      <c:catAx>
        <c:axId val="7324483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73244831"/>
        <c:crosses val="autoZero"/>
        <c:crossBetween val="between"/>
        <c:majorUnit val="2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25 Miten arvioit seuraavien keinojen vaikuttavuutta kuntasi talouden tasapainottamiseen? </a:t>
            </a:r>
            <a:r>
              <a:rPr lang="fi-FI" sz="1200" b="0" i="0" u="none" strike="noStrike" baseline="0">
                <a:effectLst/>
              </a:rPr>
              <a:t>1 (erittäin huono) - 5 (erittäin hyvä)</a:t>
            </a:r>
            <a:endParaRPr lang="fi-FI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work!$D$101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work!$A$102:$A$111</c:f>
              <c:strCache>
                <c:ptCount val="10"/>
                <c:pt idx="0">
                  <c:v>1 Kuntien lakisääteisten tehtävien vähentäminen</c:v>
                </c:pt>
                <c:pt idx="1">
                  <c:v>2 Kuntien vapaaehtoisten tehtävien vähentäminen</c:v>
                </c:pt>
                <c:pt idx="2">
                  <c:v>3 Asiakasmaksujen korottaminen</c:v>
                </c:pt>
                <c:pt idx="3">
                  <c:v>4 Verojen korottaminen</c:v>
                </c:pt>
                <c:pt idx="4">
                  <c:v>5 Palvelutasosta tinkiminen</c:v>
                </c:pt>
                <c:pt idx="5">
                  <c:v>6 Toimintatapojen uudistaminen</c:v>
                </c:pt>
                <c:pt idx="6">
                  <c:v>7 Sähköisten palvelujen kehittäminen</c:v>
                </c:pt>
                <c:pt idx="7">
                  <c:v>8 Palveluverkon karsiminen</c:v>
                </c:pt>
                <c:pt idx="8">
                  <c:v>9 Omaisuuden myynti</c:v>
                </c:pt>
                <c:pt idx="9">
                  <c:v>10 Kuntien päätösvallan lisääminen palvelujen järjestämistavoissa</c:v>
                </c:pt>
              </c:strCache>
            </c:strRef>
          </c:cat>
          <c:val>
            <c:numRef>
              <c:f>work!$D$102:$D$111</c:f>
              <c:numCache>
                <c:formatCode>0.0</c:formatCode>
                <c:ptCount val="10"/>
                <c:pt idx="0">
                  <c:v>3.6071428571428572</c:v>
                </c:pt>
                <c:pt idx="1">
                  <c:v>3.4</c:v>
                </c:pt>
                <c:pt idx="2">
                  <c:v>2.875</c:v>
                </c:pt>
                <c:pt idx="3">
                  <c:v>3.3333333333333335</c:v>
                </c:pt>
                <c:pt idx="4">
                  <c:v>2.8421052631578947</c:v>
                </c:pt>
                <c:pt idx="5">
                  <c:v>4.0714285714285712</c:v>
                </c:pt>
                <c:pt idx="6">
                  <c:v>4.1052631578947372</c:v>
                </c:pt>
                <c:pt idx="7">
                  <c:v>3.2321428571428572</c:v>
                </c:pt>
                <c:pt idx="8">
                  <c:v>3.1607142857142856</c:v>
                </c:pt>
                <c:pt idx="9">
                  <c:v>3.7692307692307692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8-4C8D-B6DB-2C02E9DFE5E4}"/>
            </c:ext>
          </c:extLst>
        </c:ser>
        <c:ser>
          <c:idx val="1"/>
          <c:order val="1"/>
          <c:tx>
            <c:strRef>
              <c:f>work!$C$101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work!$A$102:$A$111</c:f>
              <c:strCache>
                <c:ptCount val="10"/>
                <c:pt idx="0">
                  <c:v>1 Kuntien lakisääteisten tehtävien vähentäminen</c:v>
                </c:pt>
                <c:pt idx="1">
                  <c:v>2 Kuntien vapaaehtoisten tehtävien vähentäminen</c:v>
                </c:pt>
                <c:pt idx="2">
                  <c:v>3 Asiakasmaksujen korottaminen</c:v>
                </c:pt>
                <c:pt idx="3">
                  <c:v>4 Verojen korottaminen</c:v>
                </c:pt>
                <c:pt idx="4">
                  <c:v>5 Palvelutasosta tinkiminen</c:v>
                </c:pt>
                <c:pt idx="5">
                  <c:v>6 Toimintatapojen uudistaminen</c:v>
                </c:pt>
                <c:pt idx="6">
                  <c:v>7 Sähköisten palvelujen kehittäminen</c:v>
                </c:pt>
                <c:pt idx="7">
                  <c:v>8 Palveluverkon karsiminen</c:v>
                </c:pt>
                <c:pt idx="8">
                  <c:v>9 Omaisuuden myynti</c:v>
                </c:pt>
                <c:pt idx="9">
                  <c:v>10 Kuntien päätösvallan lisääminen palvelujen järjestämistavoissa</c:v>
                </c:pt>
              </c:strCache>
            </c:strRef>
          </c:cat>
          <c:val>
            <c:numRef>
              <c:f>work!$C$102:$C$111</c:f>
              <c:numCache>
                <c:formatCode>0.0</c:formatCode>
                <c:ptCount val="10"/>
                <c:pt idx="0">
                  <c:v>3.7638036809815949</c:v>
                </c:pt>
                <c:pt idx="1">
                  <c:v>3.4845679012345681</c:v>
                </c:pt>
                <c:pt idx="2">
                  <c:v>2.9939209726443767</c:v>
                </c:pt>
                <c:pt idx="3">
                  <c:v>2.9303030303030302</c:v>
                </c:pt>
                <c:pt idx="4">
                  <c:v>2.8079268292682928</c:v>
                </c:pt>
                <c:pt idx="5">
                  <c:v>4.3938461538461535</c:v>
                </c:pt>
                <c:pt idx="6">
                  <c:v>4.192660550458716</c:v>
                </c:pt>
                <c:pt idx="7">
                  <c:v>3.1752265861027191</c:v>
                </c:pt>
                <c:pt idx="8">
                  <c:v>3.3146417445482865</c:v>
                </c:pt>
                <c:pt idx="9">
                  <c:v>3.7889610389610389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8-4C8D-B6DB-2C02E9DFE5E4}"/>
            </c:ext>
          </c:extLst>
        </c:ser>
        <c:ser>
          <c:idx val="0"/>
          <c:order val="2"/>
          <c:tx>
            <c:strRef>
              <c:f>work!$B$101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work!$A$102:$A$111</c:f>
              <c:strCache>
                <c:ptCount val="10"/>
                <c:pt idx="0">
                  <c:v>1 Kuntien lakisääteisten tehtävien vähentäminen</c:v>
                </c:pt>
                <c:pt idx="1">
                  <c:v>2 Kuntien vapaaehtoisten tehtävien vähentäminen</c:v>
                </c:pt>
                <c:pt idx="2">
                  <c:v>3 Asiakasmaksujen korottaminen</c:v>
                </c:pt>
                <c:pt idx="3">
                  <c:v>4 Verojen korottaminen</c:v>
                </c:pt>
                <c:pt idx="4">
                  <c:v>5 Palvelutasosta tinkiminen</c:v>
                </c:pt>
                <c:pt idx="5">
                  <c:v>6 Toimintatapojen uudistaminen</c:v>
                </c:pt>
                <c:pt idx="6">
                  <c:v>7 Sähköisten palvelujen kehittäminen</c:v>
                </c:pt>
                <c:pt idx="7">
                  <c:v>8 Palveluverkon karsiminen</c:v>
                </c:pt>
                <c:pt idx="8">
                  <c:v>9 Omaisuuden myynti</c:v>
                </c:pt>
                <c:pt idx="9">
                  <c:v>10 Kuntien päätösvallan lisääminen palvelujen järjestämistavoissa</c:v>
                </c:pt>
              </c:strCache>
            </c:strRef>
          </c:cat>
          <c:val>
            <c:numRef>
              <c:f>work!$B$102:$B$111</c:f>
              <c:numCache>
                <c:formatCode>#\ ##0.0</c:formatCode>
                <c:ptCount val="10"/>
                <c:pt idx="0">
                  <c:v>3.8760600130463145</c:v>
                </c:pt>
                <c:pt idx="1">
                  <c:v>3.3849703361898484</c:v>
                </c:pt>
                <c:pt idx="2">
                  <c:v>2.9791395045632334</c:v>
                </c:pt>
                <c:pt idx="3">
                  <c:v>2.8996763754045309</c:v>
                </c:pt>
                <c:pt idx="4">
                  <c:v>2.7905759162303663</c:v>
                </c:pt>
                <c:pt idx="5">
                  <c:v>4.3190507580751483</c:v>
                </c:pt>
                <c:pt idx="6">
                  <c:v>4.0982083609820839</c:v>
                </c:pt>
                <c:pt idx="7">
                  <c:v>2.9980430528375734</c:v>
                </c:pt>
                <c:pt idx="8">
                  <c:v>2.9887118193891102</c:v>
                </c:pt>
                <c:pt idx="9">
                  <c:v>3.7408177408177408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8-4C8D-B6DB-2C02E9DF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6495"/>
        <c:axId val="1"/>
      </c:barChart>
      <c:catAx>
        <c:axId val="7324649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324649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26 Missä määrin koet voivasi kunnallisena päätöksentekijänä/viranhaltijana vaikuttaa seuraaviin asioihin omassa kunnassasi? </a:t>
            </a:r>
            <a:r>
              <a:rPr lang="fi-FI" sz="1200" b="0" i="0" u="none" strike="noStrike" baseline="0">
                <a:effectLst/>
              </a:rPr>
              <a:t>1 (en lainkaan) - 5 (erittäin paljon)</a:t>
            </a:r>
            <a:endParaRPr lang="fi-FI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work!$D$113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work!$A$114:$A$130</c:f>
              <c:strCache>
                <c:ptCount val="17"/>
                <c:pt idx="0">
                  <c:v>1 Kunnan visio ja strategia</c:v>
                </c:pt>
                <c:pt idx="1">
                  <c:v>2 Kunnan budjetti</c:v>
                </c:pt>
                <c:pt idx="2">
                  <c:v>3 Kunnan talouden tasapaino</c:v>
                </c:pt>
                <c:pt idx="3">
                  <c:v>4 Investoinnit</c:v>
                </c:pt>
                <c:pt idx="4">
                  <c:v>5 Kaavoitusasiat</c:v>
                </c:pt>
                <c:pt idx="5">
                  <c:v>6 Kunnan oma palvelutuotanto</c:v>
                </c:pt>
                <c:pt idx="6">
                  <c:v>7 Kuntien yhteinen palvelutuotanto</c:v>
                </c:pt>
                <c:pt idx="7">
                  <c:v>8 Kunnan yhteistyö muiden kuntien kanssa</c:v>
                </c:pt>
                <c:pt idx="8">
                  <c:v>9 Kunnan henkilöstöpolitiikka</c:v>
                </c:pt>
                <c:pt idx="9">
                  <c:v>10 Kunnan toiminnan rahoitus</c:v>
                </c:pt>
                <c:pt idx="10">
                  <c:v>11 Suhteet valtioon</c:v>
                </c:pt>
                <c:pt idx="11">
                  <c:v>12 Seutukunnalliset asiat</c:v>
                </c:pt>
                <c:pt idx="12">
                  <c:v>13 Maakunnalliset asiat</c:v>
                </c:pt>
                <c:pt idx="13">
                  <c:v>14 Kunnan omistajaohjaus ja konsernipolitiikka</c:v>
                </c:pt>
                <c:pt idx="14">
                  <c:v>15 Kunnan omistamien liikelaitosten ja yhtiöiden toiminta</c:v>
                </c:pt>
                <c:pt idx="15">
                  <c:v>16 Elinkeinopolitiikka</c:v>
                </c:pt>
                <c:pt idx="16">
                  <c:v>17 Kunnan eri keskusten tasapuolinen kehittäminen</c:v>
                </c:pt>
              </c:strCache>
            </c:strRef>
          </c:cat>
          <c:val>
            <c:numRef>
              <c:f>work!$D$114:$D$130</c:f>
              <c:numCache>
                <c:formatCode>0.0</c:formatCode>
                <c:ptCount val="17"/>
                <c:pt idx="0">
                  <c:v>3.0175438596491229</c:v>
                </c:pt>
                <c:pt idx="1">
                  <c:v>2.7543859649122808</c:v>
                </c:pt>
                <c:pt idx="2">
                  <c:v>2.6666666666666665</c:v>
                </c:pt>
                <c:pt idx="3">
                  <c:v>2.6785714285714284</c:v>
                </c:pt>
                <c:pt idx="4">
                  <c:v>2.5964912280701755</c:v>
                </c:pt>
                <c:pt idx="5">
                  <c:v>2.736842105263158</c:v>
                </c:pt>
                <c:pt idx="6">
                  <c:v>2.2105263157894739</c:v>
                </c:pt>
                <c:pt idx="7">
                  <c:v>2.4210526315789473</c:v>
                </c:pt>
                <c:pt idx="8">
                  <c:v>2.4561403508771931</c:v>
                </c:pt>
                <c:pt idx="9">
                  <c:v>2.4912280701754388</c:v>
                </c:pt>
                <c:pt idx="10">
                  <c:v>1.9824561403508771</c:v>
                </c:pt>
                <c:pt idx="11">
                  <c:v>2.1964285714285716</c:v>
                </c:pt>
                <c:pt idx="12">
                  <c:v>2.1071428571428572</c:v>
                </c:pt>
                <c:pt idx="13">
                  <c:v>2.2807017543859649</c:v>
                </c:pt>
                <c:pt idx="14">
                  <c:v>2.2105263157894739</c:v>
                </c:pt>
                <c:pt idx="15">
                  <c:v>2.1754385964912282</c:v>
                </c:pt>
                <c:pt idx="16">
                  <c:v>2.4736842105263159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8-44D4-8906-DEE0B5C94B55}"/>
            </c:ext>
          </c:extLst>
        </c:ser>
        <c:ser>
          <c:idx val="1"/>
          <c:order val="1"/>
          <c:tx>
            <c:strRef>
              <c:f>work!$C$113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work!$A$114:$A$130</c:f>
              <c:strCache>
                <c:ptCount val="17"/>
                <c:pt idx="0">
                  <c:v>1 Kunnan visio ja strategia</c:v>
                </c:pt>
                <c:pt idx="1">
                  <c:v>2 Kunnan budjetti</c:v>
                </c:pt>
                <c:pt idx="2">
                  <c:v>3 Kunnan talouden tasapaino</c:v>
                </c:pt>
                <c:pt idx="3">
                  <c:v>4 Investoinnit</c:v>
                </c:pt>
                <c:pt idx="4">
                  <c:v>5 Kaavoitusasiat</c:v>
                </c:pt>
                <c:pt idx="5">
                  <c:v>6 Kunnan oma palvelutuotanto</c:v>
                </c:pt>
                <c:pt idx="6">
                  <c:v>7 Kuntien yhteinen palvelutuotanto</c:v>
                </c:pt>
                <c:pt idx="7">
                  <c:v>8 Kunnan yhteistyö muiden kuntien kanssa</c:v>
                </c:pt>
                <c:pt idx="8">
                  <c:v>9 Kunnan henkilöstöpolitiikka</c:v>
                </c:pt>
                <c:pt idx="9">
                  <c:v>10 Kunnan toiminnan rahoitus</c:v>
                </c:pt>
                <c:pt idx="10">
                  <c:v>11 Suhteet valtioon</c:v>
                </c:pt>
                <c:pt idx="11">
                  <c:v>12 Seutukunnalliset asiat</c:v>
                </c:pt>
                <c:pt idx="12">
                  <c:v>13 Maakunnalliset asiat</c:v>
                </c:pt>
                <c:pt idx="13">
                  <c:v>14 Kunnan omistajaohjaus ja konsernipolitiikka</c:v>
                </c:pt>
                <c:pt idx="14">
                  <c:v>15 Kunnan omistamien liikelaitosten ja yhtiöiden toiminta</c:v>
                </c:pt>
                <c:pt idx="15">
                  <c:v>16 Elinkeinopolitiikka</c:v>
                </c:pt>
                <c:pt idx="16">
                  <c:v>17 Kunnan eri keskusten tasapuolinen kehittäminen</c:v>
                </c:pt>
              </c:strCache>
            </c:strRef>
          </c:cat>
          <c:val>
            <c:numRef>
              <c:f>work!$C$114:$C$130</c:f>
              <c:numCache>
                <c:formatCode>0.0</c:formatCode>
                <c:ptCount val="17"/>
                <c:pt idx="0">
                  <c:v>3.1424242424242426</c:v>
                </c:pt>
                <c:pt idx="1">
                  <c:v>2.8231707317073171</c:v>
                </c:pt>
                <c:pt idx="2">
                  <c:v>2.735562310030395</c:v>
                </c:pt>
                <c:pt idx="3">
                  <c:v>2.7798165137614679</c:v>
                </c:pt>
                <c:pt idx="4">
                  <c:v>2.6128048780487805</c:v>
                </c:pt>
                <c:pt idx="5">
                  <c:v>2.7286585365853657</c:v>
                </c:pt>
                <c:pt idx="6">
                  <c:v>2.3170731707317072</c:v>
                </c:pt>
                <c:pt idx="7">
                  <c:v>2.5349544072948329</c:v>
                </c:pt>
                <c:pt idx="8">
                  <c:v>2.4194528875379939</c:v>
                </c:pt>
                <c:pt idx="9">
                  <c:v>2.4133738601823707</c:v>
                </c:pt>
                <c:pt idx="10">
                  <c:v>2.1036585365853657</c:v>
                </c:pt>
                <c:pt idx="11">
                  <c:v>2.3525835866261398</c:v>
                </c:pt>
                <c:pt idx="12">
                  <c:v>2.3354037267080745</c:v>
                </c:pt>
                <c:pt idx="13">
                  <c:v>2.4189602446483178</c:v>
                </c:pt>
                <c:pt idx="14">
                  <c:v>2.3545454545454545</c:v>
                </c:pt>
                <c:pt idx="15">
                  <c:v>2.403669724770642</c:v>
                </c:pt>
                <c:pt idx="16">
                  <c:v>2.6757575757575758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8-44D4-8906-DEE0B5C94B55}"/>
            </c:ext>
          </c:extLst>
        </c:ser>
        <c:ser>
          <c:idx val="0"/>
          <c:order val="2"/>
          <c:tx>
            <c:strRef>
              <c:f>work!$B$113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work!$A$114:$A$130</c:f>
              <c:strCache>
                <c:ptCount val="17"/>
                <c:pt idx="0">
                  <c:v>1 Kunnan visio ja strategia</c:v>
                </c:pt>
                <c:pt idx="1">
                  <c:v>2 Kunnan budjetti</c:v>
                </c:pt>
                <c:pt idx="2">
                  <c:v>3 Kunnan talouden tasapaino</c:v>
                </c:pt>
                <c:pt idx="3">
                  <c:v>4 Investoinnit</c:v>
                </c:pt>
                <c:pt idx="4">
                  <c:v>5 Kaavoitusasiat</c:v>
                </c:pt>
                <c:pt idx="5">
                  <c:v>6 Kunnan oma palvelutuotanto</c:v>
                </c:pt>
                <c:pt idx="6">
                  <c:v>7 Kuntien yhteinen palvelutuotanto</c:v>
                </c:pt>
                <c:pt idx="7">
                  <c:v>8 Kunnan yhteistyö muiden kuntien kanssa</c:v>
                </c:pt>
                <c:pt idx="8">
                  <c:v>9 Kunnan henkilöstöpolitiikka</c:v>
                </c:pt>
                <c:pt idx="9">
                  <c:v>10 Kunnan toiminnan rahoitus</c:v>
                </c:pt>
                <c:pt idx="10">
                  <c:v>11 Suhteet valtioon</c:v>
                </c:pt>
                <c:pt idx="11">
                  <c:v>12 Seutukunnalliset asiat</c:v>
                </c:pt>
                <c:pt idx="12">
                  <c:v>13 Maakunnalliset asiat</c:v>
                </c:pt>
                <c:pt idx="13">
                  <c:v>14 Kunnan omistajaohjaus ja konsernipolitiikka</c:v>
                </c:pt>
                <c:pt idx="14">
                  <c:v>15 Kunnan omistamien liikelaitosten ja yhtiöiden toiminta</c:v>
                </c:pt>
                <c:pt idx="15">
                  <c:v>16 Elinkeinopolitiikka</c:v>
                </c:pt>
                <c:pt idx="16">
                  <c:v>17 Kunnan eri keskusten tasapuolinen kehittäminen</c:v>
                </c:pt>
              </c:strCache>
            </c:strRef>
          </c:cat>
          <c:val>
            <c:numRef>
              <c:f>work!$B$114:$B$130</c:f>
              <c:numCache>
                <c:formatCode>#\ ##0.0</c:formatCode>
                <c:ptCount val="17"/>
                <c:pt idx="0">
                  <c:v>3.2213592233009707</c:v>
                </c:pt>
                <c:pt idx="1">
                  <c:v>2.948801036941024</c:v>
                </c:pt>
                <c:pt idx="2">
                  <c:v>2.8561197916666665</c:v>
                </c:pt>
                <c:pt idx="3">
                  <c:v>2.8735408560311284</c:v>
                </c:pt>
                <c:pt idx="4">
                  <c:v>2.7469095640858816</c:v>
                </c:pt>
                <c:pt idx="5">
                  <c:v>2.8219623131903835</c:v>
                </c:pt>
                <c:pt idx="6">
                  <c:v>2.4147135416666665</c:v>
                </c:pt>
                <c:pt idx="7">
                  <c:v>2.6943543153796234</c:v>
                </c:pt>
                <c:pt idx="8">
                  <c:v>2.5667098445595853</c:v>
                </c:pt>
                <c:pt idx="9">
                  <c:v>2.4633354964308891</c:v>
                </c:pt>
                <c:pt idx="10">
                  <c:v>2.1117608836907085</c:v>
                </c:pt>
                <c:pt idx="11">
                  <c:v>2.38296488946684</c:v>
                </c:pt>
                <c:pt idx="12">
                  <c:v>2.2918848167539267</c:v>
                </c:pt>
                <c:pt idx="13">
                  <c:v>2.5162972620599739</c:v>
                </c:pt>
                <c:pt idx="14">
                  <c:v>2.4263465282284229</c:v>
                </c:pt>
                <c:pt idx="15">
                  <c:v>2.5627846454131427</c:v>
                </c:pt>
                <c:pt idx="16">
                  <c:v>2.7840314136125652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8-44D4-8906-DEE0B5C9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28975"/>
        <c:axId val="1"/>
      </c:barChart>
      <c:catAx>
        <c:axId val="203882897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203882897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27 Miten suurta vaikutusvaltaa seuraavilla ryhmillä/toimijoilla on mielestäsi kuntasi poliittisessa päätöksenteossa? </a:t>
            </a:r>
            <a:r>
              <a:rPr lang="fi-FI" sz="1200" b="0" i="0" u="none" strike="noStrike" baseline="0">
                <a:effectLst/>
              </a:rPr>
              <a:t>1 (ei lainkaan vaikutusvaltaa) - 5 (erittäin suurta vaikutusvaltaa)</a:t>
            </a:r>
            <a:endParaRPr lang="fi-FI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work!$D$132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work!$A$133:$A$147</c:f>
              <c:strCache>
                <c:ptCount val="15"/>
                <c:pt idx="0">
                  <c:v>1 Valtuusto</c:v>
                </c:pt>
                <c:pt idx="1">
                  <c:v>2 Hallitus</c:v>
                </c:pt>
                <c:pt idx="2">
                  <c:v>3 Lautakunnat</c:v>
                </c:pt>
                <c:pt idx="3">
                  <c:v>4 Valtuuston puheenjohtaja</c:v>
                </c:pt>
                <c:pt idx="4">
                  <c:v>5 Hallituksen puheenjohtaja</c:v>
                </c:pt>
                <c:pt idx="5">
                  <c:v>6 Kunnan-/kaupunginjohtaja</c:v>
                </c:pt>
                <c:pt idx="6">
                  <c:v>7 Muut johtavat viranhaltijat</c:v>
                </c:pt>
                <c:pt idx="7">
                  <c:v>8 Henkilöstö</c:v>
                </c:pt>
                <c:pt idx="8">
                  <c:v>9 Kuntalaiset</c:v>
                </c:pt>
                <c:pt idx="9">
                  <c:v>10 Valtio</c:v>
                </c:pt>
                <c:pt idx="10">
                  <c:v>11 Paikallinen elinkeinoelämä</c:v>
                </c:pt>
                <c:pt idx="11">
                  <c:v>12 Media</c:v>
                </c:pt>
                <c:pt idx="12">
                  <c:v>13 Paikalliset järjestöt ja yhdistykset</c:v>
                </c:pt>
                <c:pt idx="13">
                  <c:v>14 Naapurikuntien päätöksentekijät</c:v>
                </c:pt>
                <c:pt idx="14">
                  <c:v>15 Sinä itse</c:v>
                </c:pt>
              </c:strCache>
            </c:strRef>
          </c:cat>
          <c:val>
            <c:numRef>
              <c:f>work!$D$133:$D$147</c:f>
              <c:numCache>
                <c:formatCode>0.0</c:formatCode>
                <c:ptCount val="15"/>
                <c:pt idx="0">
                  <c:v>3.807017543859649</c:v>
                </c:pt>
                <c:pt idx="1">
                  <c:v>4.6071428571428568</c:v>
                </c:pt>
                <c:pt idx="2">
                  <c:v>3.0175438596491229</c:v>
                </c:pt>
                <c:pt idx="3">
                  <c:v>3.75</c:v>
                </c:pt>
                <c:pt idx="4">
                  <c:v>4.1228070175438596</c:v>
                </c:pt>
                <c:pt idx="5">
                  <c:v>4.1228070175438596</c:v>
                </c:pt>
                <c:pt idx="6">
                  <c:v>3.7719298245614037</c:v>
                </c:pt>
                <c:pt idx="7">
                  <c:v>2.3508771929824563</c:v>
                </c:pt>
                <c:pt idx="8">
                  <c:v>2.1403508771929824</c:v>
                </c:pt>
                <c:pt idx="9">
                  <c:v>3.5438596491228069</c:v>
                </c:pt>
                <c:pt idx="10">
                  <c:v>3.2678571428571428</c:v>
                </c:pt>
                <c:pt idx="11">
                  <c:v>3.375</c:v>
                </c:pt>
                <c:pt idx="12">
                  <c:v>2.4107142857142856</c:v>
                </c:pt>
                <c:pt idx="13">
                  <c:v>2.2280701754385963</c:v>
                </c:pt>
                <c:pt idx="14">
                  <c:v>2.7017543859649122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C-42AF-B02B-E94FC54C82CE}"/>
            </c:ext>
          </c:extLst>
        </c:ser>
        <c:ser>
          <c:idx val="1"/>
          <c:order val="1"/>
          <c:tx>
            <c:strRef>
              <c:f>work!$C$132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work!$A$133:$A$147</c:f>
              <c:strCache>
                <c:ptCount val="15"/>
                <c:pt idx="0">
                  <c:v>1 Valtuusto</c:v>
                </c:pt>
                <c:pt idx="1">
                  <c:v>2 Hallitus</c:v>
                </c:pt>
                <c:pt idx="2">
                  <c:v>3 Lautakunnat</c:v>
                </c:pt>
                <c:pt idx="3">
                  <c:v>4 Valtuuston puheenjohtaja</c:v>
                </c:pt>
                <c:pt idx="4">
                  <c:v>5 Hallituksen puheenjohtaja</c:v>
                </c:pt>
                <c:pt idx="5">
                  <c:v>6 Kunnan-/kaupunginjohtaja</c:v>
                </c:pt>
                <c:pt idx="6">
                  <c:v>7 Muut johtavat viranhaltijat</c:v>
                </c:pt>
                <c:pt idx="7">
                  <c:v>8 Henkilöstö</c:v>
                </c:pt>
                <c:pt idx="8">
                  <c:v>9 Kuntalaiset</c:v>
                </c:pt>
                <c:pt idx="9">
                  <c:v>10 Valtio</c:v>
                </c:pt>
                <c:pt idx="10">
                  <c:v>11 Paikallinen elinkeinoelämä</c:v>
                </c:pt>
                <c:pt idx="11">
                  <c:v>12 Media</c:v>
                </c:pt>
                <c:pt idx="12">
                  <c:v>13 Paikalliset järjestöt ja yhdistykset</c:v>
                </c:pt>
                <c:pt idx="13">
                  <c:v>14 Naapurikuntien päätöksentekijät</c:v>
                </c:pt>
                <c:pt idx="14">
                  <c:v>15 Sinä itse</c:v>
                </c:pt>
              </c:strCache>
            </c:strRef>
          </c:cat>
          <c:val>
            <c:numRef>
              <c:f>work!$C$133:$C$147</c:f>
              <c:numCache>
                <c:formatCode>0.0</c:formatCode>
                <c:ptCount val="15"/>
                <c:pt idx="0">
                  <c:v>3.790909090909091</c:v>
                </c:pt>
                <c:pt idx="1">
                  <c:v>4.3981762917933134</c:v>
                </c:pt>
                <c:pt idx="2">
                  <c:v>3.1809815950920246</c:v>
                </c:pt>
                <c:pt idx="3">
                  <c:v>3.5136778115501519</c:v>
                </c:pt>
                <c:pt idx="4">
                  <c:v>3.9606060606060605</c:v>
                </c:pt>
                <c:pt idx="5">
                  <c:v>4.238670694864048</c:v>
                </c:pt>
                <c:pt idx="6">
                  <c:v>3.9300911854103342</c:v>
                </c:pt>
                <c:pt idx="7">
                  <c:v>2.6261398176291793</c:v>
                </c:pt>
                <c:pt idx="8">
                  <c:v>2.3696969696969696</c:v>
                </c:pt>
                <c:pt idx="9">
                  <c:v>3.603030303030303</c:v>
                </c:pt>
                <c:pt idx="10">
                  <c:v>3.1717791411042944</c:v>
                </c:pt>
                <c:pt idx="11">
                  <c:v>3.3475609756097562</c:v>
                </c:pt>
                <c:pt idx="12">
                  <c:v>2.5214723926380369</c:v>
                </c:pt>
                <c:pt idx="13">
                  <c:v>2.1707317073170733</c:v>
                </c:pt>
                <c:pt idx="14">
                  <c:v>2.8328267477203646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C-42AF-B02B-E94FC54C82CE}"/>
            </c:ext>
          </c:extLst>
        </c:ser>
        <c:ser>
          <c:idx val="0"/>
          <c:order val="2"/>
          <c:tx>
            <c:strRef>
              <c:f>work!$B$132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work!$A$133:$A$147</c:f>
              <c:strCache>
                <c:ptCount val="15"/>
                <c:pt idx="0">
                  <c:v>1 Valtuusto</c:v>
                </c:pt>
                <c:pt idx="1">
                  <c:v>2 Hallitus</c:v>
                </c:pt>
                <c:pt idx="2">
                  <c:v>3 Lautakunnat</c:v>
                </c:pt>
                <c:pt idx="3">
                  <c:v>4 Valtuuston puheenjohtaja</c:v>
                </c:pt>
                <c:pt idx="4">
                  <c:v>5 Hallituksen puheenjohtaja</c:v>
                </c:pt>
                <c:pt idx="5">
                  <c:v>6 Kunnan-/kaupunginjohtaja</c:v>
                </c:pt>
                <c:pt idx="6">
                  <c:v>7 Muut johtavat viranhaltijat</c:v>
                </c:pt>
                <c:pt idx="7">
                  <c:v>8 Henkilöstö</c:v>
                </c:pt>
                <c:pt idx="8">
                  <c:v>9 Kuntalaiset</c:v>
                </c:pt>
                <c:pt idx="9">
                  <c:v>10 Valtio</c:v>
                </c:pt>
                <c:pt idx="10">
                  <c:v>11 Paikallinen elinkeinoelämä</c:v>
                </c:pt>
                <c:pt idx="11">
                  <c:v>12 Media</c:v>
                </c:pt>
                <c:pt idx="12">
                  <c:v>13 Paikalliset järjestöt ja yhdistykset</c:v>
                </c:pt>
                <c:pt idx="13">
                  <c:v>14 Naapurikuntien päätöksentekijät</c:v>
                </c:pt>
                <c:pt idx="14">
                  <c:v>15 Sinä itse</c:v>
                </c:pt>
              </c:strCache>
            </c:strRef>
          </c:cat>
          <c:val>
            <c:numRef>
              <c:f>work!$B$133:$B$147</c:f>
              <c:numCache>
                <c:formatCode>0.0</c:formatCode>
                <c:ptCount val="15"/>
                <c:pt idx="0">
                  <c:v>3.7666021921341071</c:v>
                </c:pt>
                <c:pt idx="1">
                  <c:v>4.4405684754521966</c:v>
                </c:pt>
                <c:pt idx="2">
                  <c:v>3.3662979830839297</c:v>
                </c:pt>
                <c:pt idx="3">
                  <c:v>3.5339805825242721</c:v>
                </c:pt>
                <c:pt idx="4">
                  <c:v>4.0673139158576053</c:v>
                </c:pt>
                <c:pt idx="5">
                  <c:v>4.337662337662338</c:v>
                </c:pt>
                <c:pt idx="6">
                  <c:v>3.8914027149321266</c:v>
                </c:pt>
                <c:pt idx="7">
                  <c:v>2.6580478345184226</c:v>
                </c:pt>
                <c:pt idx="8">
                  <c:v>2.3852140077821011</c:v>
                </c:pt>
                <c:pt idx="9">
                  <c:v>3.6391953277092797</c:v>
                </c:pt>
                <c:pt idx="10">
                  <c:v>3.1132075471698113</c:v>
                </c:pt>
                <c:pt idx="11">
                  <c:v>3.125</c:v>
                </c:pt>
                <c:pt idx="12">
                  <c:v>2.5176010430247717</c:v>
                </c:pt>
                <c:pt idx="13">
                  <c:v>2.1512005191434134</c:v>
                </c:pt>
                <c:pt idx="14">
                  <c:v>2.962890625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C-42AF-B02B-E94FC54C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26895"/>
        <c:axId val="1"/>
      </c:barChart>
      <c:catAx>
        <c:axId val="203882689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203882689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28 </a:t>
            </a:r>
            <a:r>
              <a:rPr lang="fi-FI" sz="1200" b="1"/>
              <a:t>Miten luottamushenkilön tulee toimia tilanteessa, jossa syntyy ristiriitatilanteessa oman mielipiteen, puoluen mielipiteen ja äänestäjien mielipiteen välillä?</a:t>
            </a:r>
          </a:p>
        </c:rich>
      </c:tx>
      <c:layout>
        <c:manualLayout>
          <c:xMode val="edge"/>
          <c:yMode val="edge"/>
          <c:x val="0.12876202433028702"/>
          <c:y val="1.4947819906928539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work!$A$150</c:f>
              <c:strCache>
                <c:ptCount val="1"/>
                <c:pt idx="0">
                  <c:v>1 Äänestää oman mielipiteensä mukaisesti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work!$B$149:$D$149</c:f>
              <c:strCache>
                <c:ptCount val="3"/>
                <c:pt idx="0">
                  <c:v>Kaikki ARTTU kunnat</c:v>
                </c:pt>
                <c:pt idx="1">
                  <c:v>50001-100000 as. kunnat</c:v>
                </c:pt>
                <c:pt idx="2">
                  <c:v>Vaasa</c:v>
                </c:pt>
              </c:strCache>
            </c:strRef>
          </c:cat>
          <c:val>
            <c:numRef>
              <c:f>work!$B$150:$D$150</c:f>
              <c:numCache>
                <c:formatCode>0</c:formatCode>
                <c:ptCount val="3"/>
                <c:pt idx="0">
                  <c:v>67.361563517915314</c:v>
                </c:pt>
                <c:pt idx="1">
                  <c:v>64.048338368580062</c:v>
                </c:pt>
                <c:pt idx="2">
                  <c:v>64.912280701754383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C-4DDA-BAA0-E9E3CAE671FD}"/>
            </c:ext>
          </c:extLst>
        </c:ser>
        <c:ser>
          <c:idx val="1"/>
          <c:order val="1"/>
          <c:tx>
            <c:strRef>
              <c:f>work!$A$151</c:f>
              <c:strCache>
                <c:ptCount val="1"/>
                <c:pt idx="0">
                  <c:v>2 Äänestää valtuustoryhmän/puolueryhmän enemmistön mielipiteen mukaisesti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work!$B$149:$D$149</c:f>
              <c:strCache>
                <c:ptCount val="3"/>
                <c:pt idx="0">
                  <c:v>Kaikki ARTTU kunnat</c:v>
                </c:pt>
                <c:pt idx="1">
                  <c:v>50001-100000 as. kunnat</c:v>
                </c:pt>
                <c:pt idx="2">
                  <c:v>Vaasa</c:v>
                </c:pt>
              </c:strCache>
            </c:strRef>
          </c:cat>
          <c:val>
            <c:numRef>
              <c:f>work!$B$151:$D$151</c:f>
              <c:numCache>
                <c:formatCode>0</c:formatCode>
                <c:ptCount val="3"/>
                <c:pt idx="0">
                  <c:v>23.973941368078176</c:v>
                </c:pt>
                <c:pt idx="1">
                  <c:v>25.981873111782477</c:v>
                </c:pt>
                <c:pt idx="2">
                  <c:v>21.05263157894737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C-4DDA-BAA0-E9E3CAE671FD}"/>
            </c:ext>
          </c:extLst>
        </c:ser>
        <c:ser>
          <c:idx val="2"/>
          <c:order val="2"/>
          <c:tx>
            <c:strRef>
              <c:f>work!$A$152</c:f>
              <c:strCache>
                <c:ptCount val="1"/>
                <c:pt idx="0">
                  <c:v>3 Äänestää äänestäjän käsityksen mukaisesti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work!$B$149:$D$149</c:f>
              <c:strCache>
                <c:ptCount val="3"/>
                <c:pt idx="0">
                  <c:v>Kaikki ARTTU kunnat</c:v>
                </c:pt>
                <c:pt idx="1">
                  <c:v>50001-100000 as. kunnat</c:v>
                </c:pt>
                <c:pt idx="2">
                  <c:v>Vaasa</c:v>
                </c:pt>
              </c:strCache>
            </c:strRef>
          </c:cat>
          <c:val>
            <c:numRef>
              <c:f>work!$B$152:$D$152</c:f>
              <c:numCache>
                <c:formatCode>0</c:formatCode>
                <c:ptCount val="3"/>
                <c:pt idx="0">
                  <c:v>8.664495114006515</c:v>
                </c:pt>
                <c:pt idx="1">
                  <c:v>9.9697885196374614</c:v>
                </c:pt>
                <c:pt idx="2">
                  <c:v>14.035087719298245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C-4DDA-BAA0-E9E3CAE6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8830223"/>
        <c:axId val="1"/>
      </c:barChart>
      <c:catAx>
        <c:axId val="2038830223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38830223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/>
              <a:t>K 29 Miten arvioit yleistä ilmapiiriä eri osapuolten välillä kuntasi asioiden hoidossa?  </a:t>
            </a:r>
            <a:r>
              <a:rPr lang="fi-FI" sz="1200" b="0" i="0" baseline="0">
                <a:effectLst/>
              </a:rPr>
              <a:t>Arvioi asteikolla 1 (erittäin huono) – 5 (erittäin hyvä).</a:t>
            </a:r>
            <a:endParaRPr lang="fi-FI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work!$D$154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work!$A$155:$A$160</c:f>
              <c:strCache>
                <c:ptCount val="6"/>
                <c:pt idx="0">
                  <c:v>1 Kuntalaisten ja luottamushenkilöiden välillä</c:v>
                </c:pt>
                <c:pt idx="1">
                  <c:v>2 Luottamushenkilöiden ja viranhaltijoiden välillä</c:v>
                </c:pt>
                <c:pt idx="2">
                  <c:v>3 Puolueryhmien välillä</c:v>
                </c:pt>
                <c:pt idx="3">
                  <c:v>4 Puolueryhmien sisällä</c:v>
                </c:pt>
                <c:pt idx="4">
                  <c:v>5 Kunnan viranhaltijajohdon ja henkilöstön välillä</c:v>
                </c:pt>
                <c:pt idx="5">
                  <c:v>6 Kunnan eri keskusten asukkaiden välillä</c:v>
                </c:pt>
              </c:strCache>
            </c:strRef>
          </c:cat>
          <c:val>
            <c:numRef>
              <c:f>work!$D$155:$D$160</c:f>
              <c:numCache>
                <c:formatCode>0.0</c:formatCode>
                <c:ptCount val="6"/>
                <c:pt idx="0">
                  <c:v>3.1228070175438596</c:v>
                </c:pt>
                <c:pt idx="1">
                  <c:v>3.0350877192982457</c:v>
                </c:pt>
                <c:pt idx="2">
                  <c:v>2.8245614035087718</c:v>
                </c:pt>
                <c:pt idx="3">
                  <c:v>3.375</c:v>
                </c:pt>
                <c:pt idx="4">
                  <c:v>2.8035714285714284</c:v>
                </c:pt>
                <c:pt idx="5">
                  <c:v>3.0181818181818181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5-4D6B-8214-E99A8B27881B}"/>
            </c:ext>
          </c:extLst>
        </c:ser>
        <c:ser>
          <c:idx val="1"/>
          <c:order val="1"/>
          <c:tx>
            <c:strRef>
              <c:f>work!$C$154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work!$A$155:$A$160</c:f>
              <c:strCache>
                <c:ptCount val="6"/>
                <c:pt idx="0">
                  <c:v>1 Kuntalaisten ja luottamushenkilöiden välillä</c:v>
                </c:pt>
                <c:pt idx="1">
                  <c:v>2 Luottamushenkilöiden ja viranhaltijoiden välillä</c:v>
                </c:pt>
                <c:pt idx="2">
                  <c:v>3 Puolueryhmien välillä</c:v>
                </c:pt>
                <c:pt idx="3">
                  <c:v>4 Puolueryhmien sisällä</c:v>
                </c:pt>
                <c:pt idx="4">
                  <c:v>5 Kunnan viranhaltijajohdon ja henkilöstön välillä</c:v>
                </c:pt>
                <c:pt idx="5">
                  <c:v>6 Kunnan eri keskusten asukkaiden välillä</c:v>
                </c:pt>
              </c:strCache>
            </c:strRef>
          </c:cat>
          <c:val>
            <c:numRef>
              <c:f>work!$C$155:$C$160</c:f>
              <c:numCache>
                <c:formatCode>0.0</c:formatCode>
                <c:ptCount val="6"/>
                <c:pt idx="0">
                  <c:v>3.1287425149700598</c:v>
                </c:pt>
                <c:pt idx="1">
                  <c:v>2.954954954954955</c:v>
                </c:pt>
                <c:pt idx="2">
                  <c:v>2.6906906906906909</c:v>
                </c:pt>
                <c:pt idx="3">
                  <c:v>3.1121212121212123</c:v>
                </c:pt>
                <c:pt idx="4">
                  <c:v>3.0276073619631902</c:v>
                </c:pt>
                <c:pt idx="5">
                  <c:v>2.8685015290519877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5-4D6B-8214-E99A8B27881B}"/>
            </c:ext>
          </c:extLst>
        </c:ser>
        <c:ser>
          <c:idx val="0"/>
          <c:order val="2"/>
          <c:tx>
            <c:strRef>
              <c:f>work!$B$154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work!$A$155:$A$160</c:f>
              <c:strCache>
                <c:ptCount val="6"/>
                <c:pt idx="0">
                  <c:v>1 Kuntalaisten ja luottamushenkilöiden välillä</c:v>
                </c:pt>
                <c:pt idx="1">
                  <c:v>2 Luottamushenkilöiden ja viranhaltijoiden välillä</c:v>
                </c:pt>
                <c:pt idx="2">
                  <c:v>3 Puolueryhmien välillä</c:v>
                </c:pt>
                <c:pt idx="3">
                  <c:v>4 Puolueryhmien sisällä</c:v>
                </c:pt>
                <c:pt idx="4">
                  <c:v>5 Kunnan viranhaltijajohdon ja henkilöstön välillä</c:v>
                </c:pt>
                <c:pt idx="5">
                  <c:v>6 Kunnan eri keskusten asukkaiden välillä</c:v>
                </c:pt>
              </c:strCache>
            </c:strRef>
          </c:cat>
          <c:val>
            <c:numRef>
              <c:f>work!$B$155:$B$160</c:f>
              <c:numCache>
                <c:formatCode>0.0</c:formatCode>
                <c:ptCount val="6"/>
                <c:pt idx="0">
                  <c:v>3.3005148005148004</c:v>
                </c:pt>
                <c:pt idx="1">
                  <c:v>3.3797549967762732</c:v>
                </c:pt>
                <c:pt idx="2">
                  <c:v>3.0637886597938144</c:v>
                </c:pt>
                <c:pt idx="3">
                  <c:v>3.3697205977907734</c:v>
                </c:pt>
                <c:pt idx="4">
                  <c:v>3.266102797657775</c:v>
                </c:pt>
                <c:pt idx="5">
                  <c:v>2.9583604424202994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5-4D6B-8214-E99A8B27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24815"/>
        <c:axId val="1"/>
      </c:barChart>
      <c:catAx>
        <c:axId val="203882481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203882481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30 Kun kuntalaiset ottavat sinuun yhteyttä kertoakseen mielipiteensä vireillä olevista asioista tai tehdyistä päätöksistä, onko heidän antamansa palaute yleensä myönteistä vai kielteistä?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work!$B$162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work!$A$163</c:f>
              <c:strCache>
                <c:ptCount val="1"/>
                <c:pt idx="0">
                  <c:v>Kuntalaisten antama palaute on ollut myönteistä (%)</c:v>
                </c:pt>
              </c:strCache>
            </c:strRef>
          </c:cat>
          <c:val>
            <c:numRef>
              <c:f>work!$B$163</c:f>
              <c:numCache>
                <c:formatCode>0</c:formatCode>
                <c:ptCount val="1"/>
                <c:pt idx="0">
                  <c:v>29.053177691309987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B-4138-AD43-11539D8DA551}"/>
            </c:ext>
          </c:extLst>
        </c:ser>
        <c:ser>
          <c:idx val="1"/>
          <c:order val="1"/>
          <c:tx>
            <c:strRef>
              <c:f>work!$C$162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work!$A$163</c:f>
              <c:strCache>
                <c:ptCount val="1"/>
                <c:pt idx="0">
                  <c:v>Kuntalaisten antama palaute on ollut myönteistä (%)</c:v>
                </c:pt>
              </c:strCache>
            </c:strRef>
          </c:cat>
          <c:val>
            <c:numRef>
              <c:f>work!$C$163</c:f>
              <c:numCache>
                <c:formatCode>0</c:formatCode>
                <c:ptCount val="1"/>
                <c:pt idx="0">
                  <c:v>27.627627627627628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B-4138-AD43-11539D8DA551}"/>
            </c:ext>
          </c:extLst>
        </c:ser>
        <c:ser>
          <c:idx val="2"/>
          <c:order val="2"/>
          <c:tx>
            <c:strRef>
              <c:f>work!$D$162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work!$A$163</c:f>
              <c:strCache>
                <c:ptCount val="1"/>
                <c:pt idx="0">
                  <c:v>Kuntalaisten antama palaute on ollut myönteistä (%)</c:v>
                </c:pt>
              </c:strCache>
            </c:strRef>
          </c:cat>
          <c:val>
            <c:numRef>
              <c:f>work!$D$163</c:f>
              <c:numCache>
                <c:formatCode>0</c:formatCode>
                <c:ptCount val="1"/>
                <c:pt idx="0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B-4138-AD43-11539D8DA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23983"/>
        <c:axId val="1"/>
      </c:barChart>
      <c:catAx>
        <c:axId val="2038823983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2038823983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K 31 Oletko itse tai onko läheisesi joutunut luottamus- tai virkatehtäviesi takia väkivallan tai sen uhkausten tai muuntyyppisen häirinnän kohteeksi tämän valtuustokauden aikana?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work!$B$165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work!$A$166</c:f>
              <c:strCache>
                <c:ptCount val="1"/>
                <c:pt idx="0">
                  <c:v>Itse tai/ja läheinen on joutunut luottamus- tai virkatehtäviesi takia väkivallan tai sen uhkausten tai muuntyyppisen häirinnän kohteeksi tämän valtuustokauden aikana? (%)</c:v>
                </c:pt>
              </c:strCache>
            </c:strRef>
          </c:cat>
          <c:val>
            <c:numRef>
              <c:f>work!$B$166</c:f>
              <c:numCache>
                <c:formatCode>0</c:formatCode>
                <c:ptCount val="1"/>
                <c:pt idx="0">
                  <c:v>24.95176848874598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D-40C8-B215-60A844AC6AA5}"/>
            </c:ext>
          </c:extLst>
        </c:ser>
        <c:ser>
          <c:idx val="1"/>
          <c:order val="1"/>
          <c:tx>
            <c:strRef>
              <c:f>work!$C$165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work!$A$166</c:f>
              <c:strCache>
                <c:ptCount val="1"/>
                <c:pt idx="0">
                  <c:v>Itse tai/ja läheinen on joutunut luottamus- tai virkatehtäviesi takia väkivallan tai sen uhkausten tai muuntyyppisen häirinnän kohteeksi tämän valtuustokauden aikana? (%)</c:v>
                </c:pt>
              </c:strCache>
            </c:strRef>
          </c:cat>
          <c:val>
            <c:numRef>
              <c:f>work!$C$166</c:f>
              <c:numCache>
                <c:formatCode>0</c:formatCode>
                <c:ptCount val="1"/>
                <c:pt idx="0">
                  <c:v>23.652694610778443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D-40C8-B215-60A844AC6AA5}"/>
            </c:ext>
          </c:extLst>
        </c:ser>
        <c:ser>
          <c:idx val="2"/>
          <c:order val="2"/>
          <c:tx>
            <c:strRef>
              <c:f>work!$D$165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work!$A$166</c:f>
              <c:strCache>
                <c:ptCount val="1"/>
                <c:pt idx="0">
                  <c:v>Itse tai/ja läheinen on joutunut luottamus- tai virkatehtäviesi takia väkivallan tai sen uhkausten tai muuntyyppisen häirinnän kohteeksi tämän valtuustokauden aikana? (%)</c:v>
                </c:pt>
              </c:strCache>
            </c:strRef>
          </c:cat>
          <c:val>
            <c:numRef>
              <c:f>work!$D$166</c:f>
              <c:numCache>
                <c:formatCode>0</c:formatCode>
                <c:ptCount val="1"/>
                <c:pt idx="0">
                  <c:v>19.298245614035089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D-40C8-B215-60A844AC6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26479"/>
        <c:axId val="1"/>
      </c:barChart>
      <c:catAx>
        <c:axId val="2038826479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038826479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/>
              <a:t>K 34 </a:t>
            </a:r>
            <a:r>
              <a:rPr lang="fi-FI" sz="1200" b="1"/>
              <a:t>Missä määrin koet, että puolueettomuusvaatimus täyttyy omassa kunnassasi seuraavien toimintojen osalta?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 b="0" i="0" u="none" strike="noStrike" baseline="0">
                <a:effectLst/>
              </a:rPr>
              <a:t>Arvioi asteikolla 1 (erittäin huonosti) - 5 (erittäin hyvin).</a:t>
            </a:r>
            <a:endParaRPr lang="fi-FI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work!$D$168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work!$A$169:$A$175</c:f>
              <c:strCache>
                <c:ptCount val="7"/>
                <c:pt idx="0">
                  <c:v>1 Kaavoitus ja tonttipolitiikka</c:v>
                </c:pt>
                <c:pt idx="1">
                  <c:v>2 Rakennuslupien myöntäminen</c:v>
                </c:pt>
                <c:pt idx="2">
                  <c:v>3 Ympäristölupien myöntäminen</c:v>
                </c:pt>
                <c:pt idx="3">
                  <c:v>4 Julkiset hankinnat</c:v>
                </c:pt>
                <c:pt idx="4">
                  <c:v>5 Virkojen ja toimien täyttäminen</c:v>
                </c:pt>
                <c:pt idx="5">
                  <c:v>6 Avustusten jakaminen yhdistyksille ja ryhmille</c:v>
                </c:pt>
                <c:pt idx="6">
                  <c:v>7 Kunnan eri keskusten välillä</c:v>
                </c:pt>
              </c:strCache>
            </c:strRef>
          </c:cat>
          <c:val>
            <c:numRef>
              <c:f>work!$D$169:$D$175</c:f>
              <c:numCache>
                <c:formatCode>0.0</c:formatCode>
                <c:ptCount val="7"/>
                <c:pt idx="0">
                  <c:v>3.32</c:v>
                </c:pt>
                <c:pt idx="1">
                  <c:v>3.6808510638297873</c:v>
                </c:pt>
                <c:pt idx="2">
                  <c:v>3.5869565217391304</c:v>
                </c:pt>
                <c:pt idx="3">
                  <c:v>3.4528301886792452</c:v>
                </c:pt>
                <c:pt idx="4">
                  <c:v>3.1509433962264151</c:v>
                </c:pt>
                <c:pt idx="5">
                  <c:v>3.3269230769230771</c:v>
                </c:pt>
                <c:pt idx="6">
                  <c:v>3.2244897959183674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4FD-97D7-E48149FAA7CA}"/>
            </c:ext>
          </c:extLst>
        </c:ser>
        <c:ser>
          <c:idx val="1"/>
          <c:order val="1"/>
          <c:tx>
            <c:strRef>
              <c:f>work!$C$168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work!$A$169:$A$175</c:f>
              <c:strCache>
                <c:ptCount val="7"/>
                <c:pt idx="0">
                  <c:v>1 Kaavoitus ja tonttipolitiikka</c:v>
                </c:pt>
                <c:pt idx="1">
                  <c:v>2 Rakennuslupien myöntäminen</c:v>
                </c:pt>
                <c:pt idx="2">
                  <c:v>3 Ympäristölupien myöntäminen</c:v>
                </c:pt>
                <c:pt idx="3">
                  <c:v>4 Julkiset hankinnat</c:v>
                </c:pt>
                <c:pt idx="4">
                  <c:v>5 Virkojen ja toimien täyttäminen</c:v>
                </c:pt>
                <c:pt idx="5">
                  <c:v>6 Avustusten jakaminen yhdistyksille ja ryhmille</c:v>
                </c:pt>
                <c:pt idx="6">
                  <c:v>7 Kunnan eri keskusten välillä</c:v>
                </c:pt>
              </c:strCache>
            </c:strRef>
          </c:cat>
          <c:val>
            <c:numRef>
              <c:f>work!$C$169:$C$175</c:f>
              <c:numCache>
                <c:formatCode>0.0</c:formatCode>
                <c:ptCount val="7"/>
                <c:pt idx="0">
                  <c:v>3.4524590163934428</c:v>
                </c:pt>
                <c:pt idx="1">
                  <c:v>3.7871621621621623</c:v>
                </c:pt>
                <c:pt idx="2">
                  <c:v>3.7824561403508774</c:v>
                </c:pt>
                <c:pt idx="3">
                  <c:v>3.5559210526315788</c:v>
                </c:pt>
                <c:pt idx="4">
                  <c:v>3.3656957928802589</c:v>
                </c:pt>
                <c:pt idx="5">
                  <c:v>3.3980582524271843</c:v>
                </c:pt>
                <c:pt idx="6">
                  <c:v>3.2751677852348995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4FD-97D7-E48149FAA7CA}"/>
            </c:ext>
          </c:extLst>
        </c:ser>
        <c:ser>
          <c:idx val="0"/>
          <c:order val="2"/>
          <c:tx>
            <c:strRef>
              <c:f>work!$B$168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work!$A$169:$A$175</c:f>
              <c:strCache>
                <c:ptCount val="7"/>
                <c:pt idx="0">
                  <c:v>1 Kaavoitus ja tonttipolitiikka</c:v>
                </c:pt>
                <c:pt idx="1">
                  <c:v>2 Rakennuslupien myöntäminen</c:v>
                </c:pt>
                <c:pt idx="2">
                  <c:v>3 Ympäristölupien myöntäminen</c:v>
                </c:pt>
                <c:pt idx="3">
                  <c:v>4 Julkiset hankinnat</c:v>
                </c:pt>
                <c:pt idx="4">
                  <c:v>5 Virkojen ja toimien täyttäminen</c:v>
                </c:pt>
                <c:pt idx="5">
                  <c:v>6 Avustusten jakaminen yhdistyksille ja ryhmille</c:v>
                </c:pt>
                <c:pt idx="6">
                  <c:v>7 Kunnan eri keskusten välillä</c:v>
                </c:pt>
              </c:strCache>
            </c:strRef>
          </c:cat>
          <c:val>
            <c:numRef>
              <c:f>work!$B$169:$B$175</c:f>
              <c:numCache>
                <c:formatCode>0.0</c:formatCode>
                <c:ptCount val="7"/>
                <c:pt idx="0">
                  <c:v>3.5639455782312925</c:v>
                </c:pt>
                <c:pt idx="1">
                  <c:v>3.8355400696864113</c:v>
                </c:pt>
                <c:pt idx="2">
                  <c:v>3.8228120516499282</c:v>
                </c:pt>
                <c:pt idx="3">
                  <c:v>3.6767955801104972</c:v>
                </c:pt>
                <c:pt idx="4">
                  <c:v>3.3614130434782608</c:v>
                </c:pt>
                <c:pt idx="5">
                  <c:v>3.5258855585831061</c:v>
                </c:pt>
                <c:pt idx="6">
                  <c:v>3.330275229357798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4FD-97D7-E48149FAA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0335"/>
        <c:axId val="1"/>
      </c:barChart>
      <c:catAx>
        <c:axId val="7421033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1033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16 Miten hyvin arvioit seuraavien asioiden edesauttavan toimintaasi kunnallisena luottamushenkilönä?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work!$D$9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work!$A$10:$A$24</c:f>
              <c:strCache>
                <c:ptCount val="15"/>
                <c:pt idx="0">
                  <c:v>1 Oma koulutus/tietopohja</c:v>
                </c:pt>
                <c:pt idx="1">
                  <c:v>2 Oma kokemus</c:v>
                </c:pt>
                <c:pt idx="2">
                  <c:v>3 Luottamushenkilökoulutus</c:v>
                </c:pt>
                <c:pt idx="3">
                  <c:v>4 Tiedonsaanti viranhaltijoilta</c:v>
                </c:pt>
                <c:pt idx="4">
                  <c:v>5 Osallistumismahdollisuudet valmisteluvaiheessa</c:v>
                </c:pt>
                <c:pt idx="5">
                  <c:v>6 Tiedonkulku kunnan organisaation sisällä</c:v>
                </c:pt>
                <c:pt idx="6">
                  <c:v>7 Valtuustoryhmän tuki</c:v>
                </c:pt>
                <c:pt idx="7">
                  <c:v>8 Kunnan päätöksentekokulttuuri</c:v>
                </c:pt>
                <c:pt idx="8">
                  <c:v>9 Palkkioiden riittävyys</c:v>
                </c:pt>
                <c:pt idx="9">
                  <c:v>10 Kunnan tarjoamat tilat ja välineet</c:v>
                </c:pt>
                <c:pt idx="10">
                  <c:v>11 Mahdollisuus hoitaa luottamustehtäviä osa- tai kokopäiväisesti</c:v>
                </c:pt>
                <c:pt idx="11">
                  <c:v>12 Työnantajan suhtautuminen luottamustehtävien hoitoon</c:v>
                </c:pt>
                <c:pt idx="12">
                  <c:v>13 Perhe-elämän ja luottamustehtävien yhteensovittaminen</c:v>
                </c:pt>
                <c:pt idx="13">
                  <c:v>14 Kuntalaisten tuki</c:v>
                </c:pt>
                <c:pt idx="14">
                  <c:v>15 Kunnallisten asioiden käsittely mediassa</c:v>
                </c:pt>
              </c:strCache>
            </c:strRef>
          </c:cat>
          <c:val>
            <c:numRef>
              <c:f>work!$D$10:$D$24</c:f>
              <c:numCache>
                <c:formatCode>0.0</c:formatCode>
                <c:ptCount val="15"/>
                <c:pt idx="0">
                  <c:v>4.25</c:v>
                </c:pt>
                <c:pt idx="1">
                  <c:v>4.365384615384615</c:v>
                </c:pt>
                <c:pt idx="2">
                  <c:v>2.9591836734693877</c:v>
                </c:pt>
                <c:pt idx="3">
                  <c:v>3.5</c:v>
                </c:pt>
                <c:pt idx="4">
                  <c:v>2.86</c:v>
                </c:pt>
                <c:pt idx="5">
                  <c:v>2.8</c:v>
                </c:pt>
                <c:pt idx="6">
                  <c:v>3.1346153846153846</c:v>
                </c:pt>
                <c:pt idx="7">
                  <c:v>2.6862745098039214</c:v>
                </c:pt>
                <c:pt idx="8">
                  <c:v>2.6923076923076925</c:v>
                </c:pt>
                <c:pt idx="9">
                  <c:v>2.9811320754716979</c:v>
                </c:pt>
                <c:pt idx="10">
                  <c:v>2.36</c:v>
                </c:pt>
                <c:pt idx="11">
                  <c:v>3.1956521739130435</c:v>
                </c:pt>
                <c:pt idx="12">
                  <c:v>3.6346153846153846</c:v>
                </c:pt>
                <c:pt idx="13">
                  <c:v>3.5769230769230771</c:v>
                </c:pt>
                <c:pt idx="14">
                  <c:v>2.9807692307692308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1-4A8C-B697-11E8914B3B8C}"/>
            </c:ext>
          </c:extLst>
        </c:ser>
        <c:ser>
          <c:idx val="1"/>
          <c:order val="1"/>
          <c:tx>
            <c:strRef>
              <c:f>work!$C$9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work!$A$10:$A$24</c:f>
              <c:strCache>
                <c:ptCount val="15"/>
                <c:pt idx="0">
                  <c:v>1 Oma koulutus/tietopohja</c:v>
                </c:pt>
                <c:pt idx="1">
                  <c:v>2 Oma kokemus</c:v>
                </c:pt>
                <c:pt idx="2">
                  <c:v>3 Luottamushenkilökoulutus</c:v>
                </c:pt>
                <c:pt idx="3">
                  <c:v>4 Tiedonsaanti viranhaltijoilta</c:v>
                </c:pt>
                <c:pt idx="4">
                  <c:v>5 Osallistumismahdollisuudet valmisteluvaiheessa</c:v>
                </c:pt>
                <c:pt idx="5">
                  <c:v>6 Tiedonkulku kunnan organisaation sisällä</c:v>
                </c:pt>
                <c:pt idx="6">
                  <c:v>7 Valtuustoryhmän tuki</c:v>
                </c:pt>
                <c:pt idx="7">
                  <c:v>8 Kunnan päätöksentekokulttuuri</c:v>
                </c:pt>
                <c:pt idx="8">
                  <c:v>9 Palkkioiden riittävyys</c:v>
                </c:pt>
                <c:pt idx="9">
                  <c:v>10 Kunnan tarjoamat tilat ja välineet</c:v>
                </c:pt>
                <c:pt idx="10">
                  <c:v>11 Mahdollisuus hoitaa luottamustehtäviä osa- tai kokopäiväisesti</c:v>
                </c:pt>
                <c:pt idx="11">
                  <c:v>12 Työnantajan suhtautuminen luottamustehtävien hoitoon</c:v>
                </c:pt>
                <c:pt idx="12">
                  <c:v>13 Perhe-elämän ja luottamustehtävien yhteensovittaminen</c:v>
                </c:pt>
                <c:pt idx="13">
                  <c:v>14 Kuntalaisten tuki</c:v>
                </c:pt>
                <c:pt idx="14">
                  <c:v>15 Kunnallisten asioiden käsittely mediassa</c:v>
                </c:pt>
              </c:strCache>
            </c:strRef>
          </c:cat>
          <c:val>
            <c:numRef>
              <c:f>work!$C$10:$C$24</c:f>
              <c:numCache>
                <c:formatCode>0.0</c:formatCode>
                <c:ptCount val="15"/>
                <c:pt idx="0">
                  <c:v>4.1038062283737027</c:v>
                </c:pt>
                <c:pt idx="1">
                  <c:v>4.3037542662116044</c:v>
                </c:pt>
                <c:pt idx="2">
                  <c:v>3.0209059233449476</c:v>
                </c:pt>
                <c:pt idx="3">
                  <c:v>3.4417808219178081</c:v>
                </c:pt>
                <c:pt idx="4">
                  <c:v>3.0240549828178693</c:v>
                </c:pt>
                <c:pt idx="5">
                  <c:v>2.9209621993127146</c:v>
                </c:pt>
                <c:pt idx="6">
                  <c:v>3.3630136986301369</c:v>
                </c:pt>
                <c:pt idx="7">
                  <c:v>2.6585365853658538</c:v>
                </c:pt>
                <c:pt idx="8">
                  <c:v>2.6907216494845363</c:v>
                </c:pt>
                <c:pt idx="9">
                  <c:v>3.21160409556314</c:v>
                </c:pt>
                <c:pt idx="10">
                  <c:v>2.5992779783393503</c:v>
                </c:pt>
                <c:pt idx="11">
                  <c:v>3.4940239043824701</c:v>
                </c:pt>
                <c:pt idx="12">
                  <c:v>3.5813148788927336</c:v>
                </c:pt>
                <c:pt idx="13">
                  <c:v>3.6262975778546713</c:v>
                </c:pt>
                <c:pt idx="14">
                  <c:v>2.9688581314878895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1-4A8C-B697-11E8914B3B8C}"/>
            </c:ext>
          </c:extLst>
        </c:ser>
        <c:ser>
          <c:idx val="0"/>
          <c:order val="2"/>
          <c:tx>
            <c:strRef>
              <c:f>work!$B$9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work!$A$10:$A$24</c:f>
              <c:strCache>
                <c:ptCount val="15"/>
                <c:pt idx="0">
                  <c:v>1 Oma koulutus/tietopohja</c:v>
                </c:pt>
                <c:pt idx="1">
                  <c:v>2 Oma kokemus</c:v>
                </c:pt>
                <c:pt idx="2">
                  <c:v>3 Luottamushenkilökoulutus</c:v>
                </c:pt>
                <c:pt idx="3">
                  <c:v>4 Tiedonsaanti viranhaltijoilta</c:v>
                </c:pt>
                <c:pt idx="4">
                  <c:v>5 Osallistumismahdollisuudet valmisteluvaiheessa</c:v>
                </c:pt>
                <c:pt idx="5">
                  <c:v>6 Tiedonkulku kunnan organisaation sisällä</c:v>
                </c:pt>
                <c:pt idx="6">
                  <c:v>7 Valtuustoryhmän tuki</c:v>
                </c:pt>
                <c:pt idx="7">
                  <c:v>8 Kunnan päätöksentekokulttuuri</c:v>
                </c:pt>
                <c:pt idx="8">
                  <c:v>9 Palkkioiden riittävyys</c:v>
                </c:pt>
                <c:pt idx="9">
                  <c:v>10 Kunnan tarjoamat tilat ja välineet</c:v>
                </c:pt>
                <c:pt idx="10">
                  <c:v>11 Mahdollisuus hoitaa luottamustehtäviä osa- tai kokopäiväisesti</c:v>
                </c:pt>
                <c:pt idx="11">
                  <c:v>12 Työnantajan suhtautuminen luottamustehtävien hoitoon</c:v>
                </c:pt>
                <c:pt idx="12">
                  <c:v>13 Perhe-elämän ja luottamustehtävien yhteensovittaminen</c:v>
                </c:pt>
                <c:pt idx="13">
                  <c:v>14 Kuntalaisten tuki</c:v>
                </c:pt>
                <c:pt idx="14">
                  <c:v>15 Kunnallisten asioiden käsittely mediassa</c:v>
                </c:pt>
              </c:strCache>
            </c:strRef>
          </c:cat>
          <c:val>
            <c:numRef>
              <c:f>work!$B$10:$B$24</c:f>
              <c:numCache>
                <c:formatCode>0.0</c:formatCode>
                <c:ptCount val="15"/>
                <c:pt idx="0">
                  <c:v>4.05</c:v>
                </c:pt>
                <c:pt idx="1">
                  <c:v>4.25</c:v>
                </c:pt>
                <c:pt idx="2">
                  <c:v>2.96</c:v>
                </c:pt>
                <c:pt idx="3">
                  <c:v>3.5</c:v>
                </c:pt>
                <c:pt idx="4">
                  <c:v>3.08</c:v>
                </c:pt>
                <c:pt idx="5">
                  <c:v>2.95</c:v>
                </c:pt>
                <c:pt idx="6">
                  <c:v>3.39</c:v>
                </c:pt>
                <c:pt idx="7">
                  <c:v>2.83</c:v>
                </c:pt>
                <c:pt idx="8">
                  <c:v>2.64</c:v>
                </c:pt>
                <c:pt idx="9">
                  <c:v>3.18</c:v>
                </c:pt>
                <c:pt idx="10">
                  <c:v>2.37</c:v>
                </c:pt>
                <c:pt idx="11">
                  <c:v>3.46</c:v>
                </c:pt>
                <c:pt idx="12">
                  <c:v>3.49</c:v>
                </c:pt>
                <c:pt idx="13">
                  <c:v>3.57</c:v>
                </c:pt>
                <c:pt idx="14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1-4A8C-B697-11E8914B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2831"/>
        <c:axId val="1"/>
      </c:barChart>
      <c:catAx>
        <c:axId val="7421283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12831"/>
        <c:crosses val="autoZero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K 15 Ajankäyttö luottamustehtäviin keskimäärin tuntia/viikko (vain valtuusto)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work!$C$6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work!$A$7:$B$7</c:f>
              <c:strCache>
                <c:ptCount val="1"/>
                <c:pt idx="0">
                  <c:v>Ajankäyttö luottamustehtäviin keskimäärin tuntia/viikko (vain valtuusto)</c:v>
                </c:pt>
              </c:strCache>
            </c:strRef>
          </c:cat>
          <c:val>
            <c:numRef>
              <c:f>work!$C$7</c:f>
              <c:numCache>
                <c:formatCode>0.0</c:formatCode>
                <c:ptCount val="1"/>
                <c:pt idx="0">
                  <c:v>11.421052631578947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0-4232-9D19-0ECAD6FFA7B3}"/>
            </c:ext>
          </c:extLst>
        </c:ser>
        <c:ser>
          <c:idx val="1"/>
          <c:order val="1"/>
          <c:tx>
            <c:strRef>
              <c:f>work!$D$6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work!$A$7:$B$7</c:f>
              <c:strCache>
                <c:ptCount val="1"/>
                <c:pt idx="0">
                  <c:v>Ajankäyttö luottamustehtäviin keskimäärin tuntia/viikko (vain valtuusto)</c:v>
                </c:pt>
              </c:strCache>
            </c:strRef>
          </c:cat>
          <c:val>
            <c:numRef>
              <c:f>work!$D$7</c:f>
              <c:numCache>
                <c:formatCode>0.0</c:formatCode>
                <c:ptCount val="1"/>
                <c:pt idx="0">
                  <c:v>11.466666666666667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0-4232-9D19-0ECAD6FF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45871"/>
        <c:axId val="1"/>
      </c:barChart>
      <c:catAx>
        <c:axId val="203664587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036645871"/>
        <c:crosses val="autoZero"/>
        <c:crossBetween val="between"/>
        <c:majorUnit val="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Terveyspalvelujen saatavuus ja saavutettavuus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work!$D$177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work!$A$178:$A$186</c:f>
              <c:strCache>
                <c:ptCount val="9"/>
                <c:pt idx="0">
                  <c:v>1 Terveyskeskuksen lääkärivastaanotto</c:v>
                </c:pt>
                <c:pt idx="1">
                  <c:v>2 Sairaan-/terveydenhoitajan vastaanotto</c:v>
                </c:pt>
                <c:pt idx="2">
                  <c:v>3 Hammashoito</c:v>
                </c:pt>
                <c:pt idx="3">
                  <c:v>4 Äitiys- ja lastenneuvola</c:v>
                </c:pt>
                <c:pt idx="4">
                  <c:v>5 Kouluterveydenhuolto</c:v>
                </c:pt>
                <c:pt idx="5">
                  <c:v>6 Sairaalahoito</c:v>
                </c:pt>
                <c:pt idx="6">
                  <c:v>7 Kotisairaanhoito</c:v>
                </c:pt>
                <c:pt idx="7">
                  <c:v>8 Terveyskeskuksen vuodeosasto</c:v>
                </c:pt>
                <c:pt idx="8">
                  <c:v>9 Mielenterveyspalvelut</c:v>
                </c:pt>
              </c:strCache>
            </c:strRef>
          </c:cat>
          <c:val>
            <c:numRef>
              <c:f>work!$D$178:$D$186</c:f>
              <c:numCache>
                <c:formatCode>0.0</c:formatCode>
                <c:ptCount val="9"/>
                <c:pt idx="0">
                  <c:v>2.6071428571428572</c:v>
                </c:pt>
                <c:pt idx="1">
                  <c:v>3.5272727272727273</c:v>
                </c:pt>
                <c:pt idx="2">
                  <c:v>2.5192307692307692</c:v>
                </c:pt>
                <c:pt idx="3">
                  <c:v>4.0952380952380949</c:v>
                </c:pt>
                <c:pt idx="4">
                  <c:v>3.847826086956522</c:v>
                </c:pt>
                <c:pt idx="5">
                  <c:v>3.75</c:v>
                </c:pt>
                <c:pt idx="6">
                  <c:v>3.4545454545454546</c:v>
                </c:pt>
                <c:pt idx="7">
                  <c:v>3.0909090909090908</c:v>
                </c:pt>
                <c:pt idx="8">
                  <c:v>2.3829787234042552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1-4763-929F-41F14360ECA8}"/>
            </c:ext>
          </c:extLst>
        </c:ser>
        <c:ser>
          <c:idx val="1"/>
          <c:order val="1"/>
          <c:tx>
            <c:strRef>
              <c:f>work!$C$177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work!$A$178:$A$186</c:f>
              <c:strCache>
                <c:ptCount val="9"/>
                <c:pt idx="0">
                  <c:v>1 Terveyskeskuksen lääkärivastaanotto</c:v>
                </c:pt>
                <c:pt idx="1">
                  <c:v>2 Sairaan-/terveydenhoitajan vastaanotto</c:v>
                </c:pt>
                <c:pt idx="2">
                  <c:v>3 Hammashoito</c:v>
                </c:pt>
                <c:pt idx="3">
                  <c:v>4 Äitiys- ja lastenneuvola</c:v>
                </c:pt>
                <c:pt idx="4">
                  <c:v>5 Kouluterveydenhuolto</c:v>
                </c:pt>
                <c:pt idx="5">
                  <c:v>6 Sairaalahoito</c:v>
                </c:pt>
                <c:pt idx="6">
                  <c:v>7 Kotisairaanhoito</c:v>
                </c:pt>
                <c:pt idx="7">
                  <c:v>8 Terveyskeskuksen vuodeosasto</c:v>
                </c:pt>
                <c:pt idx="8">
                  <c:v>9 Mielenterveyspalvelut</c:v>
                </c:pt>
              </c:strCache>
            </c:strRef>
          </c:cat>
          <c:val>
            <c:numRef>
              <c:f>work!$C$178:$C$186</c:f>
              <c:numCache>
                <c:formatCode>0.0</c:formatCode>
                <c:ptCount val="9"/>
                <c:pt idx="0">
                  <c:v>3.125</c:v>
                </c:pt>
                <c:pt idx="1">
                  <c:v>3.6873065015479876</c:v>
                </c:pt>
                <c:pt idx="2">
                  <c:v>2.9581993569131835</c:v>
                </c:pt>
                <c:pt idx="3">
                  <c:v>4.0807692307692305</c:v>
                </c:pt>
                <c:pt idx="4">
                  <c:v>3.7615658362989324</c:v>
                </c:pt>
                <c:pt idx="5">
                  <c:v>3.8797468354430378</c:v>
                </c:pt>
                <c:pt idx="6">
                  <c:v>3.5836431226765799</c:v>
                </c:pt>
                <c:pt idx="7">
                  <c:v>3.4210526315789473</c:v>
                </c:pt>
                <c:pt idx="8">
                  <c:v>3.0451127819548871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1-4763-929F-41F14360ECA8}"/>
            </c:ext>
          </c:extLst>
        </c:ser>
        <c:ser>
          <c:idx val="0"/>
          <c:order val="2"/>
          <c:tx>
            <c:strRef>
              <c:f>work!$B$177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work!$A$178:$A$186</c:f>
              <c:strCache>
                <c:ptCount val="9"/>
                <c:pt idx="0">
                  <c:v>1 Terveyskeskuksen lääkärivastaanotto</c:v>
                </c:pt>
                <c:pt idx="1">
                  <c:v>2 Sairaan-/terveydenhoitajan vastaanotto</c:v>
                </c:pt>
                <c:pt idx="2">
                  <c:v>3 Hammashoito</c:v>
                </c:pt>
                <c:pt idx="3">
                  <c:v>4 Äitiys- ja lastenneuvola</c:v>
                </c:pt>
                <c:pt idx="4">
                  <c:v>5 Kouluterveydenhuolto</c:v>
                </c:pt>
                <c:pt idx="5">
                  <c:v>6 Sairaalahoito</c:v>
                </c:pt>
                <c:pt idx="6">
                  <c:v>7 Kotisairaanhoito</c:v>
                </c:pt>
                <c:pt idx="7">
                  <c:v>8 Terveyskeskuksen vuodeosasto</c:v>
                </c:pt>
                <c:pt idx="8">
                  <c:v>9 Mielenterveyspalvelut</c:v>
                </c:pt>
              </c:strCache>
            </c:strRef>
          </c:cat>
          <c:val>
            <c:numRef>
              <c:f>work!$B$178:$B$186</c:f>
              <c:numCache>
                <c:formatCode>0.0</c:formatCode>
                <c:ptCount val="9"/>
                <c:pt idx="0">
                  <c:v>3.4676258992805757</c:v>
                </c:pt>
                <c:pt idx="1">
                  <c:v>3.9043535620052769</c:v>
                </c:pt>
                <c:pt idx="2">
                  <c:v>3.3215978334461749</c:v>
                </c:pt>
                <c:pt idx="3">
                  <c:v>4.2018853102906517</c:v>
                </c:pt>
                <c:pt idx="4">
                  <c:v>3.9599109131403116</c:v>
                </c:pt>
                <c:pt idx="5">
                  <c:v>3.8895104895104895</c:v>
                </c:pt>
                <c:pt idx="6">
                  <c:v>3.6623897353648758</c:v>
                </c:pt>
                <c:pt idx="7">
                  <c:v>3.596930533117932</c:v>
                </c:pt>
                <c:pt idx="8">
                  <c:v>3.1711568938193344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1-4763-929F-41F14360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2415"/>
        <c:axId val="1"/>
      </c:barChart>
      <c:catAx>
        <c:axId val="7421241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1241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Sosiaalipalvelujen saatavuus ja saavutettavuus</a:t>
            </a:r>
          </a:p>
        </c:rich>
      </c:tx>
      <c:layout>
        <c:manualLayout>
          <c:xMode val="edge"/>
          <c:yMode val="edge"/>
          <c:x val="0.28749798748796734"/>
          <c:y val="1.803839168331030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work!$D$187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work!$A$188:$A$196</c:f>
              <c:strCache>
                <c:ptCount val="9"/>
                <c:pt idx="0">
                  <c:v>10 Vanhusten palveluasuminen (esim. palvelutalo)</c:v>
                </c:pt>
                <c:pt idx="1">
                  <c:v>11 Vanhusten laitoshoito (esim. vanhainkoti)</c:v>
                </c:pt>
                <c:pt idx="2">
                  <c:v>12 Vanhusten kotipalvelu</c:v>
                </c:pt>
                <c:pt idx="3">
                  <c:v>13 Lapsiperheiden kotipalvelu</c:v>
                </c:pt>
                <c:pt idx="4">
                  <c:v>14 Perheneuvola</c:v>
                </c:pt>
                <c:pt idx="5">
                  <c:v>15 Lastensuojelun palvelut</c:v>
                </c:pt>
                <c:pt idx="6">
                  <c:v>16 Vammaisten palvelut</c:v>
                </c:pt>
                <c:pt idx="7">
                  <c:v>17 Päihdepalvelut</c:v>
                </c:pt>
                <c:pt idx="8">
                  <c:v>18 Toimeentulotuki</c:v>
                </c:pt>
              </c:strCache>
            </c:strRef>
          </c:cat>
          <c:val>
            <c:numRef>
              <c:f>work!$D$188:$D$196</c:f>
              <c:numCache>
                <c:formatCode>0.0</c:formatCode>
                <c:ptCount val="9"/>
                <c:pt idx="0">
                  <c:v>3.1836734693877551</c:v>
                </c:pt>
                <c:pt idx="1">
                  <c:v>3</c:v>
                </c:pt>
                <c:pt idx="2">
                  <c:v>3.28</c:v>
                </c:pt>
                <c:pt idx="3">
                  <c:v>3</c:v>
                </c:pt>
                <c:pt idx="4">
                  <c:v>3.2954545454545454</c:v>
                </c:pt>
                <c:pt idx="5">
                  <c:v>3.1666666666666665</c:v>
                </c:pt>
                <c:pt idx="6">
                  <c:v>3.5714285714285716</c:v>
                </c:pt>
                <c:pt idx="7">
                  <c:v>3.0217391304347827</c:v>
                </c:pt>
                <c:pt idx="8">
                  <c:v>3.1333333333333333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1-4684-94C7-45ED979FC1AF}"/>
            </c:ext>
          </c:extLst>
        </c:ser>
        <c:ser>
          <c:idx val="1"/>
          <c:order val="1"/>
          <c:tx>
            <c:strRef>
              <c:f>work!$C$187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work!$A$188:$A$196</c:f>
              <c:strCache>
                <c:ptCount val="9"/>
                <c:pt idx="0">
                  <c:v>10 Vanhusten palveluasuminen (esim. palvelutalo)</c:v>
                </c:pt>
                <c:pt idx="1">
                  <c:v>11 Vanhusten laitoshoito (esim. vanhainkoti)</c:v>
                </c:pt>
                <c:pt idx="2">
                  <c:v>12 Vanhusten kotipalvelu</c:v>
                </c:pt>
                <c:pt idx="3">
                  <c:v>13 Lapsiperheiden kotipalvelu</c:v>
                </c:pt>
                <c:pt idx="4">
                  <c:v>14 Perheneuvola</c:v>
                </c:pt>
                <c:pt idx="5">
                  <c:v>15 Lastensuojelun palvelut</c:v>
                </c:pt>
                <c:pt idx="6">
                  <c:v>16 Vammaisten palvelut</c:v>
                </c:pt>
                <c:pt idx="7">
                  <c:v>17 Päihdepalvelut</c:v>
                </c:pt>
                <c:pt idx="8">
                  <c:v>18 Toimeentulotuki</c:v>
                </c:pt>
              </c:strCache>
            </c:strRef>
          </c:cat>
          <c:val>
            <c:numRef>
              <c:f>work!$C$188:$C$196</c:f>
              <c:numCache>
                <c:formatCode>0.0</c:formatCode>
                <c:ptCount val="9"/>
                <c:pt idx="0">
                  <c:v>3.2857142857142856</c:v>
                </c:pt>
                <c:pt idx="1">
                  <c:v>3.049122807017544</c:v>
                </c:pt>
                <c:pt idx="2">
                  <c:v>3.2696245733788394</c:v>
                </c:pt>
                <c:pt idx="3">
                  <c:v>2.9767441860465116</c:v>
                </c:pt>
                <c:pt idx="4">
                  <c:v>3.4594594594594597</c:v>
                </c:pt>
                <c:pt idx="5">
                  <c:v>3.283582089552239</c:v>
                </c:pt>
                <c:pt idx="6">
                  <c:v>3.4962406015037595</c:v>
                </c:pt>
                <c:pt idx="7">
                  <c:v>3.3664122137404582</c:v>
                </c:pt>
                <c:pt idx="8">
                  <c:v>3.2781954887218046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1-4684-94C7-45ED979FC1AF}"/>
            </c:ext>
          </c:extLst>
        </c:ser>
        <c:ser>
          <c:idx val="0"/>
          <c:order val="2"/>
          <c:tx>
            <c:strRef>
              <c:f>work!$B$187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work!$A$188:$A$196</c:f>
              <c:strCache>
                <c:ptCount val="9"/>
                <c:pt idx="0">
                  <c:v>10 Vanhusten palveluasuminen (esim. palvelutalo)</c:v>
                </c:pt>
                <c:pt idx="1">
                  <c:v>11 Vanhusten laitoshoito (esim. vanhainkoti)</c:v>
                </c:pt>
                <c:pt idx="2">
                  <c:v>12 Vanhusten kotipalvelu</c:v>
                </c:pt>
                <c:pt idx="3">
                  <c:v>13 Lapsiperheiden kotipalvelu</c:v>
                </c:pt>
                <c:pt idx="4">
                  <c:v>14 Perheneuvola</c:v>
                </c:pt>
                <c:pt idx="5">
                  <c:v>15 Lastensuojelun palvelut</c:v>
                </c:pt>
                <c:pt idx="6">
                  <c:v>16 Vammaisten palvelut</c:v>
                </c:pt>
                <c:pt idx="7">
                  <c:v>17 Päihdepalvelut</c:v>
                </c:pt>
                <c:pt idx="8">
                  <c:v>18 Toimeentulotuki</c:v>
                </c:pt>
              </c:strCache>
            </c:strRef>
          </c:cat>
          <c:val>
            <c:numRef>
              <c:f>work!$B$188:$B$196</c:f>
              <c:numCache>
                <c:formatCode>0.0</c:formatCode>
                <c:ptCount val="9"/>
                <c:pt idx="0">
                  <c:v>3.4688618468146029</c:v>
                </c:pt>
                <c:pt idx="1">
                  <c:v>3.3002936857562406</c:v>
                </c:pt>
                <c:pt idx="2">
                  <c:v>3.4804630969609263</c:v>
                </c:pt>
                <c:pt idx="3">
                  <c:v>3.0796747967479674</c:v>
                </c:pt>
                <c:pt idx="4">
                  <c:v>3.5783521809369954</c:v>
                </c:pt>
                <c:pt idx="5">
                  <c:v>3.4150653343581858</c:v>
                </c:pt>
                <c:pt idx="6">
                  <c:v>3.5936037441497661</c:v>
                </c:pt>
                <c:pt idx="7">
                  <c:v>3.3216896831844029</c:v>
                </c:pt>
                <c:pt idx="8">
                  <c:v>3.4745351657235246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1-4684-94C7-45ED979FC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4079"/>
        <c:axId val="1"/>
      </c:barChart>
      <c:catAx>
        <c:axId val="74214079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14079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Koulutuspalvelujen saatavuus ja saavutettavuus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work!$D$197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work!$A$198:$A$207</c:f>
              <c:strCache>
                <c:ptCount val="10"/>
                <c:pt idx="0">
                  <c:v>19 Lasten päivähoito</c:v>
                </c:pt>
                <c:pt idx="1">
                  <c:v>20 Esiopetus</c:v>
                </c:pt>
                <c:pt idx="2">
                  <c:v>21 Perusopetus, luokat 1-6</c:v>
                </c:pt>
                <c:pt idx="3">
                  <c:v>22 Perusopetus, luokat 7-9</c:v>
                </c:pt>
                <c:pt idx="4">
                  <c:v>23 Lukiokoulutus</c:v>
                </c:pt>
                <c:pt idx="5">
                  <c:v>24 Ammatillinen koulutus</c:v>
                </c:pt>
                <c:pt idx="6">
                  <c:v>25 Erityisopetus</c:v>
                </c:pt>
                <c:pt idx="7">
                  <c:v>26 Oppilas-/opiskelijahuolto</c:v>
                </c:pt>
                <c:pt idx="8">
                  <c:v>27 Aamu- tai iltapäivätoiminta</c:v>
                </c:pt>
                <c:pt idx="9">
                  <c:v>28 Oppilaiden koulukuljetus</c:v>
                </c:pt>
              </c:strCache>
            </c:strRef>
          </c:cat>
          <c:val>
            <c:numRef>
              <c:f>work!$D$198:$D$207</c:f>
              <c:numCache>
                <c:formatCode>0.0</c:formatCode>
                <c:ptCount val="10"/>
                <c:pt idx="0">
                  <c:v>4.166666666666667</c:v>
                </c:pt>
                <c:pt idx="1">
                  <c:v>4.3888888888888893</c:v>
                </c:pt>
                <c:pt idx="2">
                  <c:v>4.3214285714285712</c:v>
                </c:pt>
                <c:pt idx="3">
                  <c:v>4.4107142857142856</c:v>
                </c:pt>
                <c:pt idx="4">
                  <c:v>4.4107142857142856</c:v>
                </c:pt>
                <c:pt idx="5">
                  <c:v>4.4210526315789478</c:v>
                </c:pt>
                <c:pt idx="6">
                  <c:v>3.9411764705882355</c:v>
                </c:pt>
                <c:pt idx="7">
                  <c:v>3.8163265306122449</c:v>
                </c:pt>
                <c:pt idx="8">
                  <c:v>3.66</c:v>
                </c:pt>
                <c:pt idx="9">
                  <c:v>3.6734693877551021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5-4E1F-96C4-4C8E98DB6FA3}"/>
            </c:ext>
          </c:extLst>
        </c:ser>
        <c:ser>
          <c:idx val="1"/>
          <c:order val="1"/>
          <c:tx>
            <c:strRef>
              <c:f>work!$C$197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work!$A$198:$A$207</c:f>
              <c:strCache>
                <c:ptCount val="10"/>
                <c:pt idx="0">
                  <c:v>19 Lasten päivähoito</c:v>
                </c:pt>
                <c:pt idx="1">
                  <c:v>20 Esiopetus</c:v>
                </c:pt>
                <c:pt idx="2">
                  <c:v>21 Perusopetus, luokat 1-6</c:v>
                </c:pt>
                <c:pt idx="3">
                  <c:v>22 Perusopetus, luokat 7-9</c:v>
                </c:pt>
                <c:pt idx="4">
                  <c:v>23 Lukiokoulutus</c:v>
                </c:pt>
                <c:pt idx="5">
                  <c:v>24 Ammatillinen koulutus</c:v>
                </c:pt>
                <c:pt idx="6">
                  <c:v>25 Erityisopetus</c:v>
                </c:pt>
                <c:pt idx="7">
                  <c:v>26 Oppilas-/opiskelijahuolto</c:v>
                </c:pt>
                <c:pt idx="8">
                  <c:v>27 Aamu- tai iltapäivätoiminta</c:v>
                </c:pt>
                <c:pt idx="9">
                  <c:v>28 Oppilaiden koulukuljetus</c:v>
                </c:pt>
              </c:strCache>
            </c:strRef>
          </c:cat>
          <c:val>
            <c:numRef>
              <c:f>work!$C$198:$C$207</c:f>
              <c:numCache>
                <c:formatCode>0.0</c:formatCode>
                <c:ptCount val="10"/>
                <c:pt idx="0">
                  <c:v>4.0451612903225804</c:v>
                </c:pt>
                <c:pt idx="1">
                  <c:v>4.2548387096774194</c:v>
                </c:pt>
                <c:pt idx="2">
                  <c:v>4.221498371335505</c:v>
                </c:pt>
                <c:pt idx="3">
                  <c:v>4.2290322580645165</c:v>
                </c:pt>
                <c:pt idx="4">
                  <c:v>4.1560509554140124</c:v>
                </c:pt>
                <c:pt idx="5">
                  <c:v>4.1619047619047622</c:v>
                </c:pt>
                <c:pt idx="6">
                  <c:v>3.8222996515679442</c:v>
                </c:pt>
                <c:pt idx="7">
                  <c:v>3.6325088339222615</c:v>
                </c:pt>
                <c:pt idx="8">
                  <c:v>3.6271777003484322</c:v>
                </c:pt>
                <c:pt idx="9">
                  <c:v>3.7132867132867133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5-4E1F-96C4-4C8E98DB6FA3}"/>
            </c:ext>
          </c:extLst>
        </c:ser>
        <c:ser>
          <c:idx val="0"/>
          <c:order val="2"/>
          <c:tx>
            <c:strRef>
              <c:f>work!$B$197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work!$A$198:$A$207</c:f>
              <c:strCache>
                <c:ptCount val="10"/>
                <c:pt idx="0">
                  <c:v>19 Lasten päivähoito</c:v>
                </c:pt>
                <c:pt idx="1">
                  <c:v>20 Esiopetus</c:v>
                </c:pt>
                <c:pt idx="2">
                  <c:v>21 Perusopetus, luokat 1-6</c:v>
                </c:pt>
                <c:pt idx="3">
                  <c:v>22 Perusopetus, luokat 7-9</c:v>
                </c:pt>
                <c:pt idx="4">
                  <c:v>23 Lukiokoulutus</c:v>
                </c:pt>
                <c:pt idx="5">
                  <c:v>24 Ammatillinen koulutus</c:v>
                </c:pt>
                <c:pt idx="6">
                  <c:v>25 Erityisopetus</c:v>
                </c:pt>
                <c:pt idx="7">
                  <c:v>26 Oppilas-/opiskelijahuolto</c:v>
                </c:pt>
                <c:pt idx="8">
                  <c:v>27 Aamu- tai iltapäivätoiminta</c:v>
                </c:pt>
                <c:pt idx="9">
                  <c:v>28 Oppilaiden koulukuljetus</c:v>
                </c:pt>
              </c:strCache>
            </c:strRef>
          </c:cat>
          <c:val>
            <c:numRef>
              <c:f>work!$B$198:$B$207</c:f>
              <c:numCache>
                <c:formatCode>0.0</c:formatCode>
                <c:ptCount val="10"/>
                <c:pt idx="0">
                  <c:v>4.2121212121212119</c:v>
                </c:pt>
                <c:pt idx="1">
                  <c:v>4.3577235772357721</c:v>
                </c:pt>
                <c:pt idx="2">
                  <c:v>4.3790540540540537</c:v>
                </c:pt>
                <c:pt idx="3">
                  <c:v>4.3700947225981057</c:v>
                </c:pt>
                <c:pt idx="4">
                  <c:v>4.2109533468559839</c:v>
                </c:pt>
                <c:pt idx="5">
                  <c:v>3.8281036834924964</c:v>
                </c:pt>
                <c:pt idx="6">
                  <c:v>3.8870139398385914</c:v>
                </c:pt>
                <c:pt idx="7">
                  <c:v>3.723644578313253</c:v>
                </c:pt>
                <c:pt idx="8">
                  <c:v>3.804614275414564</c:v>
                </c:pt>
                <c:pt idx="9">
                  <c:v>3.9063400576368874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5-4E1F-96C4-4C8E98DB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3663"/>
        <c:axId val="1"/>
      </c:barChart>
      <c:catAx>
        <c:axId val="74213663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13663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Sivistys- ja kulttuuripalvelujen saatavuus ja saavutettavuus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work!$D$208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work!$A$209:$A$213</c:f>
              <c:strCache>
                <c:ptCount val="5"/>
                <c:pt idx="0">
                  <c:v>29 Kansalais- ja työväenopisto</c:v>
                </c:pt>
                <c:pt idx="1">
                  <c:v>30 Kirjastopalvelut</c:v>
                </c:pt>
                <c:pt idx="2">
                  <c:v>31 Kulttuuripalvelut</c:v>
                </c:pt>
                <c:pt idx="3">
                  <c:v>32 Liikuntapalvelut</c:v>
                </c:pt>
                <c:pt idx="4">
                  <c:v>33 Nuorisopalvelut</c:v>
                </c:pt>
              </c:strCache>
            </c:strRef>
          </c:cat>
          <c:val>
            <c:numRef>
              <c:f>work!$D$209:$D$213</c:f>
              <c:numCache>
                <c:formatCode>0.0</c:formatCode>
                <c:ptCount val="5"/>
                <c:pt idx="0">
                  <c:v>4.5454545454545459</c:v>
                </c:pt>
                <c:pt idx="1">
                  <c:v>4.4385964912280702</c:v>
                </c:pt>
                <c:pt idx="2">
                  <c:v>4.290909090909091</c:v>
                </c:pt>
                <c:pt idx="3">
                  <c:v>4.3207547169811322</c:v>
                </c:pt>
                <c:pt idx="4">
                  <c:v>3.9074074074074074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F-468B-A62E-4FE263801095}"/>
            </c:ext>
          </c:extLst>
        </c:ser>
        <c:ser>
          <c:idx val="1"/>
          <c:order val="1"/>
          <c:tx>
            <c:strRef>
              <c:f>work!$C$208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work!$A$209:$A$213</c:f>
              <c:strCache>
                <c:ptCount val="5"/>
                <c:pt idx="0">
                  <c:v>29 Kansalais- ja työväenopisto</c:v>
                </c:pt>
                <c:pt idx="1">
                  <c:v>30 Kirjastopalvelut</c:v>
                </c:pt>
                <c:pt idx="2">
                  <c:v>31 Kulttuuripalvelut</c:v>
                </c:pt>
                <c:pt idx="3">
                  <c:v>32 Liikuntapalvelut</c:v>
                </c:pt>
                <c:pt idx="4">
                  <c:v>33 Nuorisopalvelut</c:v>
                </c:pt>
              </c:strCache>
            </c:strRef>
          </c:cat>
          <c:val>
            <c:numRef>
              <c:f>work!$C$209:$C$213</c:f>
              <c:numCache>
                <c:formatCode>0.0</c:formatCode>
                <c:ptCount val="5"/>
                <c:pt idx="0">
                  <c:v>4.2093749999999996</c:v>
                </c:pt>
                <c:pt idx="1">
                  <c:v>4.4133738601823707</c:v>
                </c:pt>
                <c:pt idx="2">
                  <c:v>4.2129629629629628</c:v>
                </c:pt>
                <c:pt idx="3">
                  <c:v>4.3343653250773997</c:v>
                </c:pt>
                <c:pt idx="4">
                  <c:v>3.8181818181818183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F-468B-A62E-4FE263801095}"/>
            </c:ext>
          </c:extLst>
        </c:ser>
        <c:ser>
          <c:idx val="0"/>
          <c:order val="2"/>
          <c:tx>
            <c:strRef>
              <c:f>work!$B$208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work!$A$209:$A$213</c:f>
              <c:strCache>
                <c:ptCount val="5"/>
                <c:pt idx="0">
                  <c:v>29 Kansalais- ja työväenopisto</c:v>
                </c:pt>
                <c:pt idx="1">
                  <c:v>30 Kirjastopalvelut</c:v>
                </c:pt>
                <c:pt idx="2">
                  <c:v>31 Kulttuuripalvelut</c:v>
                </c:pt>
                <c:pt idx="3">
                  <c:v>32 Liikuntapalvelut</c:v>
                </c:pt>
                <c:pt idx="4">
                  <c:v>33 Nuorisopalvelut</c:v>
                </c:pt>
              </c:strCache>
            </c:strRef>
          </c:cat>
          <c:val>
            <c:numRef>
              <c:f>work!$B$209:$B$213</c:f>
              <c:numCache>
                <c:formatCode>0.0</c:formatCode>
                <c:ptCount val="5"/>
                <c:pt idx="0">
                  <c:v>4.2100334448160535</c:v>
                </c:pt>
                <c:pt idx="1">
                  <c:v>4.4527071102413567</c:v>
                </c:pt>
                <c:pt idx="2">
                  <c:v>4.0033112582781456</c:v>
                </c:pt>
                <c:pt idx="3">
                  <c:v>4.2981530343007917</c:v>
                </c:pt>
                <c:pt idx="4">
                  <c:v>3.8430832759807294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F-468B-A62E-4FE263801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08671"/>
        <c:axId val="1"/>
      </c:barChart>
      <c:catAx>
        <c:axId val="7420867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208671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Teknisten palvelujen saatavuus ja saavutettavuus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work!$D$214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work!$A$215:$A$220</c:f>
              <c:strCache>
                <c:ptCount val="6"/>
                <c:pt idx="0">
                  <c:v>34 Kunnallinen asuntotarjonta</c:v>
                </c:pt>
                <c:pt idx="1">
                  <c:v>35 Kunnallinen tonttitarjonta</c:v>
                </c:pt>
                <c:pt idx="2">
                  <c:v>36 Joukkoliikennepalvelut</c:v>
                </c:pt>
                <c:pt idx="3">
                  <c:v>37 Rakennusvalvonta</c:v>
                </c:pt>
                <c:pt idx="4">
                  <c:v>38 Jätehuolto</c:v>
                </c:pt>
                <c:pt idx="5">
                  <c:v>39 Kierrätystoiminta (paperit, lasit, paristot)</c:v>
                </c:pt>
              </c:strCache>
            </c:strRef>
          </c:cat>
          <c:val>
            <c:numRef>
              <c:f>work!$D$215:$D$220</c:f>
              <c:numCache>
                <c:formatCode>0.0</c:formatCode>
                <c:ptCount val="6"/>
                <c:pt idx="0">
                  <c:v>3.574074074074074</c:v>
                </c:pt>
                <c:pt idx="1">
                  <c:v>3.7407407407407409</c:v>
                </c:pt>
                <c:pt idx="2">
                  <c:v>2.6909090909090909</c:v>
                </c:pt>
                <c:pt idx="3">
                  <c:v>3.3617021276595747</c:v>
                </c:pt>
                <c:pt idx="4">
                  <c:v>3.9642857142857144</c:v>
                </c:pt>
                <c:pt idx="5">
                  <c:v>4.0370370370370372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5-460C-A7E7-287619FBD708}"/>
            </c:ext>
          </c:extLst>
        </c:ser>
        <c:ser>
          <c:idx val="1"/>
          <c:order val="1"/>
          <c:tx>
            <c:strRef>
              <c:f>work!$C$214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work!$A$215:$A$220</c:f>
              <c:strCache>
                <c:ptCount val="6"/>
                <c:pt idx="0">
                  <c:v>34 Kunnallinen asuntotarjonta</c:v>
                </c:pt>
                <c:pt idx="1">
                  <c:v>35 Kunnallinen tonttitarjonta</c:v>
                </c:pt>
                <c:pt idx="2">
                  <c:v>36 Joukkoliikennepalvelut</c:v>
                </c:pt>
                <c:pt idx="3">
                  <c:v>37 Rakennusvalvonta</c:v>
                </c:pt>
                <c:pt idx="4">
                  <c:v>38 Jätehuolto</c:v>
                </c:pt>
                <c:pt idx="5">
                  <c:v>39 Kierrätystoiminta (paperit, lasit, paristot)</c:v>
                </c:pt>
              </c:strCache>
            </c:strRef>
          </c:cat>
          <c:val>
            <c:numRef>
              <c:f>work!$C$215:$C$220</c:f>
              <c:numCache>
                <c:formatCode>0.0</c:formatCode>
                <c:ptCount val="6"/>
                <c:pt idx="0">
                  <c:v>3.7346278317152102</c:v>
                </c:pt>
                <c:pt idx="1">
                  <c:v>3.9902912621359223</c:v>
                </c:pt>
                <c:pt idx="2">
                  <c:v>2.9076923076923076</c:v>
                </c:pt>
                <c:pt idx="3">
                  <c:v>3.5</c:v>
                </c:pt>
                <c:pt idx="4">
                  <c:v>3.975232198142415</c:v>
                </c:pt>
                <c:pt idx="5">
                  <c:v>3.8473520249221185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5-460C-A7E7-287619FBD708}"/>
            </c:ext>
          </c:extLst>
        </c:ser>
        <c:ser>
          <c:idx val="0"/>
          <c:order val="2"/>
          <c:tx>
            <c:strRef>
              <c:f>work!$B$214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work!$A$215:$A$220</c:f>
              <c:strCache>
                <c:ptCount val="6"/>
                <c:pt idx="0">
                  <c:v>34 Kunnallinen asuntotarjonta</c:v>
                </c:pt>
                <c:pt idx="1">
                  <c:v>35 Kunnallinen tonttitarjonta</c:v>
                </c:pt>
                <c:pt idx="2">
                  <c:v>36 Joukkoliikennepalvelut</c:v>
                </c:pt>
                <c:pt idx="3">
                  <c:v>37 Rakennusvalvonta</c:v>
                </c:pt>
                <c:pt idx="4">
                  <c:v>38 Jätehuolto</c:v>
                </c:pt>
                <c:pt idx="5">
                  <c:v>39 Kierrätystoiminta (paperit, lasit, paristot)</c:v>
                </c:pt>
              </c:strCache>
            </c:strRef>
          </c:cat>
          <c:val>
            <c:numRef>
              <c:f>work!$B$215:$B$220</c:f>
              <c:numCache>
                <c:formatCode>0.0</c:formatCode>
                <c:ptCount val="6"/>
                <c:pt idx="0">
                  <c:v>3.5034106412005457</c:v>
                </c:pt>
                <c:pt idx="1">
                  <c:v>3.7997293640054126</c:v>
                </c:pt>
                <c:pt idx="2">
                  <c:v>2.9986876640419946</c:v>
                </c:pt>
                <c:pt idx="3">
                  <c:v>3.6768802228412256</c:v>
                </c:pt>
                <c:pt idx="4">
                  <c:v>4.0634602538410149</c:v>
                </c:pt>
                <c:pt idx="5">
                  <c:v>3.9041554959785523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5-460C-A7E7-287619FBD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36671"/>
        <c:axId val="1"/>
      </c:barChart>
      <c:catAx>
        <c:axId val="7483667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4836671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work!$V$3</c:f>
              <c:strCache>
                <c:ptCount val="1"/>
              </c:strCache>
            </c:strRef>
          </c:tx>
          <c:invertIfNegative val="0"/>
          <c:cat>
            <c:numRef>
              <c:f>work!$U$4:$U$34</c:f>
              <c:numCache>
                <c:formatCode>General</c:formatCode>
                <c:ptCount val="31"/>
              </c:numCache>
            </c:numRef>
          </c:cat>
          <c:val>
            <c:numRef>
              <c:f>work!$V$4:$V$34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849-4AC6-B0B9-0CD13AB57471}"/>
            </c:ext>
          </c:extLst>
        </c:ser>
        <c:ser>
          <c:idx val="1"/>
          <c:order val="1"/>
          <c:tx>
            <c:strRef>
              <c:f>work!$W$3</c:f>
              <c:strCache>
                <c:ptCount val="1"/>
              </c:strCache>
            </c:strRef>
          </c:tx>
          <c:invertIfNegative val="0"/>
          <c:cat>
            <c:numRef>
              <c:f>work!$U$4:$U$34</c:f>
              <c:numCache>
                <c:formatCode>General</c:formatCode>
                <c:ptCount val="31"/>
              </c:numCache>
            </c:numRef>
          </c:cat>
          <c:val>
            <c:numRef>
              <c:f>work!$W$4:$W$34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849-4AC6-B0B9-0CD13AB57471}"/>
            </c:ext>
          </c:extLst>
        </c:ser>
        <c:ser>
          <c:idx val="2"/>
          <c:order val="2"/>
          <c:tx>
            <c:strRef>
              <c:f>work!$X$3</c:f>
              <c:strCache>
                <c:ptCount val="1"/>
              </c:strCache>
            </c:strRef>
          </c:tx>
          <c:invertIfNegative val="0"/>
          <c:cat>
            <c:numRef>
              <c:f>work!$U$4:$U$34</c:f>
              <c:numCache>
                <c:formatCode>General</c:formatCode>
                <c:ptCount val="31"/>
              </c:numCache>
            </c:numRef>
          </c:cat>
          <c:val>
            <c:numRef>
              <c:f>work!$X$4:$X$34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B849-4AC6-B0B9-0CD13AB57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32095"/>
        <c:axId val="1"/>
      </c:barChart>
      <c:catAx>
        <c:axId val="748320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74832095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/>
              <a:t>K 17 Aiotko asettua ehdolle seuraavissa kuntavaaleissa keväällä 2017?</a:t>
            </a:r>
          </a:p>
        </c:rich>
      </c:tx>
      <c:layout>
        <c:manualLayout>
          <c:xMode val="edge"/>
          <c:yMode val="edge"/>
          <c:x val="0.20489190433155877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work!$B$26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work!$A$27</c:f>
              <c:strCache>
                <c:ptCount val="1"/>
                <c:pt idx="0">
                  <c:v>Aikoo asettua ehdolle seuraavissa kuntavaaleissa keväällä 2017? (%)</c:v>
                </c:pt>
              </c:strCache>
            </c:strRef>
          </c:cat>
          <c:val>
            <c:numRef>
              <c:f>work!$B$27</c:f>
              <c:numCache>
                <c:formatCode>0</c:formatCode>
                <c:ptCount val="1"/>
                <c:pt idx="0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A-4B35-8728-0BDECA9D17BD}"/>
            </c:ext>
          </c:extLst>
        </c:ser>
        <c:ser>
          <c:idx val="1"/>
          <c:order val="1"/>
          <c:tx>
            <c:strRef>
              <c:f>work!$C$26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work!$A$27</c:f>
              <c:strCache>
                <c:ptCount val="1"/>
                <c:pt idx="0">
                  <c:v>Aikoo asettua ehdolle seuraavissa kuntavaaleissa keväällä 2017? (%)</c:v>
                </c:pt>
              </c:strCache>
            </c:strRef>
          </c:cat>
          <c:val>
            <c:numRef>
              <c:f>work!$C$27</c:f>
              <c:numCache>
                <c:formatCode>0</c:formatCode>
                <c:ptCount val="1"/>
                <c:pt idx="0">
                  <c:v>32.659932659932657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A-4B35-8728-0BDECA9D17BD}"/>
            </c:ext>
          </c:extLst>
        </c:ser>
        <c:ser>
          <c:idx val="2"/>
          <c:order val="2"/>
          <c:tx>
            <c:strRef>
              <c:f>work!$D$26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work!$A$27</c:f>
              <c:strCache>
                <c:ptCount val="1"/>
                <c:pt idx="0">
                  <c:v>Aikoo asettua ehdolle seuraavissa kuntavaaleissa keväällä 2017? (%)</c:v>
                </c:pt>
              </c:strCache>
            </c:strRef>
          </c:cat>
          <c:val>
            <c:numRef>
              <c:f>work!$D$27</c:f>
              <c:numCache>
                <c:formatCode>0</c:formatCode>
                <c:ptCount val="1"/>
                <c:pt idx="0">
                  <c:v>19.23076923076923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A-4B35-8728-0BDECA9D1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39631"/>
        <c:axId val="1"/>
      </c:barChart>
      <c:catAx>
        <c:axId val="203663963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036639631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/>
              <a:t>K 18 Olisitko halukas ottamaan vastaan sinulle tarjottavan luottamustehtävän (esim. lautakuntapaikan) seuraavien kuntavaalien jälkeen?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work!$B$29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work!$A$30</c:f>
              <c:strCache>
                <c:ptCount val="1"/>
                <c:pt idx="0">
                  <c:v>On halukas ottamaan vastaan tarjottavan luottamustehtävän (esim. lautakuntapaikan) seuraavien kuntavaalien jälkeen? (%)</c:v>
                </c:pt>
              </c:strCache>
            </c:strRef>
          </c:cat>
          <c:val>
            <c:numRef>
              <c:f>work!$B$30</c:f>
              <c:numCache>
                <c:formatCode>0</c:formatCode>
                <c:ptCount val="1"/>
                <c:pt idx="0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5-4399-9F4A-146D2C71E126}"/>
            </c:ext>
          </c:extLst>
        </c:ser>
        <c:ser>
          <c:idx val="1"/>
          <c:order val="1"/>
          <c:tx>
            <c:strRef>
              <c:f>work!$C$29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work!$A$30</c:f>
              <c:strCache>
                <c:ptCount val="1"/>
                <c:pt idx="0">
                  <c:v>On halukas ottamaan vastaan tarjottavan luottamustehtävän (esim. lautakuntapaikan) seuraavien kuntavaalien jälkeen? (%)</c:v>
                </c:pt>
              </c:strCache>
            </c:strRef>
          </c:cat>
          <c:val>
            <c:numRef>
              <c:f>work!$C$30</c:f>
              <c:numCache>
                <c:formatCode>0</c:formatCode>
                <c:ptCount val="1"/>
                <c:pt idx="0">
                  <c:v>55.892255892255889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5-4399-9F4A-146D2C71E126}"/>
            </c:ext>
          </c:extLst>
        </c:ser>
        <c:ser>
          <c:idx val="2"/>
          <c:order val="2"/>
          <c:tx>
            <c:strRef>
              <c:f>work!$D$29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work!$A$30</c:f>
              <c:strCache>
                <c:ptCount val="1"/>
                <c:pt idx="0">
                  <c:v>On halukas ottamaan vastaan tarjottavan luottamustehtävän (esim. lautakuntapaikan) seuraavien kuntavaalien jälkeen? (%)</c:v>
                </c:pt>
              </c:strCache>
            </c:strRef>
          </c:cat>
          <c:val>
            <c:numRef>
              <c:f>work!$D$30</c:f>
              <c:numCache>
                <c:formatCode>0</c:formatCode>
                <c:ptCount val="1"/>
                <c:pt idx="0">
                  <c:v>56.60377358490566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5-4399-9F4A-146D2C71E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42127"/>
        <c:axId val="1"/>
      </c:barChart>
      <c:catAx>
        <c:axId val="2036642127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036642127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i-FI" sz="1200"/>
              <a:t>K 19. Kunnallisen demokratian kehittämiseksi on esitetty useita uusia ideoita ja toimintatapoja. Miten suhtaudut seuraaviin kehittämisvaihtoehtoihin? </a:t>
            </a:r>
            <a:r>
              <a:rPr lang="fi-FI" sz="1200" b="0"/>
              <a:t>(%)</a:t>
            </a:r>
            <a:endParaRPr lang="fi-FI" sz="1200"/>
          </a:p>
          <a:p>
            <a:pPr>
              <a:defRPr sz="1400"/>
            </a:pPr>
            <a:endParaRPr lang="fi-FI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work!$D$32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work!$A$33:$A$45</c:f>
              <c:strCache>
                <c:ptCount val="13"/>
                <c:pt idx="0">
                  <c:v>1 Luottamustehtävän hoitaminen koko- tai osapäivätoimisesti</c:v>
                </c:pt>
                <c:pt idx="1">
                  <c:v>2 Suoralla kansanvaalilla valittu pormestari</c:v>
                </c:pt>
                <c:pt idx="2">
                  <c:v>3 Valtuuston valitsema pormestari</c:v>
                </c:pt>
                <c:pt idx="3">
                  <c:v>4 Äänestysikärajan laskeminen 16 vuoteen kuntavaaleissa</c:v>
                </c:pt>
                <c:pt idx="4">
                  <c:v>5 Äänestäminen internetin välityksellä kuntavaaleissa</c:v>
                </c:pt>
                <c:pt idx="5">
                  <c:v>6 Kunnallisen (neuvoa-antavan) kansanäänestyksen nykyistä laajempi käyttö kuntalaisten mielipiteiden selvittämisessä</c:v>
                </c:pt>
                <c:pt idx="6">
                  <c:v>7 Jäsenmäärältään nykyistä PIENEMPI valtuusto</c:v>
                </c:pt>
                <c:pt idx="7">
                  <c:v>8 Jäsenmäärältään nykyistä SUUREMPI valtuusto</c:v>
                </c:pt>
                <c:pt idx="8">
                  <c:v>9 Vaalipäivien yhdistäminen niin, että kunnallisvaalit pidettäisiin samanaikaisesti eduskuntavaalien kanssa</c:v>
                </c:pt>
                <c:pt idx="9">
                  <c:v>10 Kuntalaisista kootut raadit ja paneelit, jotka voivat ottaa kantaa vireillä oleviin asioihin</c:v>
                </c:pt>
                <c:pt idx="10">
                  <c:v>11 Suorilla vaaleilla valittu kunnanosavaltuusto</c:v>
                </c:pt>
                <c:pt idx="11">
                  <c:v>12 Osallistuva budjetointi (kuntalaiset osallistuvat kunnan budjetin laadintaan)</c:v>
                </c:pt>
                <c:pt idx="12">
                  <c:v>13 Kaksoiskuntalaisuuden mahdollistaminen</c:v>
                </c:pt>
              </c:strCache>
            </c:strRef>
          </c:cat>
          <c:val>
            <c:numRef>
              <c:f>work!$D$33:$D$45</c:f>
              <c:numCache>
                <c:formatCode>0</c:formatCode>
                <c:ptCount val="13"/>
                <c:pt idx="0">
                  <c:v>38.596491228070178</c:v>
                </c:pt>
                <c:pt idx="1">
                  <c:v>42.10526315789474</c:v>
                </c:pt>
                <c:pt idx="2">
                  <c:v>26.315789473684209</c:v>
                </c:pt>
                <c:pt idx="3">
                  <c:v>21.05263157894737</c:v>
                </c:pt>
                <c:pt idx="4">
                  <c:v>73.684210526315795</c:v>
                </c:pt>
                <c:pt idx="5">
                  <c:v>38.596491228070178</c:v>
                </c:pt>
                <c:pt idx="6">
                  <c:v>43.859649122807021</c:v>
                </c:pt>
                <c:pt idx="7">
                  <c:v>7.0175438596491224</c:v>
                </c:pt>
                <c:pt idx="8">
                  <c:v>40.350877192982459</c:v>
                </c:pt>
                <c:pt idx="9">
                  <c:v>56.140350877192979</c:v>
                </c:pt>
                <c:pt idx="10">
                  <c:v>40.350877192982459</c:v>
                </c:pt>
                <c:pt idx="11">
                  <c:v>28.571428571428573</c:v>
                </c:pt>
                <c:pt idx="12">
                  <c:v>19.298245614035089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B-4B96-813C-62460A476EEE}"/>
            </c:ext>
          </c:extLst>
        </c:ser>
        <c:ser>
          <c:idx val="1"/>
          <c:order val="1"/>
          <c:tx>
            <c:strRef>
              <c:f>work!$C$32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work!$A$33:$A$45</c:f>
              <c:strCache>
                <c:ptCount val="13"/>
                <c:pt idx="0">
                  <c:v>1 Luottamustehtävän hoitaminen koko- tai osapäivätoimisesti</c:v>
                </c:pt>
                <c:pt idx="1">
                  <c:v>2 Suoralla kansanvaalilla valittu pormestari</c:v>
                </c:pt>
                <c:pt idx="2">
                  <c:v>3 Valtuuston valitsema pormestari</c:v>
                </c:pt>
                <c:pt idx="3">
                  <c:v>4 Äänestysikärajan laskeminen 16 vuoteen kuntavaaleissa</c:v>
                </c:pt>
                <c:pt idx="4">
                  <c:v>5 Äänestäminen internetin välityksellä kuntavaaleissa</c:v>
                </c:pt>
                <c:pt idx="5">
                  <c:v>6 Kunnallisen (neuvoa-antavan) kansanäänestyksen nykyistä laajempi käyttö kuntalaisten mielipiteiden selvittämisessä</c:v>
                </c:pt>
                <c:pt idx="6">
                  <c:v>7 Jäsenmäärältään nykyistä PIENEMPI valtuusto</c:v>
                </c:pt>
                <c:pt idx="7">
                  <c:v>8 Jäsenmäärältään nykyistä SUUREMPI valtuusto</c:v>
                </c:pt>
                <c:pt idx="8">
                  <c:v>9 Vaalipäivien yhdistäminen niin, että kunnallisvaalit pidettäisiin samanaikaisesti eduskuntavaalien kanssa</c:v>
                </c:pt>
                <c:pt idx="9">
                  <c:v>10 Kuntalaisista kootut raadit ja paneelit, jotka voivat ottaa kantaa vireillä oleviin asioihin</c:v>
                </c:pt>
                <c:pt idx="10">
                  <c:v>11 Suorilla vaaleilla valittu kunnanosavaltuusto</c:v>
                </c:pt>
                <c:pt idx="11">
                  <c:v>12 Osallistuva budjetointi (kuntalaiset osallistuvat kunnan budjetin laadintaan)</c:v>
                </c:pt>
                <c:pt idx="12">
                  <c:v>13 Kaksoiskuntalaisuuden mahdollistaminen</c:v>
                </c:pt>
              </c:strCache>
            </c:strRef>
          </c:cat>
          <c:val>
            <c:numRef>
              <c:f>work!$C$33:$C$45</c:f>
              <c:numCache>
                <c:formatCode>0</c:formatCode>
                <c:ptCount val="13"/>
                <c:pt idx="0">
                  <c:v>47.289156626506021</c:v>
                </c:pt>
                <c:pt idx="1">
                  <c:v>34.451219512195124</c:v>
                </c:pt>
                <c:pt idx="2">
                  <c:v>24.397590361445783</c:v>
                </c:pt>
                <c:pt idx="3">
                  <c:v>29.305135951661633</c:v>
                </c:pt>
                <c:pt idx="4">
                  <c:v>68.768768768768766</c:v>
                </c:pt>
                <c:pt idx="5">
                  <c:v>44.848484848484851</c:v>
                </c:pt>
                <c:pt idx="6">
                  <c:v>42.642642642642642</c:v>
                </c:pt>
                <c:pt idx="7">
                  <c:v>5.7057057057057055</c:v>
                </c:pt>
                <c:pt idx="8">
                  <c:v>42.089552238805972</c:v>
                </c:pt>
                <c:pt idx="9">
                  <c:v>61.212121212121211</c:v>
                </c:pt>
                <c:pt idx="10">
                  <c:v>31.288343558282207</c:v>
                </c:pt>
                <c:pt idx="11">
                  <c:v>36.445783132530117</c:v>
                </c:pt>
                <c:pt idx="12">
                  <c:v>38.484848484848484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B-4B96-813C-62460A476EEE}"/>
            </c:ext>
          </c:extLst>
        </c:ser>
        <c:ser>
          <c:idx val="0"/>
          <c:order val="2"/>
          <c:tx>
            <c:strRef>
              <c:f>work!$B$32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work!$A$33:$A$45</c:f>
              <c:strCache>
                <c:ptCount val="13"/>
                <c:pt idx="0">
                  <c:v>1 Luottamustehtävän hoitaminen koko- tai osapäivätoimisesti</c:v>
                </c:pt>
                <c:pt idx="1">
                  <c:v>2 Suoralla kansanvaalilla valittu pormestari</c:v>
                </c:pt>
                <c:pt idx="2">
                  <c:v>3 Valtuuston valitsema pormestari</c:v>
                </c:pt>
                <c:pt idx="3">
                  <c:v>4 Äänestysikärajan laskeminen 16 vuoteen kuntavaaleissa</c:v>
                </c:pt>
                <c:pt idx="4">
                  <c:v>5 Äänestäminen internetin välityksellä kuntavaaleissa</c:v>
                </c:pt>
                <c:pt idx="5">
                  <c:v>6 Kunnallisen (neuvoa-antavan) kansanäänestyksen nykyistä laajempi käyttö kuntalaisten mielipiteiden selvittämisessä</c:v>
                </c:pt>
                <c:pt idx="6">
                  <c:v>7 Jäsenmäärältään nykyistä PIENEMPI valtuusto</c:v>
                </c:pt>
                <c:pt idx="7">
                  <c:v>8 Jäsenmäärältään nykyistä SUUREMPI valtuusto</c:v>
                </c:pt>
                <c:pt idx="8">
                  <c:v>9 Vaalipäivien yhdistäminen niin, että kunnallisvaalit pidettäisiin samanaikaisesti eduskuntavaalien kanssa</c:v>
                </c:pt>
                <c:pt idx="9">
                  <c:v>10 Kuntalaisista kootut raadit ja paneelit, jotka voivat ottaa kantaa vireillä oleviin asioihin</c:v>
                </c:pt>
                <c:pt idx="10">
                  <c:v>11 Suorilla vaaleilla valittu kunnanosavaltuusto</c:v>
                </c:pt>
                <c:pt idx="11">
                  <c:v>12 Osallistuva budjetointi (kuntalaiset osallistuvat kunnan budjetin laadintaan)</c:v>
                </c:pt>
                <c:pt idx="12">
                  <c:v>13 Kaksoiskuntalaisuuden mahdollistaminen</c:v>
                </c:pt>
              </c:strCache>
            </c:strRef>
          </c:cat>
          <c:val>
            <c:numRef>
              <c:f>work!$B$33:$B$45</c:f>
              <c:numCache>
                <c:formatCode>0</c:formatCode>
                <c:ptCount val="13"/>
                <c:pt idx="0">
                  <c:v>47.043534762833005</c:v>
                </c:pt>
                <c:pt idx="1">
                  <c:v>29.185667752442995</c:v>
                </c:pt>
                <c:pt idx="2">
                  <c:v>27.349869451697128</c:v>
                </c:pt>
                <c:pt idx="3">
                  <c:v>30.834419817470664</c:v>
                </c:pt>
                <c:pt idx="4">
                  <c:v>66.580142764438676</c:v>
                </c:pt>
                <c:pt idx="5">
                  <c:v>45.442708333333336</c:v>
                </c:pt>
                <c:pt idx="6">
                  <c:v>34.267100977198695</c:v>
                </c:pt>
                <c:pt idx="7">
                  <c:v>6.9145466405740379</c:v>
                </c:pt>
                <c:pt idx="8">
                  <c:v>45.207253886010363</c:v>
                </c:pt>
                <c:pt idx="9">
                  <c:v>58.21962313190383</c:v>
                </c:pt>
                <c:pt idx="10">
                  <c:v>31.633986928104576</c:v>
                </c:pt>
                <c:pt idx="11">
                  <c:v>32.98565840938722</c:v>
                </c:pt>
                <c:pt idx="12">
                  <c:v>36.138290932811479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B-4B96-813C-62460A476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41295"/>
        <c:axId val="1"/>
      </c:barChart>
      <c:catAx>
        <c:axId val="2036641295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2036641295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/>
              <a:t>K 20 Kuntasektorin tulevaisuudesta on keskusteltu vilkkaasti viime vuosina. Miten suhtaudut seuraaviin periaatteellisiin kehittämisvaihtoehtoihin?</a:t>
            </a:r>
            <a:r>
              <a:rPr lang="fi-FI" sz="1200" b="0"/>
              <a:t> (%)</a:t>
            </a:r>
            <a:endParaRPr lang="fi-FI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work!$D$47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work!$A$48:$A$52</c:f>
              <c:strCache>
                <c:ptCount val="5"/>
                <c:pt idx="0">
                  <c:v>1. Nykyistä suuremmat peruskunnat, joilla on vastuu suurimmasta osasta kuntien lakisääteisistä tehtävistä</c:v>
                </c:pt>
                <c:pt idx="1">
                  <c:v>2 Erityyppisille kunnille annetaan erilaiset tehtävät</c:v>
                </c:pt>
                <c:pt idx="2">
                  <c:v>3 Vastuu sosiaali- ja terveystoimesta siirretään vaaleilla valituille kuntia suuremmille itsehallintoalueille</c:v>
                </c:pt>
                <c:pt idx="3">
                  <c:v>4. Vastuu erikoissairaanhoidosta siirretään valtiolle</c:v>
                </c:pt>
                <c:pt idx="4">
                  <c:v>5. Laajaa väestöpohjaa vaativat palvelut hoidetaan kuntien välisenä yhteistyönä</c:v>
                </c:pt>
              </c:strCache>
            </c:strRef>
          </c:cat>
          <c:val>
            <c:numRef>
              <c:f>work!$D$48:$D$52</c:f>
              <c:numCache>
                <c:formatCode>#,##0</c:formatCode>
                <c:ptCount val="5"/>
                <c:pt idx="0">
                  <c:v>73.684210526315795</c:v>
                </c:pt>
                <c:pt idx="1">
                  <c:v>37.5</c:v>
                </c:pt>
                <c:pt idx="2">
                  <c:v>59.649122807017541</c:v>
                </c:pt>
                <c:pt idx="3">
                  <c:v>56.140350877192979</c:v>
                </c:pt>
                <c:pt idx="4">
                  <c:v>59.25925925925926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1-43E6-8385-6D796BFDA72E}"/>
            </c:ext>
          </c:extLst>
        </c:ser>
        <c:ser>
          <c:idx val="1"/>
          <c:order val="1"/>
          <c:tx>
            <c:strRef>
              <c:f>work!$C$47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work!$A$48:$A$52</c:f>
              <c:strCache>
                <c:ptCount val="5"/>
                <c:pt idx="0">
                  <c:v>1. Nykyistä suuremmat peruskunnat, joilla on vastuu suurimmasta osasta kuntien lakisääteisistä tehtävistä</c:v>
                </c:pt>
                <c:pt idx="1">
                  <c:v>2 Erityyppisille kunnille annetaan erilaiset tehtävät</c:v>
                </c:pt>
                <c:pt idx="2">
                  <c:v>3 Vastuu sosiaali- ja terveystoimesta siirretään vaaleilla valituille kuntia suuremmille itsehallintoalueille</c:v>
                </c:pt>
                <c:pt idx="3">
                  <c:v>4. Vastuu erikoissairaanhoidosta siirretään valtiolle</c:v>
                </c:pt>
                <c:pt idx="4">
                  <c:v>5. Laajaa väestöpohjaa vaativat palvelut hoidetaan kuntien välisenä yhteistyönä</c:v>
                </c:pt>
              </c:strCache>
            </c:strRef>
          </c:cat>
          <c:val>
            <c:numRef>
              <c:f>work!$C$48:$C$52</c:f>
              <c:numCache>
                <c:formatCode>#,##0</c:formatCode>
                <c:ptCount val="5"/>
                <c:pt idx="0">
                  <c:v>64.071856287425149</c:v>
                </c:pt>
                <c:pt idx="1">
                  <c:v>36.445783132530117</c:v>
                </c:pt>
                <c:pt idx="2">
                  <c:v>56.156156156156158</c:v>
                </c:pt>
                <c:pt idx="3">
                  <c:v>64.970059880239518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1-43E6-8385-6D796BFDA72E}"/>
            </c:ext>
          </c:extLst>
        </c:ser>
        <c:ser>
          <c:idx val="0"/>
          <c:order val="2"/>
          <c:tx>
            <c:strRef>
              <c:f>work!$B$47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work!$A$48:$A$52</c:f>
              <c:strCache>
                <c:ptCount val="5"/>
                <c:pt idx="0">
                  <c:v>1. Nykyistä suuremmat peruskunnat, joilla on vastuu suurimmasta osasta kuntien lakisääteisistä tehtävistä</c:v>
                </c:pt>
                <c:pt idx="1">
                  <c:v>2 Erityyppisille kunnille annetaan erilaiset tehtävät</c:v>
                </c:pt>
                <c:pt idx="2">
                  <c:v>3 Vastuu sosiaali- ja terveystoimesta siirretään vaaleilla valituille kuntia suuremmille itsehallintoalueille</c:v>
                </c:pt>
                <c:pt idx="3">
                  <c:v>4. Vastuu erikoissairaanhoidosta siirretään valtiolle</c:v>
                </c:pt>
                <c:pt idx="4">
                  <c:v>5. Laajaa väestöpohjaa vaativat palvelut hoidetaan kuntien välisenä yhteistyönä</c:v>
                </c:pt>
              </c:strCache>
            </c:strRef>
          </c:cat>
          <c:val>
            <c:numRef>
              <c:f>work!$B$48:$B$52</c:f>
              <c:numCache>
                <c:formatCode>0</c:formatCode>
                <c:ptCount val="5"/>
                <c:pt idx="0">
                  <c:v>46.842783505154642</c:v>
                </c:pt>
                <c:pt idx="1">
                  <c:v>34.867141931302655</c:v>
                </c:pt>
                <c:pt idx="2">
                  <c:v>50.845253576072821</c:v>
                </c:pt>
                <c:pt idx="3">
                  <c:v>66.925064599483207</c:v>
                </c:pt>
                <c:pt idx="4">
                  <c:v>74.951330304996759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1-43E6-8385-6D796BFD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1071"/>
        <c:axId val="1"/>
      </c:barChart>
      <c:catAx>
        <c:axId val="7325107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73251071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 b="1" i="0" u="none" strike="noStrike" baseline="0">
                <a:effectLst/>
              </a:rPr>
              <a:t>K 21 Monissa kunnissa on käynnissä palveluihin liittyviä uudistuksia. Miten tärkeänä pidät seuraavia asioita oman kuntasi näkökulmasta? </a:t>
            </a:r>
            <a:r>
              <a:rPr lang="fi-FI" sz="1200" b="0" i="0" u="none" strike="noStrike" baseline="0">
                <a:effectLst/>
              </a:rPr>
              <a:t>(%)</a:t>
            </a:r>
            <a:r>
              <a:rPr lang="fi-FI" sz="1200" b="0" i="0" u="none" strike="noStrike" baseline="0"/>
              <a:t> </a:t>
            </a:r>
            <a:endParaRPr lang="fi-FI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work!$D$54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work!$A$55:$A$65</c:f>
              <c:strCache>
                <c:ptCount val="11"/>
                <c:pt idx="0">
                  <c:v>1 Palvelujen säilyminen kunnan järjestämänä</c:v>
                </c:pt>
                <c:pt idx="1">
                  <c:v>2 Palvelujen tarjoaminen mahdollisimman lähellä kotia (lähikoulut, terveysasemat ym)</c:v>
                </c:pt>
                <c:pt idx="2">
                  <c:v>3 Mahdollisuus käyttää joustavasti myös naapurikuntien palveluja</c:v>
                </c:pt>
                <c:pt idx="3">
                  <c:v>4 Mahdollisuus käyttää joustavasti myös järjestöjen ja yritysten tarjoamia palveluja</c:v>
                </c:pt>
                <c:pt idx="4">
                  <c:v>5 Palvelujen monipuolisuuden ja korkean laadun mahdollistaminen, vaikka se vaatisi palvelupisteiden vähentämistä</c:v>
                </c:pt>
                <c:pt idx="5">
                  <c:v>6 Mahdollisuus käyttää joustavasti yhä kattavampia sähköisiä palveluja</c:v>
                </c:pt>
                <c:pt idx="6">
                  <c:v>7 Liikkuvien palvelujen (mm. terveysbussit) lisääminen, vaikka se merkitsisi pysyvien palvelupisteiden vähentämistä</c:v>
                </c:pt>
                <c:pt idx="7">
                  <c:v>8 Mahdollisuus valita kunnan järjestämä verorahoitteinen palvelu julkisen ja yksityisen palveluntuottajan välillä (palveluseteli)</c:v>
                </c:pt>
                <c:pt idx="8">
                  <c:v>9 Kuntalaisten vastuun lisääminen omasta terveydestään ja hyvinvoinnistaan</c:v>
                </c:pt>
                <c:pt idx="9">
                  <c:v>10 Käyttäjä-/palvelumaksujen käyttöönotto tai korottaminen kunnallisissa palveluissa</c:v>
                </c:pt>
                <c:pt idx="10">
                  <c:v>11 Palvelujen käyttäjien ottaminen mukaan kunnan palvelujen suunnitteluun ja kehittämiseen</c:v>
                </c:pt>
              </c:strCache>
            </c:strRef>
          </c:cat>
          <c:val>
            <c:numRef>
              <c:f>work!$D$55:$D$65</c:f>
              <c:numCache>
                <c:formatCode>0</c:formatCode>
                <c:ptCount val="11"/>
                <c:pt idx="0">
                  <c:v>60.714285714285715</c:v>
                </c:pt>
                <c:pt idx="1">
                  <c:v>57.142857142857146</c:v>
                </c:pt>
                <c:pt idx="2">
                  <c:v>73.684210526315795</c:v>
                </c:pt>
                <c:pt idx="3">
                  <c:v>75.438596491228068</c:v>
                </c:pt>
                <c:pt idx="4">
                  <c:v>57.89473684210526</c:v>
                </c:pt>
                <c:pt idx="5">
                  <c:v>66.666666666666671</c:v>
                </c:pt>
                <c:pt idx="6">
                  <c:v>53.571428571428569</c:v>
                </c:pt>
                <c:pt idx="7">
                  <c:v>43.859649122807021</c:v>
                </c:pt>
                <c:pt idx="8">
                  <c:v>64.912280701754383</c:v>
                </c:pt>
                <c:pt idx="9">
                  <c:v>28.571428571428573</c:v>
                </c:pt>
                <c:pt idx="10">
                  <c:v>57.89473684210526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E-48B8-987F-43C30178F664}"/>
            </c:ext>
          </c:extLst>
        </c:ser>
        <c:ser>
          <c:idx val="1"/>
          <c:order val="1"/>
          <c:tx>
            <c:strRef>
              <c:f>work!$C$54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work!$A$55:$A$65</c:f>
              <c:strCache>
                <c:ptCount val="11"/>
                <c:pt idx="0">
                  <c:v>1 Palvelujen säilyminen kunnan järjestämänä</c:v>
                </c:pt>
                <c:pt idx="1">
                  <c:v>2 Palvelujen tarjoaminen mahdollisimman lähellä kotia (lähikoulut, terveysasemat ym)</c:v>
                </c:pt>
                <c:pt idx="2">
                  <c:v>3 Mahdollisuus käyttää joustavasti myös naapurikuntien palveluja</c:v>
                </c:pt>
                <c:pt idx="3">
                  <c:v>4 Mahdollisuus käyttää joustavasti myös järjestöjen ja yritysten tarjoamia palveluja</c:v>
                </c:pt>
                <c:pt idx="4">
                  <c:v>5 Palvelujen monipuolisuuden ja korkean laadun mahdollistaminen, vaikka se vaatisi palvelupisteiden vähentämistä</c:v>
                </c:pt>
                <c:pt idx="5">
                  <c:v>6 Mahdollisuus käyttää joustavasti yhä kattavampia sähköisiä palveluja</c:v>
                </c:pt>
                <c:pt idx="6">
                  <c:v>7 Liikkuvien palvelujen (mm. terveysbussit) lisääminen, vaikka se merkitsisi pysyvien palvelupisteiden vähentämistä</c:v>
                </c:pt>
                <c:pt idx="7">
                  <c:v>8 Mahdollisuus valita kunnan järjestämä verorahoitteinen palvelu julkisen ja yksityisen palveluntuottajan välillä (palveluseteli)</c:v>
                </c:pt>
                <c:pt idx="8">
                  <c:v>9 Kuntalaisten vastuun lisääminen omasta terveydestään ja hyvinvoinnistaan</c:v>
                </c:pt>
                <c:pt idx="9">
                  <c:v>10 Käyttäjä-/palvelumaksujen käyttöönotto tai korottaminen kunnallisissa palveluissa</c:v>
                </c:pt>
                <c:pt idx="10">
                  <c:v>11 Palvelujen käyttäjien ottaminen mukaan kunnan palvelujen suunnitteluun ja kehittämiseen</c:v>
                </c:pt>
              </c:strCache>
            </c:strRef>
          </c:cat>
          <c:val>
            <c:numRef>
              <c:f>work!$C$55:$C$65</c:f>
              <c:numCache>
                <c:formatCode>0</c:formatCode>
                <c:ptCount val="11"/>
                <c:pt idx="0">
                  <c:v>48.338368580060425</c:v>
                </c:pt>
                <c:pt idx="1">
                  <c:v>58.433734939759034</c:v>
                </c:pt>
                <c:pt idx="2">
                  <c:v>77.0392749244713</c:v>
                </c:pt>
                <c:pt idx="3">
                  <c:v>75.301204819277103</c:v>
                </c:pt>
                <c:pt idx="4">
                  <c:v>58.966565349544076</c:v>
                </c:pt>
                <c:pt idx="5">
                  <c:v>77.341389728096672</c:v>
                </c:pt>
                <c:pt idx="6">
                  <c:v>61.280487804878049</c:v>
                </c:pt>
                <c:pt idx="7">
                  <c:v>57.401812688821749</c:v>
                </c:pt>
                <c:pt idx="8">
                  <c:v>69.696969696969703</c:v>
                </c:pt>
                <c:pt idx="9">
                  <c:v>32.628398791540782</c:v>
                </c:pt>
                <c:pt idx="10">
                  <c:v>64.939024390243901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E-48B8-987F-43C30178F664}"/>
            </c:ext>
          </c:extLst>
        </c:ser>
        <c:ser>
          <c:idx val="0"/>
          <c:order val="2"/>
          <c:tx>
            <c:strRef>
              <c:f>work!$B$54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work!$A$55:$A$65</c:f>
              <c:strCache>
                <c:ptCount val="11"/>
                <c:pt idx="0">
                  <c:v>1 Palvelujen säilyminen kunnan järjestämänä</c:v>
                </c:pt>
                <c:pt idx="1">
                  <c:v>2 Palvelujen tarjoaminen mahdollisimman lähellä kotia (lähikoulut, terveysasemat ym)</c:v>
                </c:pt>
                <c:pt idx="2">
                  <c:v>3 Mahdollisuus käyttää joustavasti myös naapurikuntien palveluja</c:v>
                </c:pt>
                <c:pt idx="3">
                  <c:v>4 Mahdollisuus käyttää joustavasti myös järjestöjen ja yritysten tarjoamia palveluja</c:v>
                </c:pt>
                <c:pt idx="4">
                  <c:v>5 Palvelujen monipuolisuuden ja korkean laadun mahdollistaminen, vaikka se vaatisi palvelupisteiden vähentämistä</c:v>
                </c:pt>
                <c:pt idx="5">
                  <c:v>6 Mahdollisuus käyttää joustavasti yhä kattavampia sähköisiä palveluja</c:v>
                </c:pt>
                <c:pt idx="6">
                  <c:v>7 Liikkuvien palvelujen (mm. terveysbussit) lisääminen, vaikka se merkitsisi pysyvien palvelupisteiden vähentämistä</c:v>
                </c:pt>
                <c:pt idx="7">
                  <c:v>8 Mahdollisuus valita kunnan järjestämä verorahoitteinen palvelu julkisen ja yksityisen palveluntuottajan välillä (palveluseteli)</c:v>
                </c:pt>
                <c:pt idx="8">
                  <c:v>9 Kuntalaisten vastuun lisääminen omasta terveydestään ja hyvinvoinnistaan</c:v>
                </c:pt>
                <c:pt idx="9">
                  <c:v>10 Käyttäjä-/palvelumaksujen käyttöönotto tai korottaminen kunnallisissa palveluissa</c:v>
                </c:pt>
                <c:pt idx="10">
                  <c:v>11 Palvelujen käyttäjien ottaminen mukaan kunnan palvelujen suunnitteluun ja kehittämiseen</c:v>
                </c:pt>
              </c:strCache>
            </c:strRef>
          </c:cat>
          <c:val>
            <c:numRef>
              <c:f>work!$B$55:$B$65</c:f>
              <c:numCache>
                <c:formatCode>0</c:formatCode>
                <c:ptCount val="11"/>
                <c:pt idx="0">
                  <c:v>52.162685603615238</c:v>
                </c:pt>
                <c:pt idx="1">
                  <c:v>70.561652679147841</c:v>
                </c:pt>
                <c:pt idx="2">
                  <c:v>79.560155239327301</c:v>
                </c:pt>
                <c:pt idx="3">
                  <c:v>73.735408560311285</c:v>
                </c:pt>
                <c:pt idx="4">
                  <c:v>52.770618556701031</c:v>
                </c:pt>
                <c:pt idx="5">
                  <c:v>78.078658929722764</c:v>
                </c:pt>
                <c:pt idx="6">
                  <c:v>51.004536616979912</c:v>
                </c:pt>
                <c:pt idx="7">
                  <c:v>57.207498383968975</c:v>
                </c:pt>
                <c:pt idx="8">
                  <c:v>65.913492575855386</c:v>
                </c:pt>
                <c:pt idx="9">
                  <c:v>34.760051880674446</c:v>
                </c:pt>
                <c:pt idx="10">
                  <c:v>63.518758085381627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E-48B8-987F-43C30178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8159"/>
        <c:axId val="1"/>
      </c:barChart>
      <c:catAx>
        <c:axId val="73248159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73248159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K 22 Kuvittele tilanne, jossa kunnat kilpailevat keskenään siitä missä kunnassa tai kaupungissa on "hyvä asua ja elää”. Miten arvioisit nykyisen kotikuntasi sijoittuvan kilpailussa? </a:t>
            </a:r>
          </a:p>
          <a:p>
            <a:pPr>
              <a:defRPr/>
            </a:pPr>
            <a:r>
              <a:rPr lang="en-US" sz="1200" b="0"/>
              <a:t>1 (erittäin huonosti) – 5 (erittäin hyvin).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work!$B$67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work!$A$68</c:f>
              <c:strCache>
                <c:ptCount val="1"/>
                <c:pt idx="0">
                  <c:v>Miten arvioisit nykyisen kotikuntasi sijoittuvan kilpailussa?  </c:v>
                </c:pt>
              </c:strCache>
            </c:strRef>
          </c:cat>
          <c:val>
            <c:numRef>
              <c:f>work!$B$68</c:f>
              <c:numCache>
                <c:formatCode>0.0</c:formatCode>
                <c:ptCount val="1"/>
                <c:pt idx="0">
                  <c:v>3.8645970937912812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C-4F80-9F99-FF7C2BF6BAC5}"/>
            </c:ext>
          </c:extLst>
        </c:ser>
        <c:ser>
          <c:idx val="1"/>
          <c:order val="1"/>
          <c:tx>
            <c:strRef>
              <c:f>work!$C$67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work!$A$68</c:f>
              <c:strCache>
                <c:ptCount val="1"/>
                <c:pt idx="0">
                  <c:v>Miten arvioisit nykyisen kotikuntasi sijoittuvan kilpailussa?  </c:v>
                </c:pt>
              </c:strCache>
            </c:strRef>
          </c:cat>
          <c:val>
            <c:numRef>
              <c:f>work!$C$68</c:f>
              <c:numCache>
                <c:formatCode>0.0</c:formatCode>
                <c:ptCount val="1"/>
                <c:pt idx="0">
                  <c:v>3.5846153846153848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C-4F80-9F99-FF7C2BF6BAC5}"/>
            </c:ext>
          </c:extLst>
        </c:ser>
        <c:ser>
          <c:idx val="2"/>
          <c:order val="2"/>
          <c:tx>
            <c:strRef>
              <c:f>work!$D$67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work!$A$68</c:f>
              <c:strCache>
                <c:ptCount val="1"/>
                <c:pt idx="0">
                  <c:v>Miten arvioisit nykyisen kotikuntasi sijoittuvan kilpailussa?  </c:v>
                </c:pt>
              </c:strCache>
            </c:strRef>
          </c:cat>
          <c:val>
            <c:numRef>
              <c:f>work!$D$68</c:f>
              <c:numCache>
                <c:formatCode>0.0</c:formatCode>
                <c:ptCount val="1"/>
                <c:pt idx="0">
                  <c:v>4.0892857142857144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C-4F80-9F99-FF7C2BF6B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4415"/>
        <c:axId val="1"/>
      </c:barChart>
      <c:catAx>
        <c:axId val="73244415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73244415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/>
              <a:t>K 23  Kun pohdit kuntasi nykytilaa kriittisesti, miten arvioit kuntasi pärjäävän suhteessa muihin kuntiin seuraavien asioiden kohdalla?</a:t>
            </a:r>
            <a:r>
              <a:rPr lang="fi-FI" sz="1400"/>
              <a:t> </a:t>
            </a:r>
            <a:r>
              <a:rPr lang="fi-FI" sz="1200" b="0" i="0" baseline="0">
                <a:effectLst/>
              </a:rPr>
              <a:t>1 (paljon huonommin kuin kunnat keskimäärin) - 5 (paljon paremmin kuin kunnat keskimäärin).</a:t>
            </a:r>
            <a:r>
              <a:rPr lang="en-US" sz="1200" b="0" i="0" baseline="0">
                <a:effectLst/>
              </a:rPr>
              <a:t> </a:t>
            </a:r>
            <a:endParaRPr lang="fi-FI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work!$D$70</c:f>
              <c:strCache>
                <c:ptCount val="1"/>
                <c:pt idx="0">
                  <c:v>Vaasa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work!$A$71:$A$80</c:f>
              <c:strCache>
                <c:ptCount val="10"/>
                <c:pt idx="0">
                  <c:v>1 Väestönkehitys</c:v>
                </c:pt>
                <c:pt idx="1">
                  <c:v>2 Kuntatalous</c:v>
                </c:pt>
                <c:pt idx="2">
                  <c:v>3 Kunnallinen palvelutarjonta</c:v>
                </c:pt>
                <c:pt idx="3">
                  <c:v>4 Kaupalliset palvelut</c:v>
                </c:pt>
                <c:pt idx="4">
                  <c:v>5 Työpaikkatarjonta</c:v>
                </c:pt>
                <c:pt idx="5">
                  <c:v>6 Koulutustarjonta</c:v>
                </c:pt>
                <c:pt idx="6">
                  <c:v>7 Tontti- ja asuntotarjonta</c:v>
                </c:pt>
                <c:pt idx="7">
                  <c:v>8 Kulttuuri- ja liikuntamahdollisuudet</c:v>
                </c:pt>
                <c:pt idx="8">
                  <c:v>9 Liikenneyhteydet</c:v>
                </c:pt>
                <c:pt idx="9">
                  <c:v>10 Matkailu ja vapaa-ajan asuminen</c:v>
                </c:pt>
              </c:strCache>
            </c:strRef>
          </c:cat>
          <c:val>
            <c:numRef>
              <c:f>work!$D$71:$D$80</c:f>
              <c:numCache>
                <c:formatCode>0.0</c:formatCode>
                <c:ptCount val="10"/>
                <c:pt idx="0">
                  <c:v>4.1578947368421053</c:v>
                </c:pt>
                <c:pt idx="1">
                  <c:v>3.3859649122807016</c:v>
                </c:pt>
                <c:pt idx="2">
                  <c:v>3.7543859649122808</c:v>
                </c:pt>
                <c:pt idx="3">
                  <c:v>3.6140350877192984</c:v>
                </c:pt>
                <c:pt idx="4">
                  <c:v>4.0526315789473681</c:v>
                </c:pt>
                <c:pt idx="5">
                  <c:v>4.4210526315789478</c:v>
                </c:pt>
                <c:pt idx="6">
                  <c:v>3.6140350877192984</c:v>
                </c:pt>
                <c:pt idx="7">
                  <c:v>4.2456140350877192</c:v>
                </c:pt>
                <c:pt idx="8">
                  <c:v>3.5087719298245612</c:v>
                </c:pt>
                <c:pt idx="9">
                  <c:v>3.625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C-4495-BD3B-2FD4D186CE7C}"/>
            </c:ext>
          </c:extLst>
        </c:ser>
        <c:ser>
          <c:idx val="1"/>
          <c:order val="1"/>
          <c:tx>
            <c:strRef>
              <c:f>work!$C$70</c:f>
              <c:strCache>
                <c:ptCount val="1"/>
                <c:pt idx="0">
                  <c:v>50001-100000 as.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work!$A$71:$A$80</c:f>
              <c:strCache>
                <c:ptCount val="10"/>
                <c:pt idx="0">
                  <c:v>1 Väestönkehitys</c:v>
                </c:pt>
                <c:pt idx="1">
                  <c:v>2 Kuntatalous</c:v>
                </c:pt>
                <c:pt idx="2">
                  <c:v>3 Kunnallinen palvelutarjonta</c:v>
                </c:pt>
                <c:pt idx="3">
                  <c:v>4 Kaupalliset palvelut</c:v>
                </c:pt>
                <c:pt idx="4">
                  <c:v>5 Työpaikkatarjonta</c:v>
                </c:pt>
                <c:pt idx="5">
                  <c:v>6 Koulutustarjonta</c:v>
                </c:pt>
                <c:pt idx="6">
                  <c:v>7 Tontti- ja asuntotarjonta</c:v>
                </c:pt>
                <c:pt idx="7">
                  <c:v>8 Kulttuuri- ja liikuntamahdollisuudet</c:v>
                </c:pt>
                <c:pt idx="8">
                  <c:v>9 Liikenneyhteydet</c:v>
                </c:pt>
                <c:pt idx="9">
                  <c:v>10 Matkailu ja vapaa-ajan asuminen</c:v>
                </c:pt>
              </c:strCache>
            </c:strRef>
          </c:cat>
          <c:val>
            <c:numRef>
              <c:f>work!$C$71:$C$80</c:f>
              <c:numCache>
                <c:formatCode>0.0</c:formatCode>
                <c:ptCount val="10"/>
                <c:pt idx="0">
                  <c:v>2.9281437125748502</c:v>
                </c:pt>
                <c:pt idx="1">
                  <c:v>2.6223564954682779</c:v>
                </c:pt>
                <c:pt idx="2">
                  <c:v>3.3253012048192772</c:v>
                </c:pt>
                <c:pt idx="3">
                  <c:v>3.5410334346504557</c:v>
                </c:pt>
                <c:pt idx="4">
                  <c:v>2.6526946107784433</c:v>
                </c:pt>
                <c:pt idx="5">
                  <c:v>3.5598802395209579</c:v>
                </c:pt>
                <c:pt idx="6">
                  <c:v>3.7492447129909365</c:v>
                </c:pt>
                <c:pt idx="7">
                  <c:v>3.9307228915662651</c:v>
                </c:pt>
                <c:pt idx="8">
                  <c:v>3.3232628398791539</c:v>
                </c:pt>
                <c:pt idx="9">
                  <c:v>3.8435582822085887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C-4495-BD3B-2FD4D186CE7C}"/>
            </c:ext>
          </c:extLst>
        </c:ser>
        <c:ser>
          <c:idx val="0"/>
          <c:order val="2"/>
          <c:tx>
            <c:strRef>
              <c:f>work!$B$70</c:f>
              <c:strCache>
                <c:ptCount val="1"/>
                <c:pt idx="0">
                  <c:v>Kaikki ARTTU kunnat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work!$A$71:$A$80</c:f>
              <c:strCache>
                <c:ptCount val="10"/>
                <c:pt idx="0">
                  <c:v>1 Väestönkehitys</c:v>
                </c:pt>
                <c:pt idx="1">
                  <c:v>2 Kuntatalous</c:v>
                </c:pt>
                <c:pt idx="2">
                  <c:v>3 Kunnallinen palvelutarjonta</c:v>
                </c:pt>
                <c:pt idx="3">
                  <c:v>4 Kaupalliset palvelut</c:v>
                </c:pt>
                <c:pt idx="4">
                  <c:v>5 Työpaikkatarjonta</c:v>
                </c:pt>
                <c:pt idx="5">
                  <c:v>6 Koulutustarjonta</c:v>
                </c:pt>
                <c:pt idx="6">
                  <c:v>7 Tontti- ja asuntotarjonta</c:v>
                </c:pt>
                <c:pt idx="7">
                  <c:v>8 Kulttuuri- ja liikuntamahdollisuudet</c:v>
                </c:pt>
                <c:pt idx="8">
                  <c:v>9 Liikenneyhteydet</c:v>
                </c:pt>
                <c:pt idx="9">
                  <c:v>10 Matkailu ja vapaa-ajan asuminen</c:v>
                </c:pt>
              </c:strCache>
            </c:strRef>
          </c:cat>
          <c:val>
            <c:numRef>
              <c:f>work!$B$71:$B$80</c:f>
              <c:numCache>
                <c:formatCode>#\ ##0.0</c:formatCode>
                <c:ptCount val="10"/>
                <c:pt idx="0">
                  <c:v>3.3266881028938906</c:v>
                </c:pt>
                <c:pt idx="1">
                  <c:v>3.0975292587776333</c:v>
                </c:pt>
                <c:pt idx="2">
                  <c:v>3.5555555555555554</c:v>
                </c:pt>
                <c:pt idx="3">
                  <c:v>3.5220492866407263</c:v>
                </c:pt>
                <c:pt idx="4">
                  <c:v>3.021276595744681</c:v>
                </c:pt>
                <c:pt idx="5">
                  <c:v>3.475483870967742</c:v>
                </c:pt>
                <c:pt idx="6">
                  <c:v>3.7189922480620154</c:v>
                </c:pt>
                <c:pt idx="7">
                  <c:v>3.8046421663442942</c:v>
                </c:pt>
                <c:pt idx="8">
                  <c:v>3.3214747736093142</c:v>
                </c:pt>
                <c:pt idx="9">
                  <c:v>3.4798701298701298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C-4495-BD3B-2FD4D186C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9407"/>
        <c:axId val="1"/>
      </c:barChart>
      <c:catAx>
        <c:axId val="73249407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t"/>
        <c:majorGridlines/>
        <c:numFmt formatCode="0.0" sourceLinked="1"/>
        <c:majorTickMark val="out"/>
        <c:minorTickMark val="none"/>
        <c:tickLblPos val="nextTo"/>
        <c:crossAx val="73249407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80</xdr:row>
      <xdr:rowOff>95250</xdr:rowOff>
    </xdr:from>
    <xdr:ext cx="184731" cy="263790"/>
    <xdr:sp macro="" textlink="">
      <xdr:nvSpPr>
        <xdr:cNvPr id="2" name="Tekstiruutu 1"/>
        <xdr:cNvSpPr txBox="1"/>
      </xdr:nvSpPr>
      <xdr:spPr>
        <a:xfrm>
          <a:off x="72118" y="14959693"/>
          <a:ext cx="184731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/>
        </a:p>
      </xdr:txBody>
    </xdr:sp>
    <xdr:clientData/>
  </xdr:oneCellAnchor>
  <xdr:oneCellAnchor>
    <xdr:from>
      <xdr:col>0</xdr:col>
      <xdr:colOff>19050</xdr:colOff>
      <xdr:row>92</xdr:row>
      <xdr:rowOff>95250</xdr:rowOff>
    </xdr:from>
    <xdr:ext cx="184731" cy="263790"/>
    <xdr:sp macro="" textlink="">
      <xdr:nvSpPr>
        <xdr:cNvPr id="88" name="Tekstiruutu 87"/>
        <xdr:cNvSpPr txBox="1"/>
      </xdr:nvSpPr>
      <xdr:spPr>
        <a:xfrm>
          <a:off x="19050" y="17180379"/>
          <a:ext cx="184731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1</xdr:col>
      <xdr:colOff>27214</xdr:colOff>
      <xdr:row>0</xdr:row>
      <xdr:rowOff>27214</xdr:rowOff>
    </xdr:from>
    <xdr:to>
      <xdr:col>3</xdr:col>
      <xdr:colOff>723900</xdr:colOff>
      <xdr:row>4</xdr:row>
      <xdr:rowOff>21771</xdr:rowOff>
    </xdr:to>
    <xdr:pic>
      <xdr:nvPicPr>
        <xdr:cNvPr id="1059" name="Kuva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" y="27214"/>
          <a:ext cx="2318657" cy="73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449581</xdr:colOff>
      <xdr:row>367</xdr:row>
      <xdr:rowOff>135256</xdr:rowOff>
    </xdr:from>
    <xdr:to>
      <xdr:col>2</xdr:col>
      <xdr:colOff>495300</xdr:colOff>
      <xdr:row>368</xdr:row>
      <xdr:rowOff>0</xdr:rowOff>
    </xdr:to>
    <xdr:sp macro="" textlink="">
      <xdr:nvSpPr>
        <xdr:cNvPr id="11" name="Tekstiruutu 10"/>
        <xdr:cNvSpPr txBox="1"/>
      </xdr:nvSpPr>
      <xdr:spPr>
        <a:xfrm>
          <a:off x="1278256" y="4781740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/>
        </a:p>
      </xdr:txBody>
    </xdr:sp>
    <xdr:clientData/>
  </xdr:twoCellAnchor>
  <xdr:twoCellAnchor>
    <xdr:from>
      <xdr:col>1</xdr:col>
      <xdr:colOff>48986</xdr:colOff>
      <xdr:row>52</xdr:row>
      <xdr:rowOff>65314</xdr:rowOff>
    </xdr:from>
    <xdr:to>
      <xdr:col>8</xdr:col>
      <xdr:colOff>1322614</xdr:colOff>
      <xdr:row>64</xdr:row>
      <xdr:rowOff>48986</xdr:rowOff>
    </xdr:to>
    <xdr:graphicFrame macro="">
      <xdr:nvGraphicFramePr>
        <xdr:cNvPr id="1061" name="Kaavi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16329</xdr:colOff>
      <xdr:row>64</xdr:row>
      <xdr:rowOff>125186</xdr:rowOff>
    </xdr:from>
    <xdr:to>
      <xdr:col>8</xdr:col>
      <xdr:colOff>1382486</xdr:colOff>
      <xdr:row>75</xdr:row>
      <xdr:rowOff>76200</xdr:rowOff>
    </xdr:to>
    <xdr:graphicFrame macro="">
      <xdr:nvGraphicFramePr>
        <xdr:cNvPr id="1062" name="Kaavi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157</xdr:row>
      <xdr:rowOff>27214</xdr:rowOff>
    </xdr:from>
    <xdr:to>
      <xdr:col>8</xdr:col>
      <xdr:colOff>1436914</xdr:colOff>
      <xdr:row>170</xdr:row>
      <xdr:rowOff>125186</xdr:rowOff>
    </xdr:to>
    <xdr:graphicFrame macro="">
      <xdr:nvGraphicFramePr>
        <xdr:cNvPr id="1063" name="Kaavi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171</xdr:row>
      <xdr:rowOff>48986</xdr:rowOff>
    </xdr:from>
    <xdr:to>
      <xdr:col>8</xdr:col>
      <xdr:colOff>1431471</xdr:colOff>
      <xdr:row>184</xdr:row>
      <xdr:rowOff>152400</xdr:rowOff>
    </xdr:to>
    <xdr:graphicFrame macro="">
      <xdr:nvGraphicFramePr>
        <xdr:cNvPr id="1064" name="Kaavi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16329</xdr:colOff>
      <xdr:row>208</xdr:row>
      <xdr:rowOff>65314</xdr:rowOff>
    </xdr:from>
    <xdr:to>
      <xdr:col>8</xdr:col>
      <xdr:colOff>1409700</xdr:colOff>
      <xdr:row>255</xdr:row>
      <xdr:rowOff>97971</xdr:rowOff>
    </xdr:to>
    <xdr:graphicFrame macro="">
      <xdr:nvGraphicFramePr>
        <xdr:cNvPr id="1065" name="Kaavi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27214</xdr:colOff>
      <xdr:row>260</xdr:row>
      <xdr:rowOff>65314</xdr:rowOff>
    </xdr:from>
    <xdr:to>
      <xdr:col>8</xdr:col>
      <xdr:colOff>1420586</xdr:colOff>
      <xdr:row>279</xdr:row>
      <xdr:rowOff>10886</xdr:rowOff>
    </xdr:to>
    <xdr:graphicFrame macro="">
      <xdr:nvGraphicFramePr>
        <xdr:cNvPr id="1066" name="Kaavi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279</xdr:row>
      <xdr:rowOff>97971</xdr:rowOff>
    </xdr:from>
    <xdr:to>
      <xdr:col>8</xdr:col>
      <xdr:colOff>1355271</xdr:colOff>
      <xdr:row>311</xdr:row>
      <xdr:rowOff>174171</xdr:rowOff>
    </xdr:to>
    <xdr:graphicFrame macro="">
      <xdr:nvGraphicFramePr>
        <xdr:cNvPr id="1067" name="Kaavi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27214</xdr:colOff>
      <xdr:row>312</xdr:row>
      <xdr:rowOff>65314</xdr:rowOff>
    </xdr:from>
    <xdr:to>
      <xdr:col>8</xdr:col>
      <xdr:colOff>1436914</xdr:colOff>
      <xdr:row>327</xdr:row>
      <xdr:rowOff>114300</xdr:rowOff>
    </xdr:to>
    <xdr:graphicFrame macro="">
      <xdr:nvGraphicFramePr>
        <xdr:cNvPr id="1068" name="Kaavi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48986</xdr:colOff>
      <xdr:row>328</xdr:row>
      <xdr:rowOff>0</xdr:rowOff>
    </xdr:from>
    <xdr:to>
      <xdr:col>8</xdr:col>
      <xdr:colOff>1409700</xdr:colOff>
      <xdr:row>363</xdr:row>
      <xdr:rowOff>136071</xdr:rowOff>
    </xdr:to>
    <xdr:graphicFrame macro="">
      <xdr:nvGraphicFramePr>
        <xdr:cNvPr id="1069" name="Kaavi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364</xdr:row>
      <xdr:rowOff>0</xdr:rowOff>
    </xdr:from>
    <xdr:to>
      <xdr:col>8</xdr:col>
      <xdr:colOff>1393371</xdr:colOff>
      <xdr:row>414</xdr:row>
      <xdr:rowOff>114300</xdr:rowOff>
    </xdr:to>
    <xdr:graphicFrame macro="">
      <xdr:nvGraphicFramePr>
        <xdr:cNvPr id="1070" name="Kaavi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16329</xdr:colOff>
      <xdr:row>416</xdr:row>
      <xdr:rowOff>59871</xdr:rowOff>
    </xdr:from>
    <xdr:to>
      <xdr:col>8</xdr:col>
      <xdr:colOff>1398814</xdr:colOff>
      <xdr:row>450</xdr:row>
      <xdr:rowOff>136071</xdr:rowOff>
    </xdr:to>
    <xdr:graphicFrame macro="">
      <xdr:nvGraphicFramePr>
        <xdr:cNvPr id="1071" name="Kaavi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469</xdr:row>
      <xdr:rowOff>0</xdr:rowOff>
    </xdr:from>
    <xdr:to>
      <xdr:col>8</xdr:col>
      <xdr:colOff>1355271</xdr:colOff>
      <xdr:row>518</xdr:row>
      <xdr:rowOff>27214</xdr:rowOff>
    </xdr:to>
    <xdr:graphicFrame macro="">
      <xdr:nvGraphicFramePr>
        <xdr:cNvPr id="1072" name="Kaavi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520</xdr:row>
      <xdr:rowOff>152400</xdr:rowOff>
    </xdr:from>
    <xdr:to>
      <xdr:col>8</xdr:col>
      <xdr:colOff>1322614</xdr:colOff>
      <xdr:row>568</xdr:row>
      <xdr:rowOff>114300</xdr:rowOff>
    </xdr:to>
    <xdr:graphicFrame macro="">
      <xdr:nvGraphicFramePr>
        <xdr:cNvPr id="1073" name="Kaavi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48986</xdr:colOff>
      <xdr:row>572</xdr:row>
      <xdr:rowOff>59871</xdr:rowOff>
    </xdr:from>
    <xdr:to>
      <xdr:col>8</xdr:col>
      <xdr:colOff>1382486</xdr:colOff>
      <xdr:row>595</xdr:row>
      <xdr:rowOff>141514</xdr:rowOff>
    </xdr:to>
    <xdr:graphicFrame macro="">
      <xdr:nvGraphicFramePr>
        <xdr:cNvPr id="1074" name="Kaavi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21771</xdr:colOff>
      <xdr:row>596</xdr:row>
      <xdr:rowOff>76200</xdr:rowOff>
    </xdr:from>
    <xdr:to>
      <xdr:col>8</xdr:col>
      <xdr:colOff>1317171</xdr:colOff>
      <xdr:row>623</xdr:row>
      <xdr:rowOff>92529</xdr:rowOff>
    </xdr:to>
    <xdr:graphicFrame macro="">
      <xdr:nvGraphicFramePr>
        <xdr:cNvPr id="1075" name="Kaavi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625</xdr:row>
      <xdr:rowOff>0</xdr:rowOff>
    </xdr:from>
    <xdr:to>
      <xdr:col>8</xdr:col>
      <xdr:colOff>1393371</xdr:colOff>
      <xdr:row>641</xdr:row>
      <xdr:rowOff>38100</xdr:rowOff>
    </xdr:to>
    <xdr:graphicFrame macro="">
      <xdr:nvGraphicFramePr>
        <xdr:cNvPr id="1076" name="Kaavi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10886</xdr:colOff>
      <xdr:row>643</xdr:row>
      <xdr:rowOff>97971</xdr:rowOff>
    </xdr:from>
    <xdr:to>
      <xdr:col>8</xdr:col>
      <xdr:colOff>1409700</xdr:colOff>
      <xdr:row>660</xdr:row>
      <xdr:rowOff>174171</xdr:rowOff>
    </xdr:to>
    <xdr:graphicFrame macro="">
      <xdr:nvGraphicFramePr>
        <xdr:cNvPr id="1077" name="Kaavi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27214</xdr:colOff>
      <xdr:row>677</xdr:row>
      <xdr:rowOff>0</xdr:rowOff>
    </xdr:from>
    <xdr:to>
      <xdr:col>8</xdr:col>
      <xdr:colOff>1344386</xdr:colOff>
      <xdr:row>713</xdr:row>
      <xdr:rowOff>174171</xdr:rowOff>
    </xdr:to>
    <xdr:graphicFrame macro="">
      <xdr:nvGraphicFramePr>
        <xdr:cNvPr id="1078" name="Kaavi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27214</xdr:colOff>
      <xdr:row>104</xdr:row>
      <xdr:rowOff>114300</xdr:rowOff>
    </xdr:from>
    <xdr:to>
      <xdr:col>8</xdr:col>
      <xdr:colOff>1306286</xdr:colOff>
      <xdr:row>147</xdr:row>
      <xdr:rowOff>152400</xdr:rowOff>
    </xdr:to>
    <xdr:graphicFrame macro="">
      <xdr:nvGraphicFramePr>
        <xdr:cNvPr id="1079" name="Kaavi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48986</xdr:colOff>
      <xdr:row>733</xdr:row>
      <xdr:rowOff>48986</xdr:rowOff>
    </xdr:from>
    <xdr:to>
      <xdr:col>8</xdr:col>
      <xdr:colOff>1393371</xdr:colOff>
      <xdr:row>763</xdr:row>
      <xdr:rowOff>76200</xdr:rowOff>
    </xdr:to>
    <xdr:graphicFrame macro="">
      <xdr:nvGraphicFramePr>
        <xdr:cNvPr id="1080" name="Kaavi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38100</xdr:colOff>
      <xdr:row>728</xdr:row>
      <xdr:rowOff>47625</xdr:rowOff>
    </xdr:from>
    <xdr:to>
      <xdr:col>8</xdr:col>
      <xdr:colOff>1390650</xdr:colOff>
      <xdr:row>731</xdr:row>
      <xdr:rowOff>47625</xdr:rowOff>
    </xdr:to>
    <xdr:sp macro="" textlink="">
      <xdr:nvSpPr>
        <xdr:cNvPr id="3" name="Tekstiruutu 2"/>
        <xdr:cNvSpPr txBox="1"/>
      </xdr:nvSpPr>
      <xdr:spPr>
        <a:xfrm>
          <a:off x="85725" y="131883150"/>
          <a:ext cx="68199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35. Miten arvioit kuntasi järjestämien palvelujen saatavuutta ja saavutettavuutta?</a:t>
          </a:r>
          <a:r>
            <a:rPr lang="fi-FI" sz="1200"/>
            <a:t> </a:t>
          </a:r>
        </a:p>
      </xdr:txBody>
    </xdr:sp>
    <xdr:clientData/>
  </xdr:twoCellAnchor>
  <xdr:twoCellAnchor>
    <xdr:from>
      <xdr:col>0</xdr:col>
      <xdr:colOff>27214</xdr:colOff>
      <xdr:row>783</xdr:row>
      <xdr:rowOff>152400</xdr:rowOff>
    </xdr:from>
    <xdr:to>
      <xdr:col>8</xdr:col>
      <xdr:colOff>1344386</xdr:colOff>
      <xdr:row>819</xdr:row>
      <xdr:rowOff>97971</xdr:rowOff>
    </xdr:to>
    <xdr:graphicFrame macro="">
      <xdr:nvGraphicFramePr>
        <xdr:cNvPr id="1082" name="Kaavi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780</xdr:row>
      <xdr:rowOff>85725</xdr:rowOff>
    </xdr:from>
    <xdr:to>
      <xdr:col>8</xdr:col>
      <xdr:colOff>1362075</xdr:colOff>
      <xdr:row>783</xdr:row>
      <xdr:rowOff>85725</xdr:rowOff>
    </xdr:to>
    <xdr:sp macro="" textlink="">
      <xdr:nvSpPr>
        <xdr:cNvPr id="34" name="Tekstiruutu 33"/>
        <xdr:cNvSpPr txBox="1"/>
      </xdr:nvSpPr>
      <xdr:spPr>
        <a:xfrm>
          <a:off x="57150" y="141331950"/>
          <a:ext cx="68199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35. Miten arvioit kuntasi järjestämien palvelujen saatavuutta ja saavutettavuutta?</a:t>
          </a:r>
          <a:r>
            <a:rPr lang="fi-FI" sz="1200"/>
            <a:t> </a:t>
          </a:r>
        </a:p>
      </xdr:txBody>
    </xdr:sp>
    <xdr:clientData/>
  </xdr:twoCellAnchor>
  <xdr:twoCellAnchor>
    <xdr:from>
      <xdr:col>1</xdr:col>
      <xdr:colOff>9525</xdr:colOff>
      <xdr:row>832</xdr:row>
      <xdr:rowOff>38100</xdr:rowOff>
    </xdr:from>
    <xdr:to>
      <xdr:col>8</xdr:col>
      <xdr:colOff>1362075</xdr:colOff>
      <xdr:row>835</xdr:row>
      <xdr:rowOff>38100</xdr:rowOff>
    </xdr:to>
    <xdr:sp macro="" textlink="">
      <xdr:nvSpPr>
        <xdr:cNvPr id="35" name="Tekstiruutu 34"/>
        <xdr:cNvSpPr txBox="1"/>
      </xdr:nvSpPr>
      <xdr:spPr>
        <a:xfrm>
          <a:off x="57150" y="150695025"/>
          <a:ext cx="68199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35. Miten arvioit kuntasi järjestämien palvelujen saatavuutta ja saavutettavuutta?</a:t>
          </a:r>
          <a:r>
            <a:rPr lang="fi-FI" sz="1200"/>
            <a:t> </a:t>
          </a:r>
        </a:p>
      </xdr:txBody>
    </xdr:sp>
    <xdr:clientData/>
  </xdr:twoCellAnchor>
  <xdr:twoCellAnchor>
    <xdr:from>
      <xdr:col>1</xdr:col>
      <xdr:colOff>0</xdr:colOff>
      <xdr:row>835</xdr:row>
      <xdr:rowOff>179614</xdr:rowOff>
    </xdr:from>
    <xdr:to>
      <xdr:col>8</xdr:col>
      <xdr:colOff>1333500</xdr:colOff>
      <xdr:row>873</xdr:row>
      <xdr:rowOff>76200</xdr:rowOff>
    </xdr:to>
    <xdr:graphicFrame macro="">
      <xdr:nvGraphicFramePr>
        <xdr:cNvPr id="1085" name="Kaavi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21771</xdr:colOff>
      <xdr:row>884</xdr:row>
      <xdr:rowOff>38100</xdr:rowOff>
    </xdr:from>
    <xdr:to>
      <xdr:col>8</xdr:col>
      <xdr:colOff>1360714</xdr:colOff>
      <xdr:row>906</xdr:row>
      <xdr:rowOff>152400</xdr:rowOff>
    </xdr:to>
    <xdr:graphicFrame macro="">
      <xdr:nvGraphicFramePr>
        <xdr:cNvPr id="1086" name="Kaavi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907</xdr:row>
      <xdr:rowOff>114300</xdr:rowOff>
    </xdr:from>
    <xdr:to>
      <xdr:col>8</xdr:col>
      <xdr:colOff>1317171</xdr:colOff>
      <xdr:row>935</xdr:row>
      <xdr:rowOff>125186</xdr:rowOff>
    </xdr:to>
    <xdr:graphicFrame macro="">
      <xdr:nvGraphicFramePr>
        <xdr:cNvPr id="1087" name="Kaavio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212271</xdr:colOff>
      <xdr:row>49</xdr:row>
      <xdr:rowOff>157843</xdr:rowOff>
    </xdr:from>
    <xdr:to>
      <xdr:col>30</xdr:col>
      <xdr:colOff>593271</xdr:colOff>
      <xdr:row>67</xdr:row>
      <xdr:rowOff>146957</xdr:rowOff>
    </xdr:to>
    <xdr:graphicFrame macro="">
      <xdr:nvGraphicFramePr>
        <xdr:cNvPr id="2050" name="Kaavi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takehitys%20ja%20Tutkimus/ARTTU2-TUTKIMUSOHJELMA/Osaprojekti_Toimintaymp&#228;rist&#246;analyysi%202014-15/Eero-sotetoimintaymp&#228;rist&#246;/Sotehallinto-seuran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ta_2014"/>
      <sheetName val="Kuntayhtymä_2014"/>
      <sheetName val="Kuntayhtymä_2014 (2)"/>
      <sheetName val="Vastuukunta_2014"/>
      <sheetName val="Vastuukunta_2014 (2)"/>
      <sheetName val="Terveyskeskus_2014"/>
      <sheetName val="Kunta_tk_shp_2014"/>
      <sheetName val="Kaikki_2005"/>
      <sheetName val="Kaikki_2006"/>
      <sheetName val="Kaikki_2007"/>
      <sheetName val="Kaikki_2009"/>
      <sheetName val="Kaikki_2010"/>
      <sheetName val="Kaikki_2011"/>
      <sheetName val="Kaikki_2012"/>
      <sheetName val="Kaikki_2013"/>
      <sheetName val="Kaikki_2014"/>
      <sheetName val="Kaikki_2015"/>
      <sheetName val="arttu-kunnat 2006"/>
      <sheetName val="arttu-kunnat 2007"/>
      <sheetName val="arttu-kunnat 2009"/>
      <sheetName val="arttu-kunnat 2010"/>
      <sheetName val="arttu-kunnat 2011"/>
      <sheetName val="arttu-kunnat 2012"/>
      <sheetName val="arttu-kunnat 2013"/>
      <sheetName val="arttu-kunnat 2014"/>
      <sheetName val="arttu-kunnat 2015"/>
      <sheetName val="kunnittain"/>
      <sheetName val="Muutokset"/>
      <sheetName val="hallintorakenteet"/>
      <sheetName val="ARTTU-kunnat"/>
      <sheetName val="vaesto"/>
      <sheetName val="Ta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Akaa</v>
          </cell>
          <cell r="B2">
            <v>17052</v>
          </cell>
        </row>
        <row r="3">
          <cell r="A3" t="str">
            <v>Alajärvi</v>
          </cell>
          <cell r="B3">
            <v>10171</v>
          </cell>
        </row>
        <row r="4">
          <cell r="A4" t="str">
            <v>Alavieska</v>
          </cell>
          <cell r="B4">
            <v>2687</v>
          </cell>
        </row>
        <row r="5">
          <cell r="A5" t="str">
            <v>Alavus</v>
          </cell>
          <cell r="B5">
            <v>12103</v>
          </cell>
        </row>
        <row r="6">
          <cell r="A6" t="str">
            <v>Asikkala</v>
          </cell>
          <cell r="B6">
            <v>8374</v>
          </cell>
        </row>
        <row r="7">
          <cell r="A7" t="str">
            <v>Askola</v>
          </cell>
          <cell r="B7">
            <v>5064</v>
          </cell>
        </row>
        <row r="8">
          <cell r="A8" t="str">
            <v>Aura</v>
          </cell>
          <cell r="B8">
            <v>3982</v>
          </cell>
        </row>
        <row r="9">
          <cell r="A9" t="str">
            <v>Brändö</v>
          </cell>
          <cell r="B9">
            <v>474</v>
          </cell>
        </row>
        <row r="10">
          <cell r="A10" t="str">
            <v>Eckerö</v>
          </cell>
          <cell r="B10">
            <v>932</v>
          </cell>
        </row>
        <row r="11">
          <cell r="A11" t="str">
            <v>Enonkoski</v>
          </cell>
          <cell r="B11">
            <v>1503</v>
          </cell>
        </row>
        <row r="12">
          <cell r="A12" t="str">
            <v>Enontekiö</v>
          </cell>
          <cell r="B12">
            <v>1890</v>
          </cell>
        </row>
        <row r="13">
          <cell r="A13" t="str">
            <v>Espoo</v>
          </cell>
          <cell r="B13">
            <v>265543</v>
          </cell>
        </row>
        <row r="14">
          <cell r="A14" t="str">
            <v>Eura</v>
          </cell>
          <cell r="B14">
            <v>12314</v>
          </cell>
        </row>
        <row r="15">
          <cell r="A15" t="str">
            <v>Eurajoki</v>
          </cell>
          <cell r="B15">
            <v>5954</v>
          </cell>
        </row>
        <row r="16">
          <cell r="A16" t="str">
            <v>Evijärvi</v>
          </cell>
          <cell r="B16">
            <v>2651</v>
          </cell>
        </row>
        <row r="17">
          <cell r="A17" t="str">
            <v>Finström</v>
          </cell>
          <cell r="B17">
            <v>2535</v>
          </cell>
        </row>
        <row r="18">
          <cell r="A18" t="str">
            <v>Forssa</v>
          </cell>
          <cell r="B18">
            <v>17521</v>
          </cell>
        </row>
        <row r="19">
          <cell r="A19" t="str">
            <v>Föglö</v>
          </cell>
          <cell r="B19">
            <v>568</v>
          </cell>
        </row>
        <row r="20">
          <cell r="A20" t="str">
            <v>Geta</v>
          </cell>
          <cell r="B20">
            <v>494</v>
          </cell>
        </row>
        <row r="21">
          <cell r="A21" t="str">
            <v>Haapajärvi</v>
          </cell>
          <cell r="B21">
            <v>7479</v>
          </cell>
        </row>
        <row r="22">
          <cell r="A22" t="str">
            <v>Haapavesi</v>
          </cell>
          <cell r="B22">
            <v>7175</v>
          </cell>
        </row>
        <row r="23">
          <cell r="A23" t="str">
            <v>Hailuoto</v>
          </cell>
          <cell r="B23">
            <v>997</v>
          </cell>
        </row>
        <row r="24">
          <cell r="A24" t="str">
            <v>Halsua</v>
          </cell>
          <cell r="B24">
            <v>1222</v>
          </cell>
        </row>
        <row r="25">
          <cell r="A25" t="str">
            <v>Hamina</v>
          </cell>
          <cell r="B25">
            <v>21061</v>
          </cell>
        </row>
        <row r="26">
          <cell r="A26" t="str">
            <v>Hammarland</v>
          </cell>
          <cell r="B26">
            <v>1531</v>
          </cell>
        </row>
        <row r="27">
          <cell r="A27" t="str">
            <v>Hankasalmi</v>
          </cell>
          <cell r="B27">
            <v>5307</v>
          </cell>
        </row>
        <row r="28">
          <cell r="A28" t="str">
            <v>Hanko</v>
          </cell>
          <cell r="B28">
            <v>9021</v>
          </cell>
        </row>
        <row r="29">
          <cell r="A29" t="str">
            <v>Harjavalta</v>
          </cell>
          <cell r="B29">
            <v>7366</v>
          </cell>
        </row>
        <row r="30">
          <cell r="A30" t="str">
            <v>Hartola</v>
          </cell>
          <cell r="B30">
            <v>3071</v>
          </cell>
        </row>
        <row r="31">
          <cell r="A31" t="str">
            <v>Hattula</v>
          </cell>
          <cell r="B31">
            <v>9738</v>
          </cell>
        </row>
        <row r="32">
          <cell r="A32" t="str">
            <v>Hausjärvi</v>
          </cell>
          <cell r="B32">
            <v>8815</v>
          </cell>
        </row>
        <row r="33">
          <cell r="A33" t="str">
            <v>Heinola</v>
          </cell>
          <cell r="B33">
            <v>19695</v>
          </cell>
        </row>
        <row r="34">
          <cell r="A34" t="str">
            <v>Heinävesi</v>
          </cell>
          <cell r="B34">
            <v>3638</v>
          </cell>
        </row>
        <row r="35">
          <cell r="A35" t="str">
            <v>Helsinki</v>
          </cell>
          <cell r="B35">
            <v>620715</v>
          </cell>
        </row>
        <row r="36">
          <cell r="A36" t="str">
            <v>Hirvensalmi</v>
          </cell>
          <cell r="B36">
            <v>2326</v>
          </cell>
        </row>
        <row r="37">
          <cell r="A37" t="str">
            <v>Hollola</v>
          </cell>
          <cell r="B37">
            <v>21892</v>
          </cell>
        </row>
        <row r="38">
          <cell r="A38" t="str">
            <v>Honkajoki</v>
          </cell>
          <cell r="B38">
            <v>1788</v>
          </cell>
        </row>
        <row r="39">
          <cell r="A39" t="str">
            <v>Huittinen</v>
          </cell>
          <cell r="B39">
            <v>10487</v>
          </cell>
        </row>
        <row r="40">
          <cell r="A40" t="str">
            <v>Humppila</v>
          </cell>
          <cell r="B40">
            <v>2440</v>
          </cell>
        </row>
        <row r="41">
          <cell r="A41" t="str">
            <v>Hyrynsalmi</v>
          </cell>
          <cell r="B41">
            <v>2490</v>
          </cell>
        </row>
        <row r="42">
          <cell r="A42" t="str">
            <v>Hyvinkää</v>
          </cell>
          <cell r="B42">
            <v>46366</v>
          </cell>
        </row>
        <row r="43">
          <cell r="A43" t="str">
            <v>Hämeenkoski</v>
          </cell>
          <cell r="B43">
            <v>2104</v>
          </cell>
        </row>
        <row r="44">
          <cell r="A44" t="str">
            <v>Hämeenkyrö</v>
          </cell>
          <cell r="B44">
            <v>10610</v>
          </cell>
        </row>
        <row r="45">
          <cell r="A45" t="str">
            <v>Hämeenlinna</v>
          </cell>
          <cell r="B45">
            <v>67976</v>
          </cell>
        </row>
        <row r="46">
          <cell r="A46" t="str">
            <v>Ii</v>
          </cell>
          <cell r="B46">
            <v>9666</v>
          </cell>
        </row>
        <row r="47">
          <cell r="A47" t="str">
            <v>Iisalmi</v>
          </cell>
          <cell r="B47">
            <v>22115</v>
          </cell>
        </row>
        <row r="48">
          <cell r="A48" t="str">
            <v>Iitti</v>
          </cell>
          <cell r="B48">
            <v>6950</v>
          </cell>
        </row>
        <row r="49">
          <cell r="A49" t="str">
            <v>Ikaalinen</v>
          </cell>
          <cell r="B49">
            <v>7298</v>
          </cell>
        </row>
        <row r="50">
          <cell r="A50" t="str">
            <v>Ilmajoki</v>
          </cell>
          <cell r="B50">
            <v>12181</v>
          </cell>
        </row>
        <row r="51">
          <cell r="A51" t="str">
            <v>Ilomantsi</v>
          </cell>
          <cell r="B51">
            <v>5504</v>
          </cell>
        </row>
        <row r="52">
          <cell r="A52" t="str">
            <v>Imatra</v>
          </cell>
          <cell r="B52">
            <v>28037</v>
          </cell>
        </row>
        <row r="53">
          <cell r="A53" t="str">
            <v>Inari</v>
          </cell>
          <cell r="B53">
            <v>6814</v>
          </cell>
        </row>
        <row r="54">
          <cell r="A54" t="str">
            <v>Inkoo</v>
          </cell>
          <cell r="B54">
            <v>5560</v>
          </cell>
        </row>
        <row r="55">
          <cell r="A55" t="str">
            <v>Isojoki</v>
          </cell>
          <cell r="B55">
            <v>2198</v>
          </cell>
        </row>
        <row r="56">
          <cell r="A56" t="str">
            <v>Isokyrö</v>
          </cell>
          <cell r="B56">
            <v>4842</v>
          </cell>
        </row>
        <row r="57">
          <cell r="A57" t="str">
            <v>Jalasjärvi</v>
          </cell>
          <cell r="B57">
            <v>7885</v>
          </cell>
        </row>
        <row r="58">
          <cell r="A58" t="str">
            <v>Janakkala</v>
          </cell>
          <cell r="B58">
            <v>16840</v>
          </cell>
        </row>
        <row r="59">
          <cell r="A59" t="str">
            <v>Joensuu</v>
          </cell>
          <cell r="B59">
            <v>75041</v>
          </cell>
        </row>
        <row r="60">
          <cell r="A60" t="str">
            <v>Jokioinen</v>
          </cell>
          <cell r="B60">
            <v>5516</v>
          </cell>
        </row>
        <row r="61">
          <cell r="A61" t="str">
            <v>Jomala</v>
          </cell>
          <cell r="B61">
            <v>4560</v>
          </cell>
        </row>
        <row r="62">
          <cell r="A62" t="str">
            <v>Joroinen</v>
          </cell>
          <cell r="B62">
            <v>5178</v>
          </cell>
        </row>
        <row r="63">
          <cell r="A63" t="str">
            <v>Joutsa</v>
          </cell>
          <cell r="B63">
            <v>4782</v>
          </cell>
        </row>
        <row r="64">
          <cell r="A64" t="str">
            <v>Juankoski</v>
          </cell>
          <cell r="B64">
            <v>4882</v>
          </cell>
        </row>
        <row r="65">
          <cell r="A65" t="str">
            <v>Juuka</v>
          </cell>
          <cell r="B65">
            <v>5140</v>
          </cell>
        </row>
        <row r="66">
          <cell r="A66" t="str">
            <v>Juupajoki</v>
          </cell>
          <cell r="B66">
            <v>2033</v>
          </cell>
        </row>
        <row r="67">
          <cell r="A67" t="str">
            <v>Juva</v>
          </cell>
          <cell r="B67">
            <v>6616</v>
          </cell>
        </row>
        <row r="68">
          <cell r="A68" t="str">
            <v>Jyväskylä</v>
          </cell>
          <cell r="B68">
            <v>135780</v>
          </cell>
        </row>
        <row r="69">
          <cell r="A69" t="str">
            <v>Jämijärvi</v>
          </cell>
          <cell r="B69">
            <v>1997</v>
          </cell>
        </row>
        <row r="70">
          <cell r="A70" t="str">
            <v>Jämsä</v>
          </cell>
          <cell r="B70">
            <v>21808</v>
          </cell>
        </row>
        <row r="71">
          <cell r="A71" t="str">
            <v>Järvenpää</v>
          </cell>
          <cell r="B71">
            <v>40390</v>
          </cell>
        </row>
        <row r="72">
          <cell r="A72" t="str">
            <v>Kaarina</v>
          </cell>
          <cell r="B72">
            <v>32148</v>
          </cell>
        </row>
        <row r="73">
          <cell r="A73" t="str">
            <v>Kaavi</v>
          </cell>
          <cell r="B73">
            <v>3214</v>
          </cell>
        </row>
        <row r="74">
          <cell r="A74" t="str">
            <v>Kajaani</v>
          </cell>
          <cell r="B74">
            <v>37791</v>
          </cell>
        </row>
        <row r="75">
          <cell r="A75" t="str">
            <v>Kalajoki</v>
          </cell>
          <cell r="B75">
            <v>12632</v>
          </cell>
        </row>
        <row r="76">
          <cell r="A76" t="str">
            <v>Kangasala</v>
          </cell>
          <cell r="B76">
            <v>30471</v>
          </cell>
        </row>
        <row r="77">
          <cell r="A77" t="str">
            <v>Kangasniemi</v>
          </cell>
          <cell r="B77">
            <v>5693</v>
          </cell>
        </row>
        <row r="78">
          <cell r="A78" t="str">
            <v>Kankaanpää</v>
          </cell>
          <cell r="B78">
            <v>11883</v>
          </cell>
        </row>
        <row r="79">
          <cell r="A79" t="str">
            <v>Kannonkoski</v>
          </cell>
          <cell r="B79">
            <v>1475</v>
          </cell>
        </row>
        <row r="80">
          <cell r="A80" t="str">
            <v>Kannus</v>
          </cell>
          <cell r="B80">
            <v>5643</v>
          </cell>
        </row>
        <row r="81">
          <cell r="A81" t="str">
            <v>Karijoki</v>
          </cell>
          <cell r="B81">
            <v>1409</v>
          </cell>
        </row>
        <row r="82">
          <cell r="A82" t="str">
            <v>Karkkila</v>
          </cell>
          <cell r="B82">
            <v>8977</v>
          </cell>
        </row>
        <row r="83">
          <cell r="A83" t="str">
            <v>Karstula</v>
          </cell>
          <cell r="B83">
            <v>4286</v>
          </cell>
        </row>
        <row r="84">
          <cell r="A84" t="str">
            <v>Karvia</v>
          </cell>
          <cell r="B84">
            <v>2491</v>
          </cell>
        </row>
        <row r="85">
          <cell r="A85" t="str">
            <v>Kaskinen</v>
          </cell>
          <cell r="B85">
            <v>1324</v>
          </cell>
        </row>
        <row r="86">
          <cell r="A86" t="str">
            <v>Kauhajoki</v>
          </cell>
          <cell r="B86">
            <v>14007</v>
          </cell>
        </row>
        <row r="87">
          <cell r="A87" t="str">
            <v>Kauhava</v>
          </cell>
          <cell r="B87">
            <v>16908</v>
          </cell>
        </row>
        <row r="88">
          <cell r="A88" t="str">
            <v>Kauniainen</v>
          </cell>
          <cell r="B88">
            <v>9357</v>
          </cell>
        </row>
        <row r="89">
          <cell r="A89" t="str">
            <v>Kaustinen</v>
          </cell>
          <cell r="B89">
            <v>4283</v>
          </cell>
        </row>
        <row r="90">
          <cell r="A90" t="str">
            <v>Keitele</v>
          </cell>
          <cell r="B90">
            <v>2398</v>
          </cell>
        </row>
        <row r="91">
          <cell r="A91" t="str">
            <v>Kemi</v>
          </cell>
          <cell r="B91">
            <v>21929</v>
          </cell>
        </row>
        <row r="92">
          <cell r="A92" t="str">
            <v>Kemijärvi</v>
          </cell>
          <cell r="B92">
            <v>7892</v>
          </cell>
        </row>
        <row r="93">
          <cell r="A93" t="str">
            <v>Keminmaa</v>
          </cell>
          <cell r="B93">
            <v>8469</v>
          </cell>
        </row>
        <row r="94">
          <cell r="A94" t="str">
            <v>Kemiönsaari</v>
          </cell>
          <cell r="B94">
            <v>6943</v>
          </cell>
        </row>
        <row r="95">
          <cell r="A95" t="str">
            <v>Kempele</v>
          </cell>
          <cell r="B95">
            <v>16889</v>
          </cell>
        </row>
        <row r="96">
          <cell r="A96" t="str">
            <v>Kerava</v>
          </cell>
          <cell r="B96">
            <v>35317</v>
          </cell>
        </row>
        <row r="97">
          <cell r="A97" t="str">
            <v>Keuruu</v>
          </cell>
          <cell r="B97">
            <v>10177</v>
          </cell>
        </row>
        <row r="98">
          <cell r="A98" t="str">
            <v>Kihniö</v>
          </cell>
          <cell r="B98">
            <v>2080</v>
          </cell>
        </row>
        <row r="99">
          <cell r="A99" t="str">
            <v>Kinnula</v>
          </cell>
          <cell r="B99">
            <v>1766</v>
          </cell>
        </row>
        <row r="100">
          <cell r="A100" t="str">
            <v>Kirkkonummi</v>
          </cell>
          <cell r="B100">
            <v>38220</v>
          </cell>
        </row>
        <row r="101">
          <cell r="A101" t="str">
            <v>Kitee</v>
          </cell>
          <cell r="B101">
            <v>10986</v>
          </cell>
        </row>
        <row r="102">
          <cell r="A102" t="str">
            <v>Kittilä</v>
          </cell>
          <cell r="B102">
            <v>6470</v>
          </cell>
        </row>
        <row r="103">
          <cell r="A103" t="str">
            <v>Kiuruvesi</v>
          </cell>
          <cell r="B103">
            <v>8752</v>
          </cell>
        </row>
        <row r="104">
          <cell r="A104" t="str">
            <v>Kivijärvi</v>
          </cell>
          <cell r="B104">
            <v>1244</v>
          </cell>
        </row>
        <row r="105">
          <cell r="A105" t="str">
            <v>Kokemäki</v>
          </cell>
          <cell r="B105">
            <v>7702</v>
          </cell>
        </row>
        <row r="106">
          <cell r="A106" t="str">
            <v>Kokkola</v>
          </cell>
          <cell r="B106">
            <v>47278</v>
          </cell>
        </row>
        <row r="107">
          <cell r="A107" t="str">
            <v>Kolari</v>
          </cell>
          <cell r="B107">
            <v>3840</v>
          </cell>
        </row>
        <row r="108">
          <cell r="A108" t="str">
            <v>Konnevesi</v>
          </cell>
          <cell r="B108">
            <v>2831</v>
          </cell>
        </row>
        <row r="109">
          <cell r="A109" t="str">
            <v>Kontiolahti</v>
          </cell>
          <cell r="B109">
            <v>14681</v>
          </cell>
        </row>
        <row r="110">
          <cell r="A110" t="str">
            <v>Korsnäs</v>
          </cell>
          <cell r="B110">
            <v>2219</v>
          </cell>
        </row>
        <row r="111">
          <cell r="A111" t="str">
            <v>Koski Tl</v>
          </cell>
          <cell r="B111">
            <v>2438</v>
          </cell>
        </row>
        <row r="112">
          <cell r="A112" t="str">
            <v>Kotka</v>
          </cell>
          <cell r="B112">
            <v>54518</v>
          </cell>
        </row>
        <row r="113">
          <cell r="A113" t="str">
            <v>Kouvola</v>
          </cell>
          <cell r="B113">
            <v>86453</v>
          </cell>
        </row>
        <row r="114">
          <cell r="A114" t="str">
            <v>Kristiinankaupunki</v>
          </cell>
          <cell r="B114">
            <v>6845</v>
          </cell>
        </row>
        <row r="115">
          <cell r="A115" t="str">
            <v>Kruunupyy</v>
          </cell>
          <cell r="B115">
            <v>6662</v>
          </cell>
        </row>
        <row r="116">
          <cell r="A116" t="str">
            <v>Kuhmo</v>
          </cell>
          <cell r="B116">
            <v>8950</v>
          </cell>
        </row>
        <row r="117">
          <cell r="A117" t="str">
            <v>Kuhmoinen</v>
          </cell>
          <cell r="B117">
            <v>2374</v>
          </cell>
        </row>
        <row r="118">
          <cell r="A118" t="str">
            <v>Kumlinge</v>
          </cell>
          <cell r="B118">
            <v>328</v>
          </cell>
        </row>
        <row r="119">
          <cell r="A119" t="str">
            <v>Kuopio</v>
          </cell>
          <cell r="B119">
            <v>111289</v>
          </cell>
        </row>
        <row r="120">
          <cell r="A120" t="str">
            <v>Kuortane</v>
          </cell>
          <cell r="B120">
            <v>3727</v>
          </cell>
        </row>
        <row r="121">
          <cell r="A121" t="str">
            <v>Kurikka</v>
          </cell>
          <cell r="B121">
            <v>14188</v>
          </cell>
        </row>
        <row r="122">
          <cell r="A122" t="str">
            <v>Kustavi</v>
          </cell>
          <cell r="B122">
            <v>892</v>
          </cell>
        </row>
        <row r="123">
          <cell r="A123" t="str">
            <v>Kuusamo</v>
          </cell>
          <cell r="B123">
            <v>15823</v>
          </cell>
        </row>
        <row r="124">
          <cell r="A124" t="str">
            <v>Kyyjärvi</v>
          </cell>
          <cell r="B124">
            <v>1399</v>
          </cell>
        </row>
        <row r="125">
          <cell r="A125" t="str">
            <v>Kärkölä</v>
          </cell>
          <cell r="B125">
            <v>4647</v>
          </cell>
        </row>
        <row r="126">
          <cell r="A126" t="str">
            <v>Kärsämäki</v>
          </cell>
          <cell r="B126">
            <v>2696</v>
          </cell>
        </row>
        <row r="127">
          <cell r="A127" t="str">
            <v>Kökar</v>
          </cell>
          <cell r="B127">
            <v>254</v>
          </cell>
        </row>
        <row r="128">
          <cell r="A128" t="str">
            <v>Köyliö</v>
          </cell>
          <cell r="B128">
            <v>2647</v>
          </cell>
        </row>
        <row r="129">
          <cell r="A129" t="str">
            <v>Lahti</v>
          </cell>
          <cell r="B129">
            <v>103754</v>
          </cell>
        </row>
        <row r="130">
          <cell r="A130" t="str">
            <v>Laihia</v>
          </cell>
          <cell r="B130">
            <v>8068</v>
          </cell>
        </row>
        <row r="131">
          <cell r="A131" t="str">
            <v>Laitila</v>
          </cell>
          <cell r="B131">
            <v>8542</v>
          </cell>
        </row>
        <row r="132">
          <cell r="A132" t="str">
            <v>Lapinjärvi</v>
          </cell>
          <cell r="B132">
            <v>2779</v>
          </cell>
        </row>
        <row r="133">
          <cell r="A133" t="str">
            <v>Lapinlahti</v>
          </cell>
          <cell r="B133">
            <v>10093</v>
          </cell>
        </row>
        <row r="134">
          <cell r="A134" t="str">
            <v>Lappajärvi</v>
          </cell>
          <cell r="B134">
            <v>3259</v>
          </cell>
        </row>
        <row r="135">
          <cell r="A135" t="str">
            <v>Lappeenranta</v>
          </cell>
          <cell r="B135">
            <v>72794</v>
          </cell>
        </row>
        <row r="136">
          <cell r="A136" t="str">
            <v>Lapua</v>
          </cell>
          <cell r="B136">
            <v>14733</v>
          </cell>
        </row>
        <row r="137">
          <cell r="A137" t="str">
            <v>Laukaa</v>
          </cell>
          <cell r="B137">
            <v>18709</v>
          </cell>
        </row>
        <row r="138">
          <cell r="A138" t="str">
            <v>Lemi</v>
          </cell>
          <cell r="B138">
            <v>3116</v>
          </cell>
        </row>
        <row r="139">
          <cell r="A139" t="str">
            <v>Lemland</v>
          </cell>
          <cell r="B139">
            <v>1943</v>
          </cell>
        </row>
        <row r="140">
          <cell r="A140" t="str">
            <v>Lempäälä</v>
          </cell>
          <cell r="B140">
            <v>22233</v>
          </cell>
        </row>
        <row r="141">
          <cell r="A141" t="str">
            <v>Leppävirta</v>
          </cell>
          <cell r="B141">
            <v>10015</v>
          </cell>
        </row>
        <row r="142">
          <cell r="A142" t="str">
            <v>Lestijärvi</v>
          </cell>
          <cell r="B142">
            <v>817</v>
          </cell>
        </row>
        <row r="143">
          <cell r="A143" t="str">
            <v>Lieksa</v>
          </cell>
          <cell r="B143">
            <v>12117</v>
          </cell>
        </row>
        <row r="144">
          <cell r="A144" t="str">
            <v>Lieto</v>
          </cell>
          <cell r="B144">
            <v>19209</v>
          </cell>
        </row>
        <row r="145">
          <cell r="A145" t="str">
            <v>Liminka</v>
          </cell>
          <cell r="B145">
            <v>9740</v>
          </cell>
        </row>
        <row r="146">
          <cell r="A146" t="str">
            <v>Liperi</v>
          </cell>
          <cell r="B146">
            <v>12335</v>
          </cell>
        </row>
        <row r="147">
          <cell r="A147" t="str">
            <v>Lohja</v>
          </cell>
          <cell r="B147">
            <v>47624</v>
          </cell>
        </row>
        <row r="148">
          <cell r="A148" t="str">
            <v>Loimaa</v>
          </cell>
          <cell r="B148">
            <v>16607</v>
          </cell>
        </row>
        <row r="149">
          <cell r="A149" t="str">
            <v>Loppi</v>
          </cell>
          <cell r="B149">
            <v>8291</v>
          </cell>
        </row>
        <row r="150">
          <cell r="A150" t="str">
            <v>Loviisa</v>
          </cell>
          <cell r="B150">
            <v>15480</v>
          </cell>
        </row>
        <row r="151">
          <cell r="A151" t="str">
            <v>Luhanka</v>
          </cell>
          <cell r="B151">
            <v>761</v>
          </cell>
        </row>
        <row r="152">
          <cell r="A152" t="str">
            <v>Lumijoki</v>
          </cell>
          <cell r="B152">
            <v>2074</v>
          </cell>
        </row>
        <row r="153">
          <cell r="A153" t="str">
            <v>Lumparland</v>
          </cell>
          <cell r="B153">
            <v>418</v>
          </cell>
        </row>
        <row r="154">
          <cell r="A154" t="str">
            <v>Luoto</v>
          </cell>
          <cell r="B154">
            <v>5107</v>
          </cell>
        </row>
        <row r="155">
          <cell r="A155" t="str">
            <v>Luumäki</v>
          </cell>
          <cell r="B155">
            <v>4949</v>
          </cell>
        </row>
        <row r="156">
          <cell r="A156" t="str">
            <v>Luvia</v>
          </cell>
          <cell r="B156">
            <v>3340</v>
          </cell>
        </row>
        <row r="157">
          <cell r="A157" t="str">
            <v>Maalahti</v>
          </cell>
          <cell r="B157">
            <v>5573</v>
          </cell>
        </row>
        <row r="158">
          <cell r="A158" t="str">
            <v>Maarianhamina - Mariehamn</v>
          </cell>
          <cell r="B158">
            <v>11479</v>
          </cell>
        </row>
        <row r="159">
          <cell r="A159" t="str">
            <v>Marttila</v>
          </cell>
          <cell r="B159">
            <v>2070</v>
          </cell>
        </row>
        <row r="160">
          <cell r="A160" t="str">
            <v>Masku</v>
          </cell>
          <cell r="B160">
            <v>9767</v>
          </cell>
        </row>
        <row r="161">
          <cell r="A161" t="str">
            <v>Merijärvi</v>
          </cell>
          <cell r="B161">
            <v>1150</v>
          </cell>
        </row>
        <row r="162">
          <cell r="A162" t="str">
            <v>Merikarvia</v>
          </cell>
          <cell r="B162">
            <v>3246</v>
          </cell>
        </row>
        <row r="163">
          <cell r="A163" t="str">
            <v>Miehikkälä</v>
          </cell>
          <cell r="B163">
            <v>2123</v>
          </cell>
        </row>
        <row r="164">
          <cell r="A164" t="str">
            <v>Mikkeli</v>
          </cell>
          <cell r="B164">
            <v>54605</v>
          </cell>
        </row>
        <row r="165">
          <cell r="A165" t="str">
            <v>Muhos</v>
          </cell>
          <cell r="B165">
            <v>8986</v>
          </cell>
        </row>
        <row r="166">
          <cell r="A166" t="str">
            <v>Multia</v>
          </cell>
          <cell r="B166">
            <v>1763</v>
          </cell>
        </row>
        <row r="167">
          <cell r="A167" t="str">
            <v>Muonio</v>
          </cell>
          <cell r="B167">
            <v>2375</v>
          </cell>
        </row>
        <row r="168">
          <cell r="A168" t="str">
            <v>Mustasaari</v>
          </cell>
          <cell r="B168">
            <v>19287</v>
          </cell>
        </row>
        <row r="169">
          <cell r="A169" t="str">
            <v>Muurame</v>
          </cell>
          <cell r="B169">
            <v>9700</v>
          </cell>
        </row>
        <row r="170">
          <cell r="A170" t="str">
            <v>Mynämäki</v>
          </cell>
          <cell r="B170">
            <v>7917</v>
          </cell>
        </row>
        <row r="171">
          <cell r="A171" t="str">
            <v>Myrskylä</v>
          </cell>
          <cell r="B171">
            <v>1985</v>
          </cell>
        </row>
        <row r="172">
          <cell r="A172" t="str">
            <v>Mäntsälä</v>
          </cell>
          <cell r="B172">
            <v>20621</v>
          </cell>
        </row>
        <row r="173">
          <cell r="A173" t="str">
            <v>Mänttä-Vilppula</v>
          </cell>
          <cell r="B173">
            <v>10723</v>
          </cell>
        </row>
        <row r="174">
          <cell r="A174" t="str">
            <v>Mäntyharju</v>
          </cell>
          <cell r="B174">
            <v>6266</v>
          </cell>
        </row>
        <row r="175">
          <cell r="A175" t="str">
            <v>Naantali</v>
          </cell>
          <cell r="B175">
            <v>18871</v>
          </cell>
        </row>
        <row r="176">
          <cell r="A176" t="str">
            <v>Nakkila</v>
          </cell>
          <cell r="B176">
            <v>5651</v>
          </cell>
        </row>
        <row r="177">
          <cell r="A177" t="str">
            <v>Nastola</v>
          </cell>
          <cell r="B177">
            <v>14890</v>
          </cell>
        </row>
        <row r="178">
          <cell r="A178" t="str">
            <v>Nivala</v>
          </cell>
          <cell r="B178">
            <v>10945</v>
          </cell>
        </row>
        <row r="179">
          <cell r="A179" t="str">
            <v>Nokia</v>
          </cell>
          <cell r="B179">
            <v>32847</v>
          </cell>
        </row>
        <row r="180">
          <cell r="A180" t="str">
            <v>Nousiainen</v>
          </cell>
          <cell r="B180">
            <v>4844</v>
          </cell>
        </row>
        <row r="181">
          <cell r="A181" t="str">
            <v>Nurmes</v>
          </cell>
          <cell r="B181">
            <v>8082</v>
          </cell>
        </row>
        <row r="182">
          <cell r="A182" t="str">
            <v>Nurmijärvi</v>
          </cell>
          <cell r="B182">
            <v>41577</v>
          </cell>
        </row>
        <row r="183">
          <cell r="A183" t="str">
            <v>Närpiö</v>
          </cell>
          <cell r="B183">
            <v>9389</v>
          </cell>
        </row>
        <row r="184">
          <cell r="A184" t="str">
            <v>Orimattila</v>
          </cell>
          <cell r="B184">
            <v>16288</v>
          </cell>
        </row>
        <row r="185">
          <cell r="A185" t="str">
            <v>Oripää</v>
          </cell>
          <cell r="B185">
            <v>1417</v>
          </cell>
        </row>
        <row r="186">
          <cell r="A186" t="str">
            <v>Orivesi</v>
          </cell>
          <cell r="B186">
            <v>9579</v>
          </cell>
        </row>
        <row r="187">
          <cell r="A187" t="str">
            <v>Oulainen</v>
          </cell>
          <cell r="B187">
            <v>7725</v>
          </cell>
        </row>
        <row r="188">
          <cell r="A188" t="str">
            <v>Oulu</v>
          </cell>
          <cell r="B188">
            <v>196291</v>
          </cell>
        </row>
        <row r="189">
          <cell r="A189" t="str">
            <v>Outokumpu</v>
          </cell>
          <cell r="B189">
            <v>7172</v>
          </cell>
        </row>
        <row r="190">
          <cell r="A190" t="str">
            <v>Padasjoki</v>
          </cell>
          <cell r="B190">
            <v>3197</v>
          </cell>
        </row>
        <row r="191">
          <cell r="A191" t="str">
            <v>Paimio</v>
          </cell>
          <cell r="B191">
            <v>10628</v>
          </cell>
        </row>
        <row r="192">
          <cell r="A192" t="str">
            <v>Paltamo</v>
          </cell>
          <cell r="B192">
            <v>3564</v>
          </cell>
        </row>
        <row r="193">
          <cell r="A193" t="str">
            <v>Parainen</v>
          </cell>
          <cell r="B193">
            <v>15494</v>
          </cell>
        </row>
        <row r="194">
          <cell r="A194" t="str">
            <v>Parikkala</v>
          </cell>
          <cell r="B194">
            <v>5373</v>
          </cell>
        </row>
        <row r="195">
          <cell r="A195" t="str">
            <v>Parkano</v>
          </cell>
          <cell r="B195">
            <v>6808</v>
          </cell>
        </row>
        <row r="196">
          <cell r="A196" t="str">
            <v>Pedersören kunta</v>
          </cell>
          <cell r="B196">
            <v>11060</v>
          </cell>
        </row>
        <row r="197">
          <cell r="A197" t="str">
            <v>Pelkosenniemi</v>
          </cell>
          <cell r="B197">
            <v>947</v>
          </cell>
        </row>
        <row r="198">
          <cell r="A198" t="str">
            <v>Pello</v>
          </cell>
          <cell r="B198">
            <v>3676</v>
          </cell>
        </row>
        <row r="199">
          <cell r="A199" t="str">
            <v>Perho</v>
          </cell>
          <cell r="B199">
            <v>2893</v>
          </cell>
        </row>
        <row r="200">
          <cell r="A200" t="str">
            <v>Pertunmaa</v>
          </cell>
          <cell r="B200">
            <v>1832</v>
          </cell>
        </row>
        <row r="201">
          <cell r="A201" t="str">
            <v>Petäjävesi</v>
          </cell>
          <cell r="B201">
            <v>4081</v>
          </cell>
        </row>
        <row r="202">
          <cell r="A202" t="str">
            <v>Pieksämäki</v>
          </cell>
          <cell r="B202">
            <v>19051</v>
          </cell>
        </row>
        <row r="203">
          <cell r="A203" t="str">
            <v>Pielavesi</v>
          </cell>
          <cell r="B203">
            <v>4787</v>
          </cell>
        </row>
        <row r="204">
          <cell r="A204" t="str">
            <v>Pietarsaari</v>
          </cell>
          <cell r="B204">
            <v>19577</v>
          </cell>
        </row>
        <row r="205">
          <cell r="A205" t="str">
            <v>Pihtipudas</v>
          </cell>
          <cell r="B205">
            <v>4261</v>
          </cell>
        </row>
        <row r="206">
          <cell r="A206" t="str">
            <v>Pirkkala</v>
          </cell>
          <cell r="B206">
            <v>18689</v>
          </cell>
        </row>
        <row r="207">
          <cell r="A207" t="str">
            <v>Polvijärvi</v>
          </cell>
          <cell r="B207">
            <v>4609</v>
          </cell>
        </row>
        <row r="208">
          <cell r="A208" t="str">
            <v>Pomarkku</v>
          </cell>
          <cell r="B208">
            <v>2275</v>
          </cell>
        </row>
        <row r="209">
          <cell r="A209" t="str">
            <v>Pori</v>
          </cell>
          <cell r="B209">
            <v>85418</v>
          </cell>
        </row>
        <row r="210">
          <cell r="A210" t="str">
            <v>Pornainen</v>
          </cell>
          <cell r="B210">
            <v>5148</v>
          </cell>
        </row>
        <row r="211">
          <cell r="A211" t="str">
            <v>Porvoo</v>
          </cell>
          <cell r="B211">
            <v>49728</v>
          </cell>
        </row>
        <row r="212">
          <cell r="A212" t="str">
            <v>Posio</v>
          </cell>
          <cell r="B212">
            <v>3633</v>
          </cell>
        </row>
        <row r="213">
          <cell r="A213" t="str">
            <v>Pudasjärvi</v>
          </cell>
          <cell r="B213">
            <v>8399</v>
          </cell>
        </row>
        <row r="214">
          <cell r="A214" t="str">
            <v>Pukkila</v>
          </cell>
          <cell r="B214">
            <v>2013</v>
          </cell>
        </row>
        <row r="215">
          <cell r="A215" t="str">
            <v>Punkalaidun</v>
          </cell>
          <cell r="B215">
            <v>3117</v>
          </cell>
        </row>
        <row r="216">
          <cell r="A216" t="str">
            <v>Puolanka</v>
          </cell>
          <cell r="B216">
            <v>2824</v>
          </cell>
        </row>
        <row r="217">
          <cell r="A217" t="str">
            <v>Puumala</v>
          </cell>
          <cell r="B217">
            <v>2306</v>
          </cell>
        </row>
        <row r="218">
          <cell r="A218" t="str">
            <v>Pyhtää</v>
          </cell>
          <cell r="B218">
            <v>5354</v>
          </cell>
        </row>
        <row r="219">
          <cell r="A219" t="str">
            <v>Pyhäjoki</v>
          </cell>
          <cell r="B219">
            <v>3290</v>
          </cell>
        </row>
        <row r="220">
          <cell r="A220" t="str">
            <v>Pyhäjärvi</v>
          </cell>
          <cell r="B220">
            <v>5562</v>
          </cell>
        </row>
        <row r="221">
          <cell r="A221" t="str">
            <v>Pyhäntä</v>
          </cell>
          <cell r="B221">
            <v>1562</v>
          </cell>
        </row>
        <row r="222">
          <cell r="A222" t="str">
            <v>Pyhäranta</v>
          </cell>
          <cell r="B222">
            <v>2136</v>
          </cell>
        </row>
        <row r="223">
          <cell r="A223" t="str">
            <v>Pälkäne</v>
          </cell>
          <cell r="B223">
            <v>6722</v>
          </cell>
        </row>
        <row r="224">
          <cell r="A224" t="str">
            <v>Pöytyä</v>
          </cell>
          <cell r="B224">
            <v>8619</v>
          </cell>
        </row>
        <row r="225">
          <cell r="A225" t="str">
            <v>Raahe</v>
          </cell>
          <cell r="B225">
            <v>25383</v>
          </cell>
        </row>
        <row r="226">
          <cell r="A226" t="str">
            <v>Raasepori</v>
          </cell>
          <cell r="B226">
            <v>28674</v>
          </cell>
        </row>
        <row r="227">
          <cell r="A227" t="str">
            <v>Raisio</v>
          </cell>
          <cell r="B227">
            <v>24371</v>
          </cell>
        </row>
        <row r="228">
          <cell r="A228" t="str">
            <v>Rantasalmi</v>
          </cell>
          <cell r="B228">
            <v>3815</v>
          </cell>
        </row>
        <row r="229">
          <cell r="A229" t="str">
            <v>Ranua</v>
          </cell>
          <cell r="B229">
            <v>4093</v>
          </cell>
        </row>
        <row r="230">
          <cell r="A230" t="str">
            <v>Rauma</v>
          </cell>
          <cell r="B230">
            <v>39970</v>
          </cell>
        </row>
        <row r="231">
          <cell r="A231" t="str">
            <v>Rautalampi</v>
          </cell>
          <cell r="B231">
            <v>3374</v>
          </cell>
        </row>
        <row r="232">
          <cell r="A232" t="str">
            <v>Rautavaara</v>
          </cell>
          <cell r="B232">
            <v>1768</v>
          </cell>
        </row>
        <row r="233">
          <cell r="A233" t="str">
            <v>Rautjärvi</v>
          </cell>
          <cell r="B233">
            <v>3626</v>
          </cell>
        </row>
        <row r="234">
          <cell r="A234" t="str">
            <v>Reisjärvi</v>
          </cell>
          <cell r="B234">
            <v>2901</v>
          </cell>
        </row>
        <row r="235">
          <cell r="A235" t="str">
            <v>Riihimäki</v>
          </cell>
          <cell r="B235">
            <v>29350</v>
          </cell>
        </row>
        <row r="236">
          <cell r="A236" t="str">
            <v>Ristijärvi</v>
          </cell>
          <cell r="B236">
            <v>1416</v>
          </cell>
        </row>
        <row r="237">
          <cell r="A237" t="str">
            <v>Rovaniemi</v>
          </cell>
          <cell r="B237">
            <v>61551</v>
          </cell>
        </row>
        <row r="238">
          <cell r="A238" t="str">
            <v>Ruokolahti</v>
          </cell>
          <cell r="B238">
            <v>5404</v>
          </cell>
        </row>
        <row r="239">
          <cell r="A239" t="str">
            <v>Ruovesi</v>
          </cell>
          <cell r="B239">
            <v>4689</v>
          </cell>
        </row>
        <row r="240">
          <cell r="A240" t="str">
            <v>Rusko</v>
          </cell>
          <cell r="B240">
            <v>6045</v>
          </cell>
        </row>
        <row r="241">
          <cell r="A241" t="str">
            <v>Rääkkylä</v>
          </cell>
          <cell r="B241">
            <v>2435</v>
          </cell>
        </row>
        <row r="242">
          <cell r="A242" t="str">
            <v>Saarijärvi</v>
          </cell>
          <cell r="B242">
            <v>10084</v>
          </cell>
        </row>
        <row r="243">
          <cell r="A243" t="str">
            <v>Salla</v>
          </cell>
          <cell r="B243">
            <v>3781</v>
          </cell>
        </row>
        <row r="244">
          <cell r="A244" t="str">
            <v>Salo</v>
          </cell>
          <cell r="B244">
            <v>54238</v>
          </cell>
        </row>
        <row r="245">
          <cell r="A245" t="str">
            <v>Saltvik</v>
          </cell>
          <cell r="B245">
            <v>1825</v>
          </cell>
        </row>
        <row r="246">
          <cell r="A246" t="str">
            <v>Sastamala</v>
          </cell>
          <cell r="B246">
            <v>25372</v>
          </cell>
        </row>
        <row r="247">
          <cell r="A247" t="str">
            <v>Sauvo</v>
          </cell>
          <cell r="B247">
            <v>2999</v>
          </cell>
        </row>
        <row r="248">
          <cell r="A248" t="str">
            <v>Savitaipale</v>
          </cell>
          <cell r="B248">
            <v>3667</v>
          </cell>
        </row>
        <row r="249">
          <cell r="A249" t="str">
            <v>Savonlinna</v>
          </cell>
          <cell r="B249">
            <v>35944</v>
          </cell>
        </row>
        <row r="250">
          <cell r="A250" t="str">
            <v>Savukoski</v>
          </cell>
          <cell r="B250">
            <v>1103</v>
          </cell>
        </row>
        <row r="251">
          <cell r="A251" t="str">
            <v>Seinäjoki</v>
          </cell>
          <cell r="B251">
            <v>60880</v>
          </cell>
        </row>
        <row r="252">
          <cell r="A252" t="str">
            <v>Sievi</v>
          </cell>
          <cell r="B252">
            <v>5154</v>
          </cell>
        </row>
        <row r="253">
          <cell r="A253" t="str">
            <v>Siikainen</v>
          </cell>
          <cell r="B253">
            <v>1593</v>
          </cell>
        </row>
        <row r="254">
          <cell r="A254" t="str">
            <v>Siikajoki</v>
          </cell>
          <cell r="B254">
            <v>5526</v>
          </cell>
        </row>
        <row r="255">
          <cell r="A255" t="str">
            <v>Siikalatva</v>
          </cell>
          <cell r="B255">
            <v>5816</v>
          </cell>
        </row>
        <row r="256">
          <cell r="A256" t="str">
            <v>Siilinjärvi</v>
          </cell>
          <cell r="B256">
            <v>21668</v>
          </cell>
        </row>
        <row r="257">
          <cell r="A257" t="str">
            <v>Simo</v>
          </cell>
          <cell r="B257">
            <v>3296</v>
          </cell>
        </row>
        <row r="258">
          <cell r="A258" t="str">
            <v>Sipoo</v>
          </cell>
          <cell r="B258">
            <v>19034</v>
          </cell>
        </row>
        <row r="259">
          <cell r="A259" t="str">
            <v>Siuntio</v>
          </cell>
          <cell r="B259">
            <v>6199</v>
          </cell>
        </row>
        <row r="260">
          <cell r="A260" t="str">
            <v>Sodankylä</v>
          </cell>
          <cell r="B260">
            <v>8820</v>
          </cell>
        </row>
        <row r="261">
          <cell r="A261" t="str">
            <v>Soini</v>
          </cell>
          <cell r="B261">
            <v>2273</v>
          </cell>
        </row>
        <row r="262">
          <cell r="A262" t="str">
            <v>Somero</v>
          </cell>
          <cell r="B262">
            <v>9173</v>
          </cell>
        </row>
        <row r="263">
          <cell r="A263" t="str">
            <v>Sonkajärvi</v>
          </cell>
          <cell r="B263">
            <v>4336</v>
          </cell>
        </row>
        <row r="264">
          <cell r="A264" t="str">
            <v>Sotkamo</v>
          </cell>
          <cell r="B264">
            <v>10598</v>
          </cell>
        </row>
        <row r="265">
          <cell r="A265" t="str">
            <v>Sottunga</v>
          </cell>
          <cell r="B265">
            <v>101</v>
          </cell>
        </row>
        <row r="266">
          <cell r="A266" t="str">
            <v>Sulkava</v>
          </cell>
          <cell r="B266">
            <v>2789</v>
          </cell>
        </row>
        <row r="267">
          <cell r="A267" t="str">
            <v>Sund</v>
          </cell>
          <cell r="B267">
            <v>1035</v>
          </cell>
        </row>
        <row r="268">
          <cell r="A268" t="str">
            <v>Suomussalmi</v>
          </cell>
          <cell r="B268">
            <v>8486</v>
          </cell>
        </row>
        <row r="269">
          <cell r="A269" t="str">
            <v>Suonenjoki</v>
          </cell>
          <cell r="B269">
            <v>7419</v>
          </cell>
        </row>
        <row r="270">
          <cell r="A270" t="str">
            <v>Sysmä</v>
          </cell>
          <cell r="B270">
            <v>4097</v>
          </cell>
        </row>
        <row r="271">
          <cell r="A271" t="str">
            <v>Säkylä</v>
          </cell>
          <cell r="B271">
            <v>4539</v>
          </cell>
        </row>
        <row r="272">
          <cell r="A272" t="str">
            <v>Taipalsaari</v>
          </cell>
          <cell r="B272">
            <v>4798</v>
          </cell>
        </row>
        <row r="273">
          <cell r="A273" t="str">
            <v>Taivalkoski</v>
          </cell>
          <cell r="B273">
            <v>4231</v>
          </cell>
        </row>
        <row r="274">
          <cell r="A274" t="str">
            <v>Taivassalo</v>
          </cell>
          <cell r="B274">
            <v>1645</v>
          </cell>
        </row>
        <row r="275">
          <cell r="A275" t="str">
            <v>Tammela</v>
          </cell>
          <cell r="B275">
            <v>6395</v>
          </cell>
        </row>
        <row r="276">
          <cell r="A276" t="str">
            <v>Tampere</v>
          </cell>
          <cell r="B276">
            <v>223004</v>
          </cell>
        </row>
        <row r="277">
          <cell r="A277" t="str">
            <v>Tervo</v>
          </cell>
          <cell r="B277">
            <v>1627</v>
          </cell>
        </row>
        <row r="278">
          <cell r="A278" t="str">
            <v>Tervola</v>
          </cell>
          <cell r="B278">
            <v>3239</v>
          </cell>
        </row>
        <row r="279">
          <cell r="A279" t="str">
            <v>Teuva</v>
          </cell>
          <cell r="B279">
            <v>5543</v>
          </cell>
        </row>
        <row r="280">
          <cell r="A280" t="str">
            <v>Tohmajärvi</v>
          </cell>
          <cell r="B280">
            <v>4794</v>
          </cell>
        </row>
        <row r="281">
          <cell r="A281" t="str">
            <v>Toholampi</v>
          </cell>
          <cell r="B281">
            <v>3354</v>
          </cell>
        </row>
        <row r="282">
          <cell r="A282" t="str">
            <v>Toivakka</v>
          </cell>
          <cell r="B282">
            <v>2472</v>
          </cell>
        </row>
        <row r="283">
          <cell r="A283" t="str">
            <v>Tornio</v>
          </cell>
          <cell r="B283">
            <v>22322</v>
          </cell>
        </row>
        <row r="284">
          <cell r="A284" t="str">
            <v>Turku</v>
          </cell>
          <cell r="B284">
            <v>183824</v>
          </cell>
        </row>
        <row r="285">
          <cell r="A285" t="str">
            <v>Tuusniemi</v>
          </cell>
          <cell r="B285">
            <v>2750</v>
          </cell>
        </row>
        <row r="286">
          <cell r="A286" t="str">
            <v>Tuusula</v>
          </cell>
          <cell r="B286">
            <v>38198</v>
          </cell>
        </row>
        <row r="287">
          <cell r="A287" t="str">
            <v>Tyrnävä</v>
          </cell>
          <cell r="B287">
            <v>6735</v>
          </cell>
        </row>
        <row r="288">
          <cell r="A288" t="str">
            <v>Ulvila</v>
          </cell>
          <cell r="B288">
            <v>13322</v>
          </cell>
        </row>
        <row r="289">
          <cell r="A289" t="str">
            <v>Urjala</v>
          </cell>
          <cell r="B289">
            <v>4984</v>
          </cell>
        </row>
        <row r="290">
          <cell r="A290" t="str">
            <v>Utajärvi</v>
          </cell>
          <cell r="B290">
            <v>2907</v>
          </cell>
        </row>
        <row r="291">
          <cell r="A291" t="str">
            <v>Utsjoki</v>
          </cell>
          <cell r="B291">
            <v>1260</v>
          </cell>
        </row>
        <row r="292">
          <cell r="A292" t="str">
            <v>Uurainen</v>
          </cell>
          <cell r="B292">
            <v>3611</v>
          </cell>
        </row>
        <row r="293">
          <cell r="A293" t="str">
            <v>Uusikaarlepyy</v>
          </cell>
          <cell r="B293">
            <v>7533</v>
          </cell>
        </row>
        <row r="294">
          <cell r="A294" t="str">
            <v>Uusikaupunki</v>
          </cell>
          <cell r="B294">
            <v>15567</v>
          </cell>
        </row>
        <row r="295">
          <cell r="A295" t="str">
            <v>Vaala</v>
          </cell>
          <cell r="B295">
            <v>3139</v>
          </cell>
        </row>
        <row r="296">
          <cell r="A296" t="str">
            <v>Vaasa</v>
          </cell>
          <cell r="B296">
            <v>66965</v>
          </cell>
        </row>
        <row r="297">
          <cell r="A297" t="str">
            <v>Valkeakoski</v>
          </cell>
          <cell r="B297">
            <v>21162</v>
          </cell>
        </row>
        <row r="298">
          <cell r="A298" t="str">
            <v>Valtimo</v>
          </cell>
          <cell r="B298">
            <v>2362</v>
          </cell>
        </row>
        <row r="299">
          <cell r="A299" t="str">
            <v>Vantaa</v>
          </cell>
          <cell r="B299">
            <v>210803</v>
          </cell>
        </row>
        <row r="300">
          <cell r="A300" t="str">
            <v>Varkaus</v>
          </cell>
          <cell r="B300">
            <v>21860</v>
          </cell>
        </row>
        <row r="301">
          <cell r="A301" t="str">
            <v>Vehmaa</v>
          </cell>
          <cell r="B301">
            <v>2339</v>
          </cell>
        </row>
        <row r="302">
          <cell r="A302" t="str">
            <v>Vesanto</v>
          </cell>
          <cell r="B302">
            <v>2244</v>
          </cell>
        </row>
        <row r="303">
          <cell r="A303" t="str">
            <v>Vesilahti</v>
          </cell>
          <cell r="B303">
            <v>4492</v>
          </cell>
        </row>
        <row r="304">
          <cell r="A304" t="str">
            <v>Veteli</v>
          </cell>
          <cell r="B304">
            <v>3342</v>
          </cell>
        </row>
        <row r="305">
          <cell r="A305" t="str">
            <v>Vieremä</v>
          </cell>
          <cell r="B305">
            <v>3816</v>
          </cell>
        </row>
        <row r="306">
          <cell r="A306" t="str">
            <v>Vihti</v>
          </cell>
          <cell r="B306">
            <v>28995</v>
          </cell>
        </row>
        <row r="307">
          <cell r="A307" t="str">
            <v>Viitasaari</v>
          </cell>
          <cell r="B307">
            <v>6780</v>
          </cell>
        </row>
        <row r="308">
          <cell r="A308" t="str">
            <v>Vimpeli</v>
          </cell>
          <cell r="B308">
            <v>3106</v>
          </cell>
        </row>
        <row r="309">
          <cell r="A309" t="str">
            <v>Virolahti</v>
          </cell>
          <cell r="B309">
            <v>3399</v>
          </cell>
        </row>
        <row r="310">
          <cell r="A310" t="str">
            <v>Virrat</v>
          </cell>
          <cell r="B310">
            <v>7157</v>
          </cell>
        </row>
        <row r="311">
          <cell r="A311" t="str">
            <v>Vårdö</v>
          </cell>
          <cell r="B311">
            <v>439</v>
          </cell>
        </row>
        <row r="312">
          <cell r="A312" t="str">
            <v>Vöyri</v>
          </cell>
          <cell r="B312">
            <v>6705</v>
          </cell>
        </row>
        <row r="313">
          <cell r="A313" t="str">
            <v>Ylitornio</v>
          </cell>
          <cell r="B313">
            <v>4348</v>
          </cell>
        </row>
        <row r="314">
          <cell r="A314" t="str">
            <v>Ylivieska</v>
          </cell>
          <cell r="B314">
            <v>14976</v>
          </cell>
        </row>
        <row r="315">
          <cell r="A315" t="str">
            <v>Ylöjärvi</v>
          </cell>
          <cell r="B315">
            <v>32260</v>
          </cell>
        </row>
        <row r="316">
          <cell r="A316" t="str">
            <v>Ypäjä</v>
          </cell>
          <cell r="B316">
            <v>2468</v>
          </cell>
        </row>
        <row r="317">
          <cell r="A317" t="str">
            <v>Ähtäri</v>
          </cell>
          <cell r="B317">
            <v>6178</v>
          </cell>
        </row>
        <row r="318">
          <cell r="A318" t="str">
            <v>Äänekoski</v>
          </cell>
          <cell r="B318">
            <v>19909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Kuntaliitto">
  <a:themeElements>
    <a:clrScheme name="Kuntaliitto">
      <a:dk1>
        <a:sysClr val="windowText" lastClr="000000"/>
      </a:dk1>
      <a:lt1>
        <a:sysClr val="window" lastClr="FFFFFF"/>
      </a:lt1>
      <a:dk2>
        <a:srgbClr val="002E63"/>
      </a:dk2>
      <a:lt2>
        <a:srgbClr val="FFFFFF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Kuntaliitto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MS 295">
      <a:srgbClr val="002E63"/>
    </a:custClr>
    <a:custClr name="PMS Process Cyan">
      <a:srgbClr val="00A6D6"/>
    </a:custClr>
    <a:custClr name="PMS 1655">
      <a:srgbClr val="F25900"/>
    </a:custClr>
    <a:custClr name="PMS 124">
      <a:srgbClr val="E0AD12"/>
    </a:custClr>
    <a:custClr name="PMS 603">
      <a:srgbClr val="EBE657"/>
    </a:custClr>
    <a:custClr name="PMS 2583">
      <a:srgbClr val="9E4DAB"/>
    </a:custClr>
    <a:custClr name="PMS 200">
      <a:srgbClr val="BA122B"/>
    </a:custClr>
    <a:custClr name="PMS 377">
      <a:srgbClr val="6B8F00"/>
    </a:custClr>
    <a:custClr name="PMS 390">
      <a:srgbClr val="B5BA05"/>
    </a:custClr>
    <a:custClr name="PMS 1525">
      <a:srgbClr val="BA5700"/>
    </a:custClr>
    <a:custClr name="PMS 729">
      <a:srgbClr val="C48F5E"/>
    </a:custClr>
    <a:custClr name="PMS Warm Gray 6">
      <a:srgbClr val="ADA194"/>
    </a:custClr>
    <a:custClr name="PMS 651">
      <a:srgbClr val="A1ADC7"/>
    </a:custClr>
    <a:custClr name="PMS 2905">
      <a:srgbClr val="9EC9E3"/>
    </a:custClr>
    <a:custClr name="PMS 660">
      <a:srgbClr val="426BBA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rantaro\Desktop\Kutu%202011\Kunnallisia%20palveluja%20koskevat%20kysymykset%202011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B2:I44"/>
  <sheetViews>
    <sheetView tabSelected="1" view="pageLayout" zoomScaleNormal="100" workbookViewId="0">
      <selection activeCell="B9" sqref="B9:D9"/>
    </sheetView>
  </sheetViews>
  <sheetFormatPr defaultColWidth="8.76171875" defaultRowHeight="14.6" x14ac:dyDescent="0.35"/>
  <cols>
    <col min="1" max="1" width="0.46875" style="1" customWidth="1"/>
    <col min="2" max="2" width="8.76171875" style="1"/>
    <col min="3" max="3" width="8.76171875" style="1" customWidth="1"/>
    <col min="4" max="8" width="8.76171875" style="1"/>
    <col min="9" max="9" width="16.5859375" style="1" customWidth="1"/>
    <col min="10" max="10" width="0.5859375" style="1" customWidth="1"/>
    <col min="11" max="16384" width="8.76171875" style="1"/>
  </cols>
  <sheetData>
    <row r="2" spans="2:8" x14ac:dyDescent="0.35">
      <c r="E2" s="2" t="s">
        <v>0</v>
      </c>
    </row>
    <row r="3" spans="2:8" x14ac:dyDescent="0.35">
      <c r="E3" s="2" t="s">
        <v>1</v>
      </c>
      <c r="F3" s="2"/>
      <c r="G3" s="2"/>
      <c r="H3" s="2"/>
    </row>
    <row r="4" spans="2:8" x14ac:dyDescent="0.35">
      <c r="D4" s="4"/>
      <c r="E4" s="2"/>
      <c r="F4" s="2"/>
      <c r="G4" s="2"/>
      <c r="H4" s="2"/>
    </row>
    <row r="5" spans="2:8" x14ac:dyDescent="0.35">
      <c r="D5" s="4"/>
      <c r="E5" s="2"/>
      <c r="F5" s="2"/>
      <c r="G5" s="2"/>
      <c r="H5" s="2"/>
    </row>
    <row r="6" spans="2:8" ht="15" x14ac:dyDescent="0.35">
      <c r="C6" s="2"/>
      <c r="D6" s="17" t="s">
        <v>80</v>
      </c>
      <c r="F6" s="2"/>
      <c r="G6" s="2"/>
      <c r="H6" s="2"/>
    </row>
    <row r="7" spans="2:8" ht="15" x14ac:dyDescent="0.35">
      <c r="B7" s="3"/>
      <c r="E7" s="2"/>
      <c r="F7" s="2"/>
      <c r="G7" s="2"/>
      <c r="H7" s="2"/>
    </row>
    <row r="8" spans="2:8" x14ac:dyDescent="0.35">
      <c r="B8" s="121"/>
      <c r="C8" s="121"/>
      <c r="D8" s="121"/>
      <c r="E8" s="122"/>
      <c r="F8" s="2"/>
      <c r="G8" s="2"/>
      <c r="H8" s="2"/>
    </row>
    <row r="9" spans="2:8" ht="17.600000000000001" x14ac:dyDescent="0.4">
      <c r="B9" s="124" t="s">
        <v>16</v>
      </c>
      <c r="C9" s="125"/>
      <c r="D9" s="126"/>
      <c r="E9" s="123"/>
      <c r="F9" s="2"/>
      <c r="G9" s="2"/>
      <c r="H9" s="2"/>
    </row>
    <row r="10" spans="2:8" x14ac:dyDescent="0.35">
      <c r="B10" s="121" t="s">
        <v>18</v>
      </c>
      <c r="C10" s="121"/>
      <c r="D10" s="121"/>
      <c r="E10" s="121"/>
    </row>
    <row r="14" spans="2:8" x14ac:dyDescent="0.35">
      <c r="B14" s="10" t="s">
        <v>20</v>
      </c>
      <c r="C14" s="11"/>
      <c r="D14" s="11"/>
      <c r="E14" s="12"/>
      <c r="F14" s="134" t="s">
        <v>75</v>
      </c>
      <c r="G14" s="135"/>
      <c r="H14" s="136"/>
    </row>
    <row r="15" spans="2:8" x14ac:dyDescent="0.35">
      <c r="B15" s="14" t="s">
        <v>38</v>
      </c>
      <c r="C15" s="130" t="s">
        <v>39</v>
      </c>
      <c r="D15" s="131"/>
      <c r="E15" s="14" t="s">
        <v>40</v>
      </c>
      <c r="F15" s="14" t="s">
        <v>38</v>
      </c>
      <c r="G15" s="15" t="s">
        <v>41</v>
      </c>
      <c r="H15" s="16" t="s">
        <v>40</v>
      </c>
    </row>
    <row r="16" spans="2:8" ht="15" x14ac:dyDescent="0.4">
      <c r="B16" s="13">
        <f>VLOOKUP(B9,Vastauspros!A2:D41,3)</f>
        <v>163</v>
      </c>
      <c r="C16" s="132">
        <f>VLOOKUP(B9,Vastauspros!A1:E41,4)</f>
        <v>57</v>
      </c>
      <c r="D16" s="133"/>
      <c r="E16" s="13">
        <f>VLOOKUP(Etusivu!B9,Vastauspros!A1:E41,5)</f>
        <v>35</v>
      </c>
      <c r="F16" s="98">
        <v>3652</v>
      </c>
      <c r="G16" s="72">
        <v>1578</v>
      </c>
      <c r="H16" s="99">
        <v>43.2</v>
      </c>
    </row>
    <row r="18" spans="2:9" ht="15" x14ac:dyDescent="0.35">
      <c r="B18" s="127" t="s">
        <v>77</v>
      </c>
      <c r="C18" s="128"/>
      <c r="D18" s="128"/>
      <c r="E18" s="128"/>
      <c r="F18" s="128"/>
      <c r="G18" s="128"/>
      <c r="H18" s="129"/>
    </row>
    <row r="20" spans="2:9" x14ac:dyDescent="0.35">
      <c r="B20" s="8" t="s">
        <v>44</v>
      </c>
      <c r="C20" s="9"/>
      <c r="E20" s="9"/>
      <c r="F20" s="8" t="s">
        <v>58</v>
      </c>
      <c r="G20" s="9"/>
      <c r="I20" s="6"/>
    </row>
    <row r="21" spans="2:9" x14ac:dyDescent="0.35">
      <c r="B21" s="8" t="s">
        <v>45</v>
      </c>
      <c r="C21" s="9"/>
      <c r="E21" s="9"/>
      <c r="F21" s="8" t="s">
        <v>59</v>
      </c>
      <c r="G21" s="9"/>
      <c r="I21" s="6"/>
    </row>
    <row r="22" spans="2:9" x14ac:dyDescent="0.35">
      <c r="B22" s="8" t="s">
        <v>46</v>
      </c>
      <c r="C22" s="9"/>
      <c r="E22" s="9"/>
      <c r="F22" s="8" t="s">
        <v>60</v>
      </c>
      <c r="G22" s="9"/>
      <c r="I22" s="6"/>
    </row>
    <row r="23" spans="2:9" x14ac:dyDescent="0.35">
      <c r="B23" s="8" t="s">
        <v>25</v>
      </c>
      <c r="C23" s="9"/>
      <c r="E23" s="9"/>
      <c r="F23" s="8" t="s">
        <v>61</v>
      </c>
      <c r="G23" s="9"/>
      <c r="I23" s="6"/>
    </row>
    <row r="24" spans="2:9" x14ac:dyDescent="0.35">
      <c r="B24" s="8" t="s">
        <v>26</v>
      </c>
      <c r="E24" s="9"/>
      <c r="F24" s="8" t="s">
        <v>62</v>
      </c>
      <c r="G24" s="9"/>
      <c r="I24" s="6"/>
    </row>
    <row r="25" spans="2:9" x14ac:dyDescent="0.35">
      <c r="B25" s="8" t="s">
        <v>48</v>
      </c>
      <c r="C25" s="9"/>
      <c r="E25" s="9"/>
      <c r="F25" s="8" t="s">
        <v>31</v>
      </c>
      <c r="G25" s="9"/>
      <c r="I25" s="6"/>
    </row>
    <row r="26" spans="2:9" x14ac:dyDescent="0.35">
      <c r="B26" s="8" t="s">
        <v>49</v>
      </c>
      <c r="C26" s="9"/>
      <c r="E26" s="9"/>
      <c r="F26" s="8" t="s">
        <v>63</v>
      </c>
      <c r="G26" s="9"/>
      <c r="I26" s="6"/>
    </row>
    <row r="27" spans="2:9" x14ac:dyDescent="0.35">
      <c r="B27" s="8" t="s">
        <v>50</v>
      </c>
      <c r="C27" s="9"/>
      <c r="E27" s="9"/>
      <c r="F27" s="8" t="s">
        <v>64</v>
      </c>
      <c r="G27" s="9"/>
      <c r="I27" s="6"/>
    </row>
    <row r="28" spans="2:9" x14ac:dyDescent="0.35">
      <c r="B28" s="8" t="s">
        <v>51</v>
      </c>
      <c r="C28" s="9"/>
      <c r="E28" s="9"/>
      <c r="F28" s="8" t="s">
        <v>65</v>
      </c>
      <c r="G28" s="9"/>
      <c r="I28" s="6"/>
    </row>
    <row r="29" spans="2:9" x14ac:dyDescent="0.35">
      <c r="B29" s="8" t="s">
        <v>22</v>
      </c>
      <c r="C29" s="9"/>
      <c r="E29" s="9"/>
      <c r="F29" s="8" t="s">
        <v>66</v>
      </c>
      <c r="G29" s="9"/>
      <c r="I29" s="6"/>
    </row>
    <row r="30" spans="2:9" x14ac:dyDescent="0.35">
      <c r="B30" s="8" t="s">
        <v>52</v>
      </c>
      <c r="C30" s="6"/>
      <c r="D30" s="6"/>
      <c r="E30" s="5"/>
      <c r="F30" s="8" t="s">
        <v>32</v>
      </c>
      <c r="G30" s="5"/>
      <c r="H30" s="6"/>
      <c r="I30" s="6"/>
    </row>
    <row r="31" spans="2:9" x14ac:dyDescent="0.35">
      <c r="B31" s="8" t="s">
        <v>53</v>
      </c>
      <c r="C31" s="6"/>
      <c r="D31" s="6"/>
      <c r="E31" s="5"/>
      <c r="F31" s="8" t="s">
        <v>67</v>
      </c>
      <c r="G31" s="5"/>
      <c r="H31" s="6"/>
      <c r="I31" s="6"/>
    </row>
    <row r="32" spans="2:9" x14ac:dyDescent="0.35">
      <c r="B32" s="8" t="s">
        <v>27</v>
      </c>
      <c r="C32" s="6"/>
      <c r="D32" s="6"/>
      <c r="E32" s="5"/>
      <c r="F32" s="8" t="s">
        <v>68</v>
      </c>
      <c r="G32" s="5"/>
      <c r="H32" s="6"/>
      <c r="I32" s="6"/>
    </row>
    <row r="33" spans="2:9" x14ac:dyDescent="0.35">
      <c r="B33" s="8" t="s">
        <v>54</v>
      </c>
      <c r="C33" s="6"/>
      <c r="D33" s="6"/>
      <c r="E33" s="5"/>
      <c r="F33" s="8" t="s">
        <v>69</v>
      </c>
      <c r="G33" s="5"/>
      <c r="H33" s="6"/>
      <c r="I33" s="6"/>
    </row>
    <row r="34" spans="2:9" x14ac:dyDescent="0.35">
      <c r="B34" s="8" t="s">
        <v>28</v>
      </c>
      <c r="C34" s="6"/>
      <c r="D34" s="6"/>
      <c r="E34" s="5"/>
      <c r="F34" s="8" t="s">
        <v>33</v>
      </c>
      <c r="G34" s="5"/>
      <c r="H34" s="6"/>
      <c r="I34" s="6"/>
    </row>
    <row r="35" spans="2:9" x14ac:dyDescent="0.35">
      <c r="B35" s="8" t="s">
        <v>55</v>
      </c>
      <c r="C35" s="6"/>
      <c r="D35" s="6"/>
      <c r="E35" s="5"/>
      <c r="F35" s="8" t="s">
        <v>70</v>
      </c>
      <c r="G35" s="5"/>
      <c r="H35" s="6"/>
      <c r="I35" s="6"/>
    </row>
    <row r="36" spans="2:9" x14ac:dyDescent="0.35">
      <c r="B36" s="8" t="s">
        <v>29</v>
      </c>
      <c r="C36" s="6"/>
      <c r="D36" s="6"/>
      <c r="E36" s="5"/>
      <c r="F36" s="8" t="s">
        <v>71</v>
      </c>
      <c r="G36" s="5"/>
      <c r="H36" s="6"/>
      <c r="I36" s="6"/>
    </row>
    <row r="37" spans="2:9" x14ac:dyDescent="0.35">
      <c r="B37" s="8" t="s">
        <v>56</v>
      </c>
      <c r="C37" s="6"/>
      <c r="D37" s="6"/>
      <c r="E37" s="5"/>
      <c r="F37" s="8" t="s">
        <v>34</v>
      </c>
      <c r="G37" s="5"/>
      <c r="H37" s="6"/>
      <c r="I37" s="6"/>
    </row>
    <row r="38" spans="2:9" x14ac:dyDescent="0.35">
      <c r="B38" s="8" t="s">
        <v>57</v>
      </c>
      <c r="C38" s="6"/>
      <c r="D38" s="6"/>
      <c r="E38" s="5"/>
      <c r="F38" s="8" t="s">
        <v>24</v>
      </c>
      <c r="G38" s="5"/>
      <c r="H38" s="6"/>
      <c r="I38" s="6"/>
    </row>
    <row r="39" spans="2:9" x14ac:dyDescent="0.35">
      <c r="B39" s="8" t="s">
        <v>30</v>
      </c>
      <c r="C39" s="6"/>
      <c r="D39" s="6"/>
      <c r="E39" s="5"/>
      <c r="G39" s="5"/>
      <c r="H39" s="6"/>
      <c r="I39" s="6"/>
    </row>
    <row r="40" spans="2:9" x14ac:dyDescent="0.35">
      <c r="C40" s="6"/>
      <c r="D40" s="6"/>
      <c r="E40" s="5"/>
      <c r="G40" s="5"/>
      <c r="H40" s="6"/>
      <c r="I40" s="6"/>
    </row>
    <row r="41" spans="2:9" x14ac:dyDescent="0.35">
      <c r="C41" s="6"/>
      <c r="D41" s="6"/>
      <c r="E41" s="5"/>
      <c r="F41" s="6"/>
      <c r="G41" s="6"/>
      <c r="H41" s="6"/>
      <c r="I41" s="6"/>
    </row>
    <row r="42" spans="2:9" x14ac:dyDescent="0.35">
      <c r="C42" s="6"/>
      <c r="D42" s="6"/>
      <c r="E42" s="6"/>
      <c r="F42" s="6"/>
      <c r="G42" s="6"/>
      <c r="H42" s="6"/>
      <c r="I42" s="6"/>
    </row>
    <row r="43" spans="2:9" x14ac:dyDescent="0.35">
      <c r="B43" s="5"/>
      <c r="C43" s="6"/>
      <c r="D43" s="6"/>
      <c r="E43" s="6"/>
      <c r="F43" s="6"/>
      <c r="G43" s="6"/>
      <c r="H43" s="6"/>
      <c r="I43" s="6"/>
    </row>
    <row r="44" spans="2:9" x14ac:dyDescent="0.35">
      <c r="B44" s="5"/>
      <c r="C44" s="6"/>
      <c r="D44" s="6"/>
      <c r="E44" s="6"/>
      <c r="F44" s="6"/>
      <c r="G44" s="6"/>
      <c r="H44" s="6"/>
      <c r="I44" s="6"/>
    </row>
  </sheetData>
  <dataConsolidate function="var">
    <dataRefs count="1">
      <dataRef ref="A2:A66" sheet="TyytKeskiarvo" r:id="rId1"/>
    </dataRefs>
  </dataConsolidate>
  <mergeCells count="5">
    <mergeCell ref="B9:D9"/>
    <mergeCell ref="B18:H18"/>
    <mergeCell ref="C15:D15"/>
    <mergeCell ref="C16:D16"/>
    <mergeCell ref="F14:H14"/>
  </mergeCells>
  <dataValidations count="1">
    <dataValidation type="list" allowBlank="1" showInputMessage="1" showErrorMessage="1" sqref="B9:D9">
      <formula1>Kunnat2</formula1>
    </dataValidation>
  </dataValidations>
  <pageMargins left="0.25" right="0.25" top="0.75" bottom="0.75" header="0.3" footer="0.3"/>
  <pageSetup paperSize="9" scale="95" orientation="portrait" r:id="rId2"/>
  <headerFooter>
    <oddHeader xml:space="preserve">&amp;C&amp;12Päättäjäkysely 2015
</oddHeader>
    <oddFooter>&amp;C&amp;P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7" workbookViewId="0">
      <selection activeCell="A69" sqref="A69:L69"/>
    </sheetView>
  </sheetViews>
  <sheetFormatPr defaultRowHeight="14.6" x14ac:dyDescent="0.35"/>
  <sheetData>
    <row r="1" spans="1:9" x14ac:dyDescent="0.35">
      <c r="A1" t="s">
        <v>122</v>
      </c>
      <c r="B1" t="s">
        <v>123</v>
      </c>
      <c r="C1" t="s">
        <v>124</v>
      </c>
      <c r="D1" t="s">
        <v>150</v>
      </c>
      <c r="E1" t="s">
        <v>151</v>
      </c>
      <c r="F1" t="s">
        <v>152</v>
      </c>
      <c r="G1" t="s">
        <v>153</v>
      </c>
      <c r="H1" t="s">
        <v>154</v>
      </c>
      <c r="I1" t="s">
        <v>79</v>
      </c>
    </row>
    <row r="2" spans="1:9" x14ac:dyDescent="0.35">
      <c r="A2" t="s">
        <v>44</v>
      </c>
      <c r="B2" s="100">
        <v>1</v>
      </c>
      <c r="C2" s="100">
        <v>18</v>
      </c>
      <c r="D2" s="90">
        <v>18.75</v>
      </c>
      <c r="E2" s="90">
        <v>25</v>
      </c>
      <c r="F2" s="90">
        <v>68.75</v>
      </c>
      <c r="G2" s="90">
        <v>81.25</v>
      </c>
      <c r="H2" s="90">
        <v>93.75</v>
      </c>
      <c r="I2" s="100">
        <v>16</v>
      </c>
    </row>
    <row r="3" spans="1:9" x14ac:dyDescent="0.35">
      <c r="A3" t="s">
        <v>45</v>
      </c>
      <c r="B3" s="100">
        <v>6</v>
      </c>
      <c r="C3" s="100">
        <v>49</v>
      </c>
      <c r="D3" s="90">
        <v>34.146341463414636</v>
      </c>
      <c r="E3" s="90">
        <v>32.926829268292686</v>
      </c>
      <c r="F3" s="90">
        <v>37.037037037037038</v>
      </c>
      <c r="G3" s="90">
        <v>48.780487804878049</v>
      </c>
      <c r="H3" s="90">
        <v>74.390243902439025</v>
      </c>
      <c r="I3" s="100">
        <v>82</v>
      </c>
    </row>
    <row r="4" spans="1:9" x14ac:dyDescent="0.35">
      <c r="A4" t="s">
        <v>46</v>
      </c>
      <c r="B4" s="100">
        <v>2</v>
      </c>
      <c r="C4" s="100">
        <v>82</v>
      </c>
      <c r="D4" s="90">
        <v>28.571428571428573</v>
      </c>
      <c r="E4" s="90">
        <v>38.095238095238095</v>
      </c>
      <c r="F4" s="90">
        <v>42.857142857142854</v>
      </c>
      <c r="G4" s="90">
        <v>76.19047619047619</v>
      </c>
      <c r="H4" s="90">
        <v>90.476190476190482</v>
      </c>
      <c r="I4" s="100">
        <v>21</v>
      </c>
    </row>
    <row r="5" spans="1:9" x14ac:dyDescent="0.35">
      <c r="A5" t="s">
        <v>2</v>
      </c>
      <c r="B5" s="100">
        <v>1</v>
      </c>
      <c r="C5" s="100">
        <v>97</v>
      </c>
      <c r="D5" s="90">
        <v>28.571428571428573</v>
      </c>
      <c r="E5" s="90">
        <v>64.285714285714292</v>
      </c>
      <c r="F5" s="90">
        <v>78.571428571428569</v>
      </c>
      <c r="G5" s="90">
        <v>78.571428571428569</v>
      </c>
      <c r="H5" s="90">
        <v>71.428571428571431</v>
      </c>
      <c r="I5" s="100">
        <v>14</v>
      </c>
    </row>
    <row r="6" spans="1:9" x14ac:dyDescent="0.35">
      <c r="A6" t="s">
        <v>3</v>
      </c>
      <c r="B6" s="100">
        <v>4</v>
      </c>
      <c r="C6" s="100">
        <v>54</v>
      </c>
      <c r="D6" s="90">
        <v>50</v>
      </c>
      <c r="E6" s="90">
        <v>41.935483870967744</v>
      </c>
      <c r="F6" s="90">
        <v>58.064516129032256</v>
      </c>
      <c r="G6" s="90">
        <v>74.193548387096769</v>
      </c>
      <c r="H6" s="90">
        <v>87.096774193548384</v>
      </c>
      <c r="I6" s="100">
        <v>31</v>
      </c>
    </row>
    <row r="7" spans="1:9" x14ac:dyDescent="0.35">
      <c r="A7" t="s">
        <v>4</v>
      </c>
      <c r="B7" s="100">
        <v>5</v>
      </c>
      <c r="C7" s="100">
        <v>109</v>
      </c>
      <c r="D7" s="90">
        <v>70.731707317073173</v>
      </c>
      <c r="E7" s="90">
        <v>41.463414634146339</v>
      </c>
      <c r="F7" s="90">
        <v>46.341463414634148</v>
      </c>
      <c r="G7" s="90">
        <v>60.975609756097562</v>
      </c>
      <c r="H7" s="90">
        <v>63.414634146341463</v>
      </c>
      <c r="I7" s="100">
        <v>41</v>
      </c>
    </row>
    <row r="8" spans="1:9" x14ac:dyDescent="0.35">
      <c r="A8" t="s">
        <v>48</v>
      </c>
      <c r="B8" s="100">
        <v>2</v>
      </c>
      <c r="C8" s="100">
        <v>148</v>
      </c>
      <c r="D8" s="90">
        <v>44.444444444444443</v>
      </c>
      <c r="E8" s="90">
        <v>55.555555555555557</v>
      </c>
      <c r="F8" s="90">
        <v>38.888888888888886</v>
      </c>
      <c r="G8" s="90">
        <v>77.777777777777771</v>
      </c>
      <c r="H8" s="90">
        <v>66.666666666666671</v>
      </c>
      <c r="I8" s="100">
        <v>18</v>
      </c>
    </row>
    <row r="9" spans="1:9" x14ac:dyDescent="0.35">
      <c r="A9" t="s">
        <v>5</v>
      </c>
      <c r="B9" s="100">
        <v>6</v>
      </c>
      <c r="C9" s="100">
        <v>179</v>
      </c>
      <c r="D9" s="90">
        <v>73.214285714285708</v>
      </c>
      <c r="E9" s="90">
        <v>40.350877192982459</v>
      </c>
      <c r="F9" s="90">
        <v>43.859649122807021</v>
      </c>
      <c r="G9" s="90">
        <v>60.714285714285715</v>
      </c>
      <c r="H9" s="90">
        <v>78.94736842105263</v>
      </c>
      <c r="I9" s="100">
        <v>59</v>
      </c>
    </row>
    <row r="10" spans="1:9" x14ac:dyDescent="0.35">
      <c r="A10" t="s">
        <v>50</v>
      </c>
      <c r="B10" s="100">
        <v>3</v>
      </c>
      <c r="C10" s="100">
        <v>214</v>
      </c>
      <c r="D10" s="90">
        <v>56</v>
      </c>
      <c r="E10" s="90">
        <v>24</v>
      </c>
      <c r="F10" s="90">
        <v>64</v>
      </c>
      <c r="G10" s="90">
        <v>68</v>
      </c>
      <c r="H10" s="90">
        <v>75</v>
      </c>
      <c r="I10" s="100">
        <v>25</v>
      </c>
    </row>
    <row r="11" spans="1:9" x14ac:dyDescent="0.35">
      <c r="A11" t="s">
        <v>51</v>
      </c>
      <c r="B11" s="100">
        <v>1</v>
      </c>
      <c r="C11" s="100">
        <v>239</v>
      </c>
      <c r="D11" s="90">
        <v>9.0909090909090917</v>
      </c>
      <c r="E11" s="90">
        <v>38.095238095238095</v>
      </c>
      <c r="F11" s="90">
        <v>77.272727272727266</v>
      </c>
      <c r="G11" s="90">
        <v>72.727272727272734</v>
      </c>
      <c r="H11" s="90">
        <v>90.909090909090907</v>
      </c>
      <c r="I11" s="100">
        <v>22</v>
      </c>
    </row>
    <row r="12" spans="1:9" x14ac:dyDescent="0.35">
      <c r="A12" t="s">
        <v>22</v>
      </c>
      <c r="B12" s="100">
        <v>2</v>
      </c>
      <c r="C12" s="100">
        <v>322</v>
      </c>
      <c r="D12" s="90">
        <v>14.285714285714286</v>
      </c>
      <c r="E12" s="90">
        <v>40.74074074074074</v>
      </c>
      <c r="F12" s="90">
        <v>18.518518518518519</v>
      </c>
      <c r="G12" s="90">
        <v>62.962962962962962</v>
      </c>
      <c r="H12" s="90">
        <v>71.428571428571431</v>
      </c>
      <c r="I12" s="100">
        <v>28</v>
      </c>
    </row>
    <row r="13" spans="1:9" x14ac:dyDescent="0.35">
      <c r="A13" t="s">
        <v>52</v>
      </c>
      <c r="B13" s="100">
        <v>3</v>
      </c>
      <c r="C13" s="100">
        <v>249</v>
      </c>
      <c r="D13" s="90">
        <v>35.135135135135137</v>
      </c>
      <c r="E13" s="90">
        <v>55.555555555555557</v>
      </c>
      <c r="F13" s="90">
        <v>38.888888888888886</v>
      </c>
      <c r="G13" s="90">
        <v>83.78378378378379</v>
      </c>
      <c r="H13" s="90">
        <v>86.486486486486484</v>
      </c>
      <c r="I13" s="100">
        <v>37</v>
      </c>
    </row>
    <row r="14" spans="1:9" x14ac:dyDescent="0.35">
      <c r="A14" t="s">
        <v>72</v>
      </c>
      <c r="B14" s="100">
        <v>4</v>
      </c>
      <c r="C14" s="100">
        <v>272</v>
      </c>
      <c r="D14" s="90">
        <v>60.655737704918032</v>
      </c>
      <c r="E14" s="90">
        <v>35.593220338983052</v>
      </c>
      <c r="F14" s="90">
        <v>65</v>
      </c>
      <c r="G14" s="90">
        <v>63.934426229508198</v>
      </c>
      <c r="H14" s="90">
        <v>81.666666666666671</v>
      </c>
      <c r="I14" s="100">
        <v>61</v>
      </c>
    </row>
    <row r="15" spans="1:9" x14ac:dyDescent="0.35">
      <c r="A15" t="s">
        <v>6</v>
      </c>
      <c r="B15" s="100">
        <v>5</v>
      </c>
      <c r="C15" s="100">
        <v>285</v>
      </c>
      <c r="D15" s="90">
        <v>64.285714285714292</v>
      </c>
      <c r="E15" s="90">
        <v>35.714285714285715</v>
      </c>
      <c r="F15" s="90">
        <v>56.521739130434781</v>
      </c>
      <c r="G15" s="90">
        <v>62.857142857142854</v>
      </c>
      <c r="H15" s="90">
        <v>76.811594202898547</v>
      </c>
      <c r="I15" s="100">
        <v>70</v>
      </c>
    </row>
    <row r="16" spans="1:9" x14ac:dyDescent="0.35">
      <c r="A16" t="s">
        <v>73</v>
      </c>
      <c r="B16" s="100">
        <v>3</v>
      </c>
      <c r="C16" s="100">
        <v>301</v>
      </c>
      <c r="D16" s="90">
        <v>47.222222222222221</v>
      </c>
      <c r="E16" s="90">
        <v>38.888888888888886</v>
      </c>
      <c r="F16" s="90">
        <v>55.555555555555557</v>
      </c>
      <c r="G16" s="90">
        <v>66.666666666666671</v>
      </c>
      <c r="H16" s="90">
        <v>66.666666666666671</v>
      </c>
      <c r="I16" s="100">
        <v>36</v>
      </c>
    </row>
    <row r="17" spans="1:9" x14ac:dyDescent="0.35">
      <c r="A17" t="s">
        <v>7</v>
      </c>
      <c r="B17" s="100">
        <v>3</v>
      </c>
      <c r="C17" s="100">
        <v>305</v>
      </c>
      <c r="D17" s="90">
        <v>58.064516129032256</v>
      </c>
      <c r="E17" s="90">
        <v>38.70967741935484</v>
      </c>
      <c r="F17" s="90">
        <v>35.483870967741936</v>
      </c>
      <c r="G17" s="90">
        <v>67.741935483870961</v>
      </c>
      <c r="H17" s="90">
        <v>70.967741935483872</v>
      </c>
      <c r="I17" s="100">
        <v>31</v>
      </c>
    </row>
    <row r="18" spans="1:9" x14ac:dyDescent="0.35">
      <c r="A18" t="s">
        <v>8</v>
      </c>
      <c r="B18" s="100">
        <v>5</v>
      </c>
      <c r="C18" s="100">
        <v>405</v>
      </c>
      <c r="D18" s="90">
        <v>69.230769230769226</v>
      </c>
      <c r="E18" s="90">
        <v>51.282051282051285</v>
      </c>
      <c r="F18" s="90">
        <v>67.5</v>
      </c>
      <c r="G18" s="90">
        <v>71.794871794871796</v>
      </c>
      <c r="H18" s="90">
        <v>82.051282051282058</v>
      </c>
      <c r="I18" s="100">
        <v>40</v>
      </c>
    </row>
    <row r="19" spans="1:9" x14ac:dyDescent="0.35">
      <c r="A19" t="s">
        <v>9</v>
      </c>
      <c r="B19" s="100">
        <v>4</v>
      </c>
      <c r="C19" s="100">
        <v>418</v>
      </c>
      <c r="D19" s="90">
        <v>20</v>
      </c>
      <c r="E19" s="90">
        <v>35.897435897435898</v>
      </c>
      <c r="F19" s="90">
        <v>33.333333333333336</v>
      </c>
      <c r="G19" s="90">
        <v>85</v>
      </c>
      <c r="H19" s="90">
        <v>85</v>
      </c>
      <c r="I19" s="100">
        <v>40</v>
      </c>
    </row>
    <row r="20" spans="1:9" x14ac:dyDescent="0.35">
      <c r="A20" t="s">
        <v>56</v>
      </c>
      <c r="B20" s="100">
        <v>3</v>
      </c>
      <c r="C20" s="100">
        <v>426</v>
      </c>
      <c r="D20" s="90">
        <v>36.842105263157897</v>
      </c>
      <c r="E20" s="90">
        <v>42.10526315789474</v>
      </c>
      <c r="F20" s="90">
        <v>62.162162162162161</v>
      </c>
      <c r="G20" s="90">
        <v>65.78947368421052</v>
      </c>
      <c r="H20" s="90">
        <v>84.21052631578948</v>
      </c>
      <c r="I20" s="100">
        <v>38</v>
      </c>
    </row>
    <row r="21" spans="1:9" x14ac:dyDescent="0.35">
      <c r="A21" t="s">
        <v>74</v>
      </c>
      <c r="B21" s="100">
        <v>5</v>
      </c>
      <c r="C21" s="100">
        <v>491</v>
      </c>
      <c r="D21" s="90">
        <v>55.555555555555557</v>
      </c>
      <c r="E21" s="90">
        <v>29.166666666666668</v>
      </c>
      <c r="F21" s="90">
        <v>63.888888888888886</v>
      </c>
      <c r="G21" s="90">
        <v>65.277777777777771</v>
      </c>
      <c r="H21" s="90">
        <v>76.056338028169009</v>
      </c>
      <c r="I21" s="100">
        <v>72</v>
      </c>
    </row>
    <row r="22" spans="1:9" x14ac:dyDescent="0.35">
      <c r="A22" t="s">
        <v>10</v>
      </c>
      <c r="B22" s="100">
        <v>2.978723404255319</v>
      </c>
      <c r="C22" s="100">
        <v>499</v>
      </c>
      <c r="D22" s="90">
        <v>34.042553191489361</v>
      </c>
      <c r="E22" s="90">
        <v>34.042553191489361</v>
      </c>
      <c r="F22" s="90">
        <v>45.652173913043477</v>
      </c>
      <c r="G22" s="90">
        <v>57.446808510638299</v>
      </c>
      <c r="H22" s="90">
        <v>68.085106382978722</v>
      </c>
      <c r="I22" s="100">
        <v>47</v>
      </c>
    </row>
    <row r="23" spans="1:9" x14ac:dyDescent="0.35">
      <c r="A23" t="s">
        <v>58</v>
      </c>
      <c r="B23" s="100">
        <v>3</v>
      </c>
      <c r="C23" s="100">
        <v>535</v>
      </c>
      <c r="D23" s="90">
        <v>21.05263157894737</v>
      </c>
      <c r="E23" s="90">
        <v>21.05263157894737</v>
      </c>
      <c r="F23" s="90">
        <v>36.842105263157897</v>
      </c>
      <c r="G23" s="90">
        <v>68.421052631578945</v>
      </c>
      <c r="H23" s="90">
        <v>72.222222222222229</v>
      </c>
      <c r="I23" s="100">
        <v>19</v>
      </c>
    </row>
    <row r="24" spans="1:9" x14ac:dyDescent="0.35">
      <c r="A24" t="s">
        <v>11</v>
      </c>
      <c r="B24" s="100">
        <v>6</v>
      </c>
      <c r="C24" s="100">
        <v>464</v>
      </c>
      <c r="D24" s="90">
        <v>55.932203389830505</v>
      </c>
      <c r="E24" s="90">
        <v>33.898305084745765</v>
      </c>
      <c r="F24" s="90">
        <v>71.186440677966104</v>
      </c>
      <c r="G24" s="90">
        <v>66.101694915254242</v>
      </c>
      <c r="H24" s="90">
        <v>65.517241379310349</v>
      </c>
      <c r="I24" s="100">
        <v>59</v>
      </c>
    </row>
    <row r="25" spans="1:9" x14ac:dyDescent="0.35">
      <c r="A25" t="s">
        <v>60</v>
      </c>
      <c r="B25" s="100">
        <v>1</v>
      </c>
      <c r="C25" s="100">
        <v>578</v>
      </c>
      <c r="D25" s="90">
        <v>19.047619047619047</v>
      </c>
      <c r="E25" s="90">
        <v>40</v>
      </c>
      <c r="F25" s="90">
        <v>95.238095238095241</v>
      </c>
      <c r="G25" s="90">
        <v>76.19047619047619</v>
      </c>
      <c r="H25" s="90">
        <v>80.952380952380949</v>
      </c>
      <c r="I25" s="100">
        <v>21</v>
      </c>
    </row>
    <row r="26" spans="1:9" x14ac:dyDescent="0.35">
      <c r="A26" t="s">
        <v>61</v>
      </c>
      <c r="B26" s="100">
        <v>2</v>
      </c>
      <c r="C26" s="100">
        <v>581</v>
      </c>
      <c r="D26" s="90">
        <v>35.714285714285715</v>
      </c>
      <c r="E26" s="90">
        <v>17.857142857142858</v>
      </c>
      <c r="F26" s="90">
        <v>25</v>
      </c>
      <c r="G26" s="90">
        <v>85.714285714285708</v>
      </c>
      <c r="H26" s="90">
        <v>85.714285714285708</v>
      </c>
      <c r="I26" s="100">
        <v>28</v>
      </c>
    </row>
    <row r="27" spans="1:9" x14ac:dyDescent="0.35">
      <c r="A27" t="s">
        <v>62</v>
      </c>
      <c r="B27" s="100">
        <v>1</v>
      </c>
      <c r="C27" s="100">
        <v>592</v>
      </c>
      <c r="D27" s="90">
        <v>11.111111111111111</v>
      </c>
      <c r="E27" s="90">
        <v>50</v>
      </c>
      <c r="F27" s="90">
        <v>66.666666666666671</v>
      </c>
      <c r="G27" s="90">
        <v>88.888888888888886</v>
      </c>
      <c r="H27" s="90">
        <v>82.352941176470594</v>
      </c>
      <c r="I27" s="100">
        <v>19</v>
      </c>
    </row>
    <row r="28" spans="1:9" x14ac:dyDescent="0.35">
      <c r="A28" t="s">
        <v>12</v>
      </c>
      <c r="B28" s="100">
        <v>2</v>
      </c>
      <c r="C28" s="100">
        <v>615</v>
      </c>
      <c r="D28" s="90">
        <v>47.058823529411768</v>
      </c>
      <c r="E28" s="90">
        <v>52.941176470588232</v>
      </c>
      <c r="F28" s="90">
        <v>70.588235294117652</v>
      </c>
      <c r="G28" s="90">
        <v>82.352941176470594</v>
      </c>
      <c r="H28" s="90">
        <v>75</v>
      </c>
      <c r="I28" s="100">
        <v>17</v>
      </c>
    </row>
    <row r="29" spans="1:9" x14ac:dyDescent="0.35">
      <c r="A29" t="s">
        <v>23</v>
      </c>
      <c r="B29" s="100">
        <v>4</v>
      </c>
      <c r="C29" s="100">
        <v>710</v>
      </c>
      <c r="D29" s="90">
        <v>34.883720930232556</v>
      </c>
      <c r="E29" s="90">
        <v>14.285714285714286</v>
      </c>
      <c r="F29" s="90">
        <v>31.707317073170731</v>
      </c>
      <c r="G29" s="90">
        <v>92.857142857142861</v>
      </c>
      <c r="H29" s="90">
        <v>73.80952380952381</v>
      </c>
      <c r="I29" s="100">
        <v>43</v>
      </c>
    </row>
    <row r="30" spans="1:9" x14ac:dyDescent="0.35">
      <c r="A30" t="s">
        <v>64</v>
      </c>
      <c r="B30" s="100">
        <v>4</v>
      </c>
      <c r="C30" s="100">
        <v>680</v>
      </c>
      <c r="D30" s="90">
        <v>22.727272727272727</v>
      </c>
      <c r="E30" s="90">
        <v>27.272727272727273</v>
      </c>
      <c r="F30" s="90">
        <v>39.534883720930232</v>
      </c>
      <c r="G30" s="90">
        <v>75</v>
      </c>
      <c r="H30" s="90">
        <v>75</v>
      </c>
      <c r="I30" s="100">
        <v>44</v>
      </c>
    </row>
    <row r="31" spans="1:9" x14ac:dyDescent="0.35">
      <c r="A31" t="s">
        <v>65</v>
      </c>
      <c r="B31" s="100">
        <v>1</v>
      </c>
      <c r="C31" s="100">
        <v>686</v>
      </c>
      <c r="D31" s="90">
        <v>11.764705882352942</v>
      </c>
      <c r="E31" s="90">
        <v>29.411764705882351</v>
      </c>
      <c r="F31" s="90">
        <v>43.75</v>
      </c>
      <c r="G31" s="90">
        <v>64.705882352941174</v>
      </c>
      <c r="H31" s="90">
        <v>88.235294117647058</v>
      </c>
      <c r="I31" s="100">
        <v>17</v>
      </c>
    </row>
    <row r="32" spans="1:9" x14ac:dyDescent="0.35">
      <c r="A32" t="s">
        <v>13</v>
      </c>
      <c r="B32" s="100">
        <v>5</v>
      </c>
      <c r="C32" s="100">
        <v>734</v>
      </c>
      <c r="D32" s="90">
        <v>56.363636363636367</v>
      </c>
      <c r="E32" s="90">
        <v>31.481481481481481</v>
      </c>
      <c r="F32" s="90">
        <v>40.74074074074074</v>
      </c>
      <c r="G32" s="90">
        <v>74.545454545454547</v>
      </c>
      <c r="H32" s="90">
        <v>69.090909090909093</v>
      </c>
      <c r="I32" s="100">
        <v>55</v>
      </c>
    </row>
    <row r="33" spans="1:9" x14ac:dyDescent="0.35">
      <c r="A33" t="s">
        <v>14</v>
      </c>
      <c r="B33" s="100">
        <v>3</v>
      </c>
      <c r="C33" s="100">
        <v>753</v>
      </c>
      <c r="D33" s="90">
        <v>31.428571428571427</v>
      </c>
      <c r="E33" s="90">
        <v>36.111111111111114</v>
      </c>
      <c r="F33" s="90">
        <v>34.285714285714285</v>
      </c>
      <c r="G33" s="90">
        <v>62.857142857142854</v>
      </c>
      <c r="H33" s="90">
        <v>74.285714285714292</v>
      </c>
      <c r="I33" s="100">
        <v>36</v>
      </c>
    </row>
    <row r="34" spans="1:9" x14ac:dyDescent="0.35">
      <c r="A34" t="s">
        <v>67</v>
      </c>
      <c r="B34" s="100">
        <v>1</v>
      </c>
      <c r="C34" s="100">
        <v>783</v>
      </c>
      <c r="D34" s="90">
        <v>23.076923076923077</v>
      </c>
      <c r="E34" s="90">
        <v>34.615384615384613</v>
      </c>
      <c r="F34" s="90">
        <v>42.307692307692307</v>
      </c>
      <c r="G34" s="90">
        <v>61.53846153846154</v>
      </c>
      <c r="H34" s="90">
        <v>65.384615384615387</v>
      </c>
      <c r="I34" s="100">
        <v>26</v>
      </c>
    </row>
    <row r="35" spans="1:9" x14ac:dyDescent="0.35">
      <c r="A35" t="s">
        <v>68</v>
      </c>
      <c r="B35" s="100">
        <v>6</v>
      </c>
      <c r="C35" s="100">
        <v>837</v>
      </c>
      <c r="D35" s="90">
        <v>71.15384615384616</v>
      </c>
      <c r="E35" s="90">
        <v>30.76923076923077</v>
      </c>
      <c r="F35" s="90">
        <v>54.901960784313722</v>
      </c>
      <c r="G35" s="90">
        <v>71.15384615384616</v>
      </c>
      <c r="H35" s="90">
        <v>71.15384615384616</v>
      </c>
      <c r="I35" s="100">
        <v>52</v>
      </c>
    </row>
    <row r="36" spans="1:9" x14ac:dyDescent="0.35">
      <c r="A36" t="s">
        <v>69</v>
      </c>
      <c r="B36" s="100">
        <v>4</v>
      </c>
      <c r="C36" s="100">
        <v>851</v>
      </c>
      <c r="D36" s="90">
        <v>34.210526315789473</v>
      </c>
      <c r="E36" s="90">
        <v>39.473684210526315</v>
      </c>
      <c r="F36" s="90">
        <v>61.53846153846154</v>
      </c>
      <c r="G36" s="90">
        <v>66.666666666666671</v>
      </c>
      <c r="H36" s="90">
        <v>76.92307692307692</v>
      </c>
      <c r="I36" s="100">
        <v>39</v>
      </c>
    </row>
    <row r="37" spans="1:9" x14ac:dyDescent="0.35">
      <c r="A37" t="s">
        <v>15</v>
      </c>
      <c r="B37" s="100">
        <v>6</v>
      </c>
      <c r="C37" s="100">
        <v>853</v>
      </c>
      <c r="D37" s="90">
        <v>85.9375</v>
      </c>
      <c r="E37" s="90">
        <v>39.0625</v>
      </c>
      <c r="F37" s="90">
        <v>53.125</v>
      </c>
      <c r="G37" s="90">
        <v>63.492063492063494</v>
      </c>
      <c r="H37" s="90">
        <v>73.4375</v>
      </c>
      <c r="I37" s="100">
        <v>65</v>
      </c>
    </row>
    <row r="38" spans="1:9" x14ac:dyDescent="0.35">
      <c r="A38" t="s">
        <v>16</v>
      </c>
      <c r="B38" s="100">
        <v>5</v>
      </c>
      <c r="C38" s="100">
        <v>905</v>
      </c>
      <c r="D38" s="90">
        <v>73.684210526315795</v>
      </c>
      <c r="E38" s="90">
        <v>37.5</v>
      </c>
      <c r="F38" s="90">
        <v>59.649122807017541</v>
      </c>
      <c r="G38" s="90">
        <v>56.140350877192979</v>
      </c>
      <c r="H38" s="90">
        <v>59.25925925925926</v>
      </c>
      <c r="I38" s="100">
        <v>57</v>
      </c>
    </row>
    <row r="39" spans="1:9" x14ac:dyDescent="0.35">
      <c r="A39" t="s">
        <v>71</v>
      </c>
      <c r="B39" s="100">
        <v>6</v>
      </c>
      <c r="C39" s="100">
        <v>92</v>
      </c>
      <c r="D39" s="90">
        <v>53.932584269662918</v>
      </c>
      <c r="E39" s="90">
        <v>23.59550561797753</v>
      </c>
      <c r="F39" s="90">
        <v>42.52873563218391</v>
      </c>
      <c r="G39" s="90">
        <v>46.590909090909093</v>
      </c>
      <c r="H39" s="90">
        <v>69.318181818181813</v>
      </c>
      <c r="I39" s="100">
        <v>89</v>
      </c>
    </row>
    <row r="40" spans="1:9" x14ac:dyDescent="0.35">
      <c r="A40" t="s">
        <v>17</v>
      </c>
      <c r="B40" s="100">
        <v>1</v>
      </c>
      <c r="C40" s="100">
        <v>934</v>
      </c>
      <c r="D40" s="90">
        <v>6.25</v>
      </c>
      <c r="E40" s="90">
        <v>18.75</v>
      </c>
      <c r="F40" s="90">
        <v>75</v>
      </c>
      <c r="G40" s="90">
        <v>86.666666666666671</v>
      </c>
      <c r="H40" s="90">
        <v>81.25</v>
      </c>
      <c r="I40" s="100">
        <v>16</v>
      </c>
    </row>
    <row r="41" spans="1:9" x14ac:dyDescent="0.35">
      <c r="A41" t="s">
        <v>24</v>
      </c>
      <c r="B41" s="100">
        <v>2</v>
      </c>
      <c r="C41" s="100">
        <v>946</v>
      </c>
      <c r="D41" s="90">
        <v>20</v>
      </c>
      <c r="E41" s="90">
        <v>17.857142857142858</v>
      </c>
      <c r="F41" s="90">
        <v>35.714285714285715</v>
      </c>
      <c r="G41" s="90">
        <v>58.620689655172413</v>
      </c>
      <c r="H41" s="90">
        <v>68.965517241379317</v>
      </c>
      <c r="I41" s="100">
        <v>31</v>
      </c>
    </row>
    <row r="45" spans="1:9" x14ac:dyDescent="0.35">
      <c r="A45" t="s">
        <v>126</v>
      </c>
      <c r="D45" t="s">
        <v>150</v>
      </c>
      <c r="E45" t="s">
        <v>151</v>
      </c>
      <c r="F45" t="s">
        <v>152</v>
      </c>
      <c r="G45" t="s">
        <v>153</v>
      </c>
      <c r="H45" t="s">
        <v>154</v>
      </c>
      <c r="I45" t="s">
        <v>79</v>
      </c>
    </row>
    <row r="46" spans="1:9" x14ac:dyDescent="0.35">
      <c r="A46" t="s">
        <v>130</v>
      </c>
      <c r="D46" s="90">
        <v>16</v>
      </c>
      <c r="E46" s="90">
        <v>37.162162162162161</v>
      </c>
      <c r="F46" s="90">
        <v>67.785234899328856</v>
      </c>
      <c r="G46" s="90">
        <v>75.167785234899327</v>
      </c>
      <c r="H46" s="90">
        <v>81.208053691275168</v>
      </c>
      <c r="I46" s="100">
        <v>151</v>
      </c>
    </row>
    <row r="47" spans="1:9" x14ac:dyDescent="0.35">
      <c r="A47" t="s">
        <v>131</v>
      </c>
      <c r="D47" s="90">
        <v>29.37062937062937</v>
      </c>
      <c r="E47" s="90">
        <v>35</v>
      </c>
      <c r="F47" s="90">
        <v>35.714285714285715</v>
      </c>
      <c r="G47" s="90">
        <v>72.340425531914889</v>
      </c>
      <c r="H47" s="90">
        <v>75.886524822695037</v>
      </c>
      <c r="I47" s="100">
        <v>144</v>
      </c>
    </row>
    <row r="48" spans="1:9" x14ac:dyDescent="0.35">
      <c r="A48" t="s">
        <v>132</v>
      </c>
      <c r="D48" s="90">
        <v>40.074906367041201</v>
      </c>
      <c r="E48" s="90">
        <v>37.453183520599254</v>
      </c>
      <c r="F48" s="90">
        <v>46.969696969696969</v>
      </c>
      <c r="G48" s="90">
        <v>67.415730337078656</v>
      </c>
      <c r="H48" s="90">
        <v>75.094339622641513</v>
      </c>
      <c r="I48" s="100">
        <v>268</v>
      </c>
    </row>
    <row r="49" spans="1:9" x14ac:dyDescent="0.35">
      <c r="A49" t="s">
        <v>133</v>
      </c>
      <c r="D49" s="90">
        <v>38.28125</v>
      </c>
      <c r="E49" s="90">
        <v>32.015810276679844</v>
      </c>
      <c r="F49" s="90">
        <v>49.011857707509883</v>
      </c>
      <c r="G49" s="90">
        <v>75.4863813229572</v>
      </c>
      <c r="H49" s="90">
        <v>79.6875</v>
      </c>
      <c r="I49" s="100">
        <v>258</v>
      </c>
    </row>
    <row r="50" spans="1:9" x14ac:dyDescent="0.35">
      <c r="A50" t="s">
        <v>134</v>
      </c>
      <c r="D50" s="90">
        <v>64.071856287425149</v>
      </c>
      <c r="E50" s="90">
        <v>36.445783132530117</v>
      </c>
      <c r="F50" s="90">
        <v>56.156156156156158</v>
      </c>
      <c r="G50" s="90">
        <v>64.970059880239518</v>
      </c>
      <c r="H50" s="90">
        <v>71.428571428571431</v>
      </c>
      <c r="I50" s="100">
        <v>335</v>
      </c>
    </row>
    <row r="51" spans="1:9" x14ac:dyDescent="0.35">
      <c r="A51" t="s">
        <v>135</v>
      </c>
      <c r="D51" s="90">
        <v>60.199004975124382</v>
      </c>
      <c r="E51" s="90">
        <v>32.754342431761785</v>
      </c>
      <c r="F51" s="90">
        <v>49.122807017543863</v>
      </c>
      <c r="G51" s="90">
        <v>57.75</v>
      </c>
      <c r="H51" s="90">
        <v>72.069825436408976</v>
      </c>
      <c r="I51" s="100">
        <v>406</v>
      </c>
    </row>
    <row r="53" spans="1:9" x14ac:dyDescent="0.35">
      <c r="D53" t="s">
        <v>150</v>
      </c>
      <c r="E53" t="s">
        <v>151</v>
      </c>
      <c r="F53" t="s">
        <v>152</v>
      </c>
      <c r="G53" t="s">
        <v>153</v>
      </c>
      <c r="H53" t="s">
        <v>154</v>
      </c>
      <c r="I53" t="s">
        <v>79</v>
      </c>
    </row>
    <row r="54" spans="1:9" x14ac:dyDescent="0.35">
      <c r="A54" t="s">
        <v>127</v>
      </c>
      <c r="D54" s="90">
        <v>46.842783505154642</v>
      </c>
      <c r="E54" s="90">
        <v>34.867141931302655</v>
      </c>
      <c r="F54" s="90">
        <v>50.845253576072821</v>
      </c>
      <c r="G54" s="90">
        <v>66.925064599483207</v>
      </c>
      <c r="H54" s="90">
        <v>74.951330304996759</v>
      </c>
      <c r="I54" s="100">
        <v>1562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32" workbookViewId="0">
      <selection activeCell="A69" sqref="A69:L69"/>
    </sheetView>
  </sheetViews>
  <sheetFormatPr defaultRowHeight="14.6" x14ac:dyDescent="0.35"/>
  <sheetData>
    <row r="1" spans="1:15" x14ac:dyDescent="0.35">
      <c r="A1" t="s">
        <v>122</v>
      </c>
      <c r="B1" t="s">
        <v>123</v>
      </c>
      <c r="C1" t="s">
        <v>124</v>
      </c>
      <c r="D1" t="s">
        <v>155</v>
      </c>
      <c r="E1" t="s">
        <v>156</v>
      </c>
      <c r="F1" t="s">
        <v>157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  <c r="L1" t="s">
        <v>163</v>
      </c>
      <c r="M1" t="s">
        <v>164</v>
      </c>
      <c r="N1" t="s">
        <v>165</v>
      </c>
      <c r="O1" t="s">
        <v>79</v>
      </c>
    </row>
    <row r="2" spans="1:15" x14ac:dyDescent="0.35">
      <c r="A2" t="s">
        <v>44</v>
      </c>
      <c r="B2" s="100">
        <v>1</v>
      </c>
      <c r="C2" s="100">
        <v>18</v>
      </c>
      <c r="D2" s="90">
        <v>50</v>
      </c>
      <c r="E2" s="90">
        <v>81.25</v>
      </c>
      <c r="F2" s="90">
        <v>100</v>
      </c>
      <c r="G2" s="90">
        <v>100</v>
      </c>
      <c r="H2" s="90">
        <v>75</v>
      </c>
      <c r="I2" s="90">
        <v>93.75</v>
      </c>
      <c r="J2" s="90">
        <v>62.5</v>
      </c>
      <c r="K2" s="90">
        <v>75</v>
      </c>
      <c r="L2" s="90">
        <v>93.75</v>
      </c>
      <c r="M2" s="90">
        <v>43.75</v>
      </c>
      <c r="N2" s="90">
        <v>62.5</v>
      </c>
      <c r="O2" s="100">
        <v>16</v>
      </c>
    </row>
    <row r="3" spans="1:15" x14ac:dyDescent="0.35">
      <c r="A3" t="s">
        <v>45</v>
      </c>
      <c r="B3" s="100">
        <v>6</v>
      </c>
      <c r="C3" s="100">
        <v>49</v>
      </c>
      <c r="D3" s="90">
        <v>55.555555555555557</v>
      </c>
      <c r="E3" s="90">
        <v>79.012345679012341</v>
      </c>
      <c r="F3" s="90">
        <v>80.487804878048777</v>
      </c>
      <c r="G3" s="90">
        <v>73.170731707317074</v>
      </c>
      <c r="H3" s="90">
        <v>47.560975609756099</v>
      </c>
      <c r="I3" s="90">
        <v>84.146341463414629</v>
      </c>
      <c r="J3" s="90">
        <v>47.560975609756099</v>
      </c>
      <c r="K3" s="90">
        <v>56.097560975609753</v>
      </c>
      <c r="L3" s="90">
        <v>57.31707317073171</v>
      </c>
      <c r="M3" s="90">
        <v>28.75</v>
      </c>
      <c r="N3" s="90">
        <v>76.829268292682926</v>
      </c>
      <c r="O3" s="100">
        <v>82</v>
      </c>
    </row>
    <row r="4" spans="1:15" x14ac:dyDescent="0.35">
      <c r="A4" t="s">
        <v>46</v>
      </c>
      <c r="B4" s="100">
        <v>2</v>
      </c>
      <c r="C4" s="100">
        <v>82</v>
      </c>
      <c r="D4" s="90">
        <v>42.857142857142854</v>
      </c>
      <c r="E4" s="90">
        <v>76.19047619047619</v>
      </c>
      <c r="F4" s="90">
        <v>90.476190476190482</v>
      </c>
      <c r="G4" s="90">
        <v>85.714285714285708</v>
      </c>
      <c r="H4" s="90">
        <v>52.38095238095238</v>
      </c>
      <c r="I4" s="90">
        <v>76.19047619047619</v>
      </c>
      <c r="J4" s="90">
        <v>71.428571428571431</v>
      </c>
      <c r="K4" s="90">
        <v>85.714285714285708</v>
      </c>
      <c r="L4" s="90">
        <v>85.714285714285708</v>
      </c>
      <c r="M4" s="90">
        <v>47.61904761904762</v>
      </c>
      <c r="N4" s="90">
        <v>57.142857142857146</v>
      </c>
      <c r="O4" s="100">
        <v>21</v>
      </c>
    </row>
    <row r="5" spans="1:15" x14ac:dyDescent="0.35">
      <c r="A5" t="s">
        <v>2</v>
      </c>
      <c r="B5" s="100">
        <v>1</v>
      </c>
      <c r="C5" s="100">
        <v>97</v>
      </c>
      <c r="D5" s="90">
        <v>42.857142857142854</v>
      </c>
      <c r="E5" s="90">
        <v>85.714285714285708</v>
      </c>
      <c r="F5" s="90">
        <v>92.857142857142861</v>
      </c>
      <c r="G5" s="90">
        <v>85.714285714285708</v>
      </c>
      <c r="H5" s="90">
        <v>42.857142857142854</v>
      </c>
      <c r="I5" s="90">
        <v>85.714285714285708</v>
      </c>
      <c r="J5" s="90">
        <v>7.1428571428571432</v>
      </c>
      <c r="K5" s="90">
        <v>50</v>
      </c>
      <c r="L5" s="90">
        <v>78.571428571428569</v>
      </c>
      <c r="M5" s="90">
        <v>7.6923076923076925</v>
      </c>
      <c r="N5" s="90">
        <v>57.142857142857146</v>
      </c>
      <c r="O5" s="100">
        <v>14</v>
      </c>
    </row>
    <row r="6" spans="1:15" x14ac:dyDescent="0.35">
      <c r="A6" t="s">
        <v>3</v>
      </c>
      <c r="B6" s="100">
        <v>4</v>
      </c>
      <c r="C6" s="100">
        <v>54</v>
      </c>
      <c r="D6" s="90">
        <v>40</v>
      </c>
      <c r="E6" s="90">
        <v>61.29032258064516</v>
      </c>
      <c r="F6" s="90">
        <v>83.870967741935488</v>
      </c>
      <c r="G6" s="90">
        <v>90</v>
      </c>
      <c r="H6" s="90">
        <v>64.516129032258064</v>
      </c>
      <c r="I6" s="90">
        <v>90.322580645161295</v>
      </c>
      <c r="J6" s="90">
        <v>73.333333333333329</v>
      </c>
      <c r="K6" s="90">
        <v>70.967741935483872</v>
      </c>
      <c r="L6" s="90">
        <v>77.41935483870968</v>
      </c>
      <c r="M6" s="90">
        <v>58.064516129032256</v>
      </c>
      <c r="N6" s="90">
        <v>61.29032258064516</v>
      </c>
      <c r="O6" s="100">
        <v>31</v>
      </c>
    </row>
    <row r="7" spans="1:15" x14ac:dyDescent="0.35">
      <c r="A7" t="s">
        <v>4</v>
      </c>
      <c r="B7" s="100">
        <v>5</v>
      </c>
      <c r="C7" s="100">
        <v>109</v>
      </c>
      <c r="D7" s="90">
        <v>58.536585365853661</v>
      </c>
      <c r="E7" s="90">
        <v>63.414634146341463</v>
      </c>
      <c r="F7" s="90">
        <v>85.365853658536579</v>
      </c>
      <c r="G7" s="90">
        <v>80.487804878048777</v>
      </c>
      <c r="H7" s="90">
        <v>63.414634146341463</v>
      </c>
      <c r="I7" s="90">
        <v>85.365853658536579</v>
      </c>
      <c r="J7" s="90">
        <v>60</v>
      </c>
      <c r="K7" s="90">
        <v>60</v>
      </c>
      <c r="L7" s="90">
        <v>73.170731707317074</v>
      </c>
      <c r="M7" s="90">
        <v>34.146341463414636</v>
      </c>
      <c r="N7" s="90">
        <v>80.487804878048777</v>
      </c>
      <c r="O7" s="100">
        <v>41</v>
      </c>
    </row>
    <row r="8" spans="1:15" x14ac:dyDescent="0.35">
      <c r="A8" t="s">
        <v>48</v>
      </c>
      <c r="B8" s="100">
        <v>2</v>
      </c>
      <c r="C8" s="100">
        <v>148</v>
      </c>
      <c r="D8" s="90">
        <v>44.444444444444443</v>
      </c>
      <c r="E8" s="90">
        <v>77.777777777777771</v>
      </c>
      <c r="F8" s="90">
        <v>94.117647058823536</v>
      </c>
      <c r="G8" s="90">
        <v>83.333333333333329</v>
      </c>
      <c r="H8" s="90">
        <v>44.444444444444443</v>
      </c>
      <c r="I8" s="90">
        <v>77.777777777777771</v>
      </c>
      <c r="J8" s="90">
        <v>61.111111111111114</v>
      </c>
      <c r="K8" s="90">
        <v>64.705882352941174</v>
      </c>
      <c r="L8" s="90">
        <v>77.777777777777771</v>
      </c>
      <c r="M8" s="90">
        <v>33.333333333333336</v>
      </c>
      <c r="N8" s="90">
        <v>52.941176470588232</v>
      </c>
      <c r="O8" s="100">
        <v>18</v>
      </c>
    </row>
    <row r="9" spans="1:15" x14ac:dyDescent="0.35">
      <c r="A9" t="s">
        <v>5</v>
      </c>
      <c r="B9" s="100">
        <v>6</v>
      </c>
      <c r="C9" s="100">
        <v>179</v>
      </c>
      <c r="D9" s="90">
        <v>53.448275862068968</v>
      </c>
      <c r="E9" s="90">
        <v>66.666666666666671</v>
      </c>
      <c r="F9" s="90">
        <v>75.438596491228068</v>
      </c>
      <c r="G9" s="90">
        <v>68.421052631578945</v>
      </c>
      <c r="H9" s="90">
        <v>58.620689655172413</v>
      </c>
      <c r="I9" s="90">
        <v>77.58620689655173</v>
      </c>
      <c r="J9" s="90">
        <v>68.965517241379317</v>
      </c>
      <c r="K9" s="90">
        <v>44.827586206896555</v>
      </c>
      <c r="L9" s="90">
        <v>70.689655172413794</v>
      </c>
      <c r="M9" s="90">
        <v>36.206896551724135</v>
      </c>
      <c r="N9" s="90">
        <v>63.793103448275865</v>
      </c>
      <c r="O9" s="100">
        <v>59</v>
      </c>
    </row>
    <row r="10" spans="1:15" x14ac:dyDescent="0.35">
      <c r="A10" t="s">
        <v>50</v>
      </c>
      <c r="B10" s="100">
        <v>3</v>
      </c>
      <c r="C10" s="100">
        <v>214</v>
      </c>
      <c r="D10" s="90">
        <v>60</v>
      </c>
      <c r="E10" s="90">
        <v>56</v>
      </c>
      <c r="F10" s="90">
        <v>76</v>
      </c>
      <c r="G10" s="90">
        <v>80</v>
      </c>
      <c r="H10" s="90">
        <v>72</v>
      </c>
      <c r="I10" s="90">
        <v>88</v>
      </c>
      <c r="J10" s="90">
        <v>60</v>
      </c>
      <c r="K10" s="90">
        <v>64</v>
      </c>
      <c r="L10" s="90">
        <v>68</v>
      </c>
      <c r="M10" s="90">
        <v>40</v>
      </c>
      <c r="N10" s="90">
        <v>44</v>
      </c>
      <c r="O10" s="100">
        <v>25</v>
      </c>
    </row>
    <row r="11" spans="1:15" x14ac:dyDescent="0.35">
      <c r="A11" t="s">
        <v>51</v>
      </c>
      <c r="B11" s="100">
        <v>1</v>
      </c>
      <c r="C11" s="100">
        <v>239</v>
      </c>
      <c r="D11" s="90">
        <v>59.090909090909093</v>
      </c>
      <c r="E11" s="90">
        <v>90.909090909090907</v>
      </c>
      <c r="F11" s="90">
        <v>81.818181818181813</v>
      </c>
      <c r="G11" s="90">
        <v>77.272727272727266</v>
      </c>
      <c r="H11" s="90">
        <v>22.727272727272727</v>
      </c>
      <c r="I11" s="90">
        <v>86.36363636363636</v>
      </c>
      <c r="J11" s="90">
        <v>36.363636363636367</v>
      </c>
      <c r="K11" s="90">
        <v>81.818181818181813</v>
      </c>
      <c r="L11" s="90">
        <v>63.636363636363633</v>
      </c>
      <c r="M11" s="90">
        <v>31.818181818181817</v>
      </c>
      <c r="N11" s="90">
        <v>63.636363636363633</v>
      </c>
      <c r="O11" s="100">
        <v>22</v>
      </c>
    </row>
    <row r="12" spans="1:15" x14ac:dyDescent="0.35">
      <c r="A12" t="s">
        <v>22</v>
      </c>
      <c r="B12" s="100">
        <v>2</v>
      </c>
      <c r="C12" s="100">
        <v>322</v>
      </c>
      <c r="D12" s="90">
        <v>64.285714285714292</v>
      </c>
      <c r="E12" s="90">
        <v>71.428571428571431</v>
      </c>
      <c r="F12" s="90">
        <v>62.962962962962962</v>
      </c>
      <c r="G12" s="90">
        <v>57.142857142857146</v>
      </c>
      <c r="H12" s="90">
        <v>42.857142857142854</v>
      </c>
      <c r="I12" s="90">
        <v>57.142857142857146</v>
      </c>
      <c r="J12" s="90">
        <v>39.285714285714285</v>
      </c>
      <c r="K12" s="90">
        <v>55.555555555555557</v>
      </c>
      <c r="L12" s="90">
        <v>35.714285714285715</v>
      </c>
      <c r="M12" s="90">
        <v>33.333333333333336</v>
      </c>
      <c r="N12" s="90">
        <v>42.857142857142854</v>
      </c>
      <c r="O12" s="100">
        <v>28</v>
      </c>
    </row>
    <row r="13" spans="1:15" x14ac:dyDescent="0.35">
      <c r="A13" t="s">
        <v>52</v>
      </c>
      <c r="B13" s="100">
        <v>3</v>
      </c>
      <c r="C13" s="100">
        <v>249</v>
      </c>
      <c r="D13" s="90">
        <v>37.837837837837839</v>
      </c>
      <c r="E13" s="90">
        <v>78.378378378378372</v>
      </c>
      <c r="F13" s="90">
        <v>94.594594594594597</v>
      </c>
      <c r="G13" s="90">
        <v>72.222222222222229</v>
      </c>
      <c r="H13" s="90">
        <v>43.243243243243242</v>
      </c>
      <c r="I13" s="90">
        <v>67.567567567567565</v>
      </c>
      <c r="J13" s="90">
        <v>43.243243243243242</v>
      </c>
      <c r="K13" s="90">
        <v>64.86486486486487</v>
      </c>
      <c r="L13" s="90">
        <v>67.567567567567565</v>
      </c>
      <c r="M13" s="90">
        <v>38.888888888888886</v>
      </c>
      <c r="N13" s="90">
        <v>75.675675675675677</v>
      </c>
      <c r="O13" s="100">
        <v>37</v>
      </c>
    </row>
    <row r="14" spans="1:15" x14ac:dyDescent="0.35">
      <c r="A14" t="s">
        <v>72</v>
      </c>
      <c r="B14" s="100">
        <v>4</v>
      </c>
      <c r="C14" s="100">
        <v>272</v>
      </c>
      <c r="D14" s="90">
        <v>41.666666666666664</v>
      </c>
      <c r="E14" s="90">
        <v>52.542372881355931</v>
      </c>
      <c r="F14" s="90">
        <v>75.409836065573771</v>
      </c>
      <c r="G14" s="90">
        <v>73.770491803278688</v>
      </c>
      <c r="H14" s="90">
        <v>60.655737704918032</v>
      </c>
      <c r="I14" s="90">
        <v>81.967213114754102</v>
      </c>
      <c r="J14" s="90">
        <v>55.73770491803279</v>
      </c>
      <c r="K14" s="90">
        <v>55.73770491803279</v>
      </c>
      <c r="L14" s="90">
        <v>72.131147540983605</v>
      </c>
      <c r="M14" s="90">
        <v>32.786885245901637</v>
      </c>
      <c r="N14" s="90">
        <v>49.180327868852459</v>
      </c>
      <c r="O14" s="100">
        <v>61</v>
      </c>
    </row>
    <row r="15" spans="1:15" x14ac:dyDescent="0.35">
      <c r="A15" t="s">
        <v>6</v>
      </c>
      <c r="B15" s="100">
        <v>5</v>
      </c>
      <c r="C15" s="100">
        <v>285</v>
      </c>
      <c r="D15" s="90">
        <v>45.588235294117645</v>
      </c>
      <c r="E15" s="90">
        <v>43.478260869565219</v>
      </c>
      <c r="F15" s="90">
        <v>68.115942028985501</v>
      </c>
      <c r="G15" s="90">
        <v>71.014492753623188</v>
      </c>
      <c r="H15" s="90">
        <v>67.164179104477611</v>
      </c>
      <c r="I15" s="90">
        <v>81.159420289855078</v>
      </c>
      <c r="J15" s="90">
        <v>65.671641791044777</v>
      </c>
      <c r="K15" s="90">
        <v>64.705882352941174</v>
      </c>
      <c r="L15" s="90">
        <v>70.588235294117652</v>
      </c>
      <c r="M15" s="90">
        <v>33.823529411764703</v>
      </c>
      <c r="N15" s="90">
        <v>67.647058823529406</v>
      </c>
      <c r="O15" s="100">
        <v>70</v>
      </c>
    </row>
    <row r="16" spans="1:15" x14ac:dyDescent="0.35">
      <c r="A16" t="s">
        <v>73</v>
      </c>
      <c r="B16" s="100">
        <v>3</v>
      </c>
      <c r="C16" s="100">
        <v>301</v>
      </c>
      <c r="D16" s="90">
        <v>44.444444444444443</v>
      </c>
      <c r="E16" s="90">
        <v>69.444444444444443</v>
      </c>
      <c r="F16" s="90">
        <v>77.142857142857139</v>
      </c>
      <c r="G16" s="90">
        <v>71.428571428571431</v>
      </c>
      <c r="H16" s="90">
        <v>48.571428571428569</v>
      </c>
      <c r="I16" s="90">
        <v>88.888888888888886</v>
      </c>
      <c r="J16" s="90">
        <v>50</v>
      </c>
      <c r="K16" s="90">
        <v>61.111111111111114</v>
      </c>
      <c r="L16" s="90">
        <v>77.777777777777771</v>
      </c>
      <c r="M16" s="90">
        <v>36.111111111111114</v>
      </c>
      <c r="N16" s="90">
        <v>57.142857142857146</v>
      </c>
      <c r="O16" s="100">
        <v>36</v>
      </c>
    </row>
    <row r="17" spans="1:15" x14ac:dyDescent="0.35">
      <c r="A17" t="s">
        <v>7</v>
      </c>
      <c r="B17" s="100">
        <v>3</v>
      </c>
      <c r="C17" s="100">
        <v>305</v>
      </c>
      <c r="D17" s="90">
        <v>51.612903225806448</v>
      </c>
      <c r="E17" s="90">
        <v>70</v>
      </c>
      <c r="F17" s="90">
        <v>83.870967741935488</v>
      </c>
      <c r="G17" s="90">
        <v>83.870967741935488</v>
      </c>
      <c r="H17" s="90">
        <v>51.612903225806448</v>
      </c>
      <c r="I17" s="90">
        <v>64.516129032258064</v>
      </c>
      <c r="J17" s="90">
        <v>48.387096774193552</v>
      </c>
      <c r="K17" s="90">
        <v>70.967741935483872</v>
      </c>
      <c r="L17" s="90">
        <v>77.41935483870968</v>
      </c>
      <c r="M17" s="90">
        <v>20</v>
      </c>
      <c r="N17" s="90">
        <v>58.064516129032256</v>
      </c>
      <c r="O17" s="100">
        <v>31</v>
      </c>
    </row>
    <row r="18" spans="1:15" x14ac:dyDescent="0.35">
      <c r="A18" t="s">
        <v>8</v>
      </c>
      <c r="B18" s="100">
        <v>5</v>
      </c>
      <c r="C18" s="100">
        <v>405</v>
      </c>
      <c r="D18" s="90">
        <v>43.589743589743591</v>
      </c>
      <c r="E18" s="90">
        <v>65</v>
      </c>
      <c r="F18" s="90">
        <v>89.743589743589737</v>
      </c>
      <c r="G18" s="90">
        <v>82.051282051282058</v>
      </c>
      <c r="H18" s="90">
        <v>60.526315789473685</v>
      </c>
      <c r="I18" s="90">
        <v>74.358974358974365</v>
      </c>
      <c r="J18" s="90">
        <v>58.974358974358971</v>
      </c>
      <c r="K18" s="90">
        <v>58.974358974358971</v>
      </c>
      <c r="L18" s="90">
        <v>76.92307692307692</v>
      </c>
      <c r="M18" s="90">
        <v>30.76923076923077</v>
      </c>
      <c r="N18" s="90">
        <v>69.230769230769226</v>
      </c>
      <c r="O18" s="100">
        <v>40</v>
      </c>
    </row>
    <row r="19" spans="1:15" x14ac:dyDescent="0.35">
      <c r="A19" t="s">
        <v>9</v>
      </c>
      <c r="B19" s="100">
        <v>4</v>
      </c>
      <c r="C19" s="100">
        <v>418</v>
      </c>
      <c r="D19" s="90">
        <v>42.5</v>
      </c>
      <c r="E19" s="90">
        <v>61.53846153846154</v>
      </c>
      <c r="F19" s="90">
        <v>85</v>
      </c>
      <c r="G19" s="90">
        <v>66.666666666666671</v>
      </c>
      <c r="H19" s="90">
        <v>47.5</v>
      </c>
      <c r="I19" s="90">
        <v>73.684210526315795</v>
      </c>
      <c r="J19" s="90">
        <v>48.717948717948715</v>
      </c>
      <c r="K19" s="90">
        <v>57.5</v>
      </c>
      <c r="L19" s="90">
        <v>67.5</v>
      </c>
      <c r="M19" s="90">
        <v>43.589743589743591</v>
      </c>
      <c r="N19" s="90">
        <v>80</v>
      </c>
      <c r="O19" s="100">
        <v>40</v>
      </c>
    </row>
    <row r="20" spans="1:15" x14ac:dyDescent="0.35">
      <c r="A20" t="s">
        <v>56</v>
      </c>
      <c r="B20" s="100">
        <v>3</v>
      </c>
      <c r="C20" s="100">
        <v>426</v>
      </c>
      <c r="D20" s="90">
        <v>44.736842105263158</v>
      </c>
      <c r="E20" s="90">
        <v>71.05263157894737</v>
      </c>
      <c r="F20" s="90">
        <v>94.736842105263165</v>
      </c>
      <c r="G20" s="90">
        <v>89.189189189189193</v>
      </c>
      <c r="H20" s="90">
        <v>63.157894736842103</v>
      </c>
      <c r="I20" s="90">
        <v>84.21052631578948</v>
      </c>
      <c r="J20" s="90">
        <v>55.263157894736842</v>
      </c>
      <c r="K20" s="90">
        <v>67.567567567567565</v>
      </c>
      <c r="L20" s="90">
        <v>81.081081081081081</v>
      </c>
      <c r="M20" s="90">
        <v>34.210526315789473</v>
      </c>
      <c r="N20" s="90">
        <v>71.05263157894737</v>
      </c>
      <c r="O20" s="100">
        <v>38</v>
      </c>
    </row>
    <row r="21" spans="1:15" x14ac:dyDescent="0.35">
      <c r="A21" t="s">
        <v>74</v>
      </c>
      <c r="B21" s="100">
        <v>5</v>
      </c>
      <c r="C21" s="100">
        <v>491</v>
      </c>
      <c r="D21" s="90">
        <v>50</v>
      </c>
      <c r="E21" s="90">
        <v>67.605633802816897</v>
      </c>
      <c r="F21" s="90">
        <v>80</v>
      </c>
      <c r="G21" s="90">
        <v>72.222222222222229</v>
      </c>
      <c r="H21" s="90">
        <v>53.521126760563384</v>
      </c>
      <c r="I21" s="90">
        <v>78.571428571428569</v>
      </c>
      <c r="J21" s="90">
        <v>59.722222222222221</v>
      </c>
      <c r="K21" s="90">
        <v>54.166666666666664</v>
      </c>
      <c r="L21" s="90">
        <v>70.422535211267601</v>
      </c>
      <c r="M21" s="90">
        <v>37.5</v>
      </c>
      <c r="N21" s="90">
        <v>64.285714285714292</v>
      </c>
      <c r="O21" s="100">
        <v>72</v>
      </c>
    </row>
    <row r="22" spans="1:15" x14ac:dyDescent="0.35">
      <c r="A22" t="s">
        <v>10</v>
      </c>
      <c r="B22" s="100">
        <v>2.978723404255319</v>
      </c>
      <c r="C22" s="100">
        <v>499</v>
      </c>
      <c r="D22" s="90">
        <v>53.191489361702125</v>
      </c>
      <c r="E22" s="90">
        <v>61.702127659574465</v>
      </c>
      <c r="F22" s="90">
        <v>82.608695652173907</v>
      </c>
      <c r="G22" s="90">
        <v>76.086956521739125</v>
      </c>
      <c r="H22" s="90">
        <v>53.191489361702125</v>
      </c>
      <c r="I22" s="90">
        <v>61.702127659574465</v>
      </c>
      <c r="J22" s="90">
        <v>36.956521739130437</v>
      </c>
      <c r="K22" s="90">
        <v>55.319148936170215</v>
      </c>
      <c r="L22" s="90">
        <v>58.695652173913047</v>
      </c>
      <c r="M22" s="90">
        <v>51.063829787234042</v>
      </c>
      <c r="N22" s="90">
        <v>41.304347826086953</v>
      </c>
      <c r="O22" s="100">
        <v>47</v>
      </c>
    </row>
    <row r="23" spans="1:15" x14ac:dyDescent="0.35">
      <c r="A23" t="s">
        <v>58</v>
      </c>
      <c r="B23" s="100">
        <v>3</v>
      </c>
      <c r="C23" s="100">
        <v>535</v>
      </c>
      <c r="D23" s="90">
        <v>52.631578947368418</v>
      </c>
      <c r="E23" s="90">
        <v>100</v>
      </c>
      <c r="F23" s="90">
        <v>73.684210526315795</v>
      </c>
      <c r="G23" s="90">
        <v>63.157894736842103</v>
      </c>
      <c r="H23" s="90">
        <v>31.578947368421051</v>
      </c>
      <c r="I23" s="90">
        <v>68.421052631578945</v>
      </c>
      <c r="J23" s="90">
        <v>26.315789473684209</v>
      </c>
      <c r="K23" s="90">
        <v>52.631578947368418</v>
      </c>
      <c r="L23" s="90">
        <v>78.94736842105263</v>
      </c>
      <c r="M23" s="90">
        <v>36.842105263157897</v>
      </c>
      <c r="N23" s="90">
        <v>63.157894736842103</v>
      </c>
      <c r="O23" s="100">
        <v>19</v>
      </c>
    </row>
    <row r="24" spans="1:15" x14ac:dyDescent="0.35">
      <c r="A24" t="s">
        <v>11</v>
      </c>
      <c r="B24" s="100">
        <v>6</v>
      </c>
      <c r="C24" s="100">
        <v>464</v>
      </c>
      <c r="D24" s="90">
        <v>54.237288135593218</v>
      </c>
      <c r="E24" s="90">
        <v>71.186440677966104</v>
      </c>
      <c r="F24" s="90">
        <v>76.271186440677965</v>
      </c>
      <c r="G24" s="90">
        <v>62.711864406779661</v>
      </c>
      <c r="H24" s="90">
        <v>50.847457627118644</v>
      </c>
      <c r="I24" s="90">
        <v>81.355932203389827</v>
      </c>
      <c r="J24" s="90">
        <v>50.847457627118644</v>
      </c>
      <c r="K24" s="90">
        <v>51.724137931034484</v>
      </c>
      <c r="L24" s="90">
        <v>63.793103448275865</v>
      </c>
      <c r="M24" s="90">
        <v>24.561403508771932</v>
      </c>
      <c r="N24" s="90">
        <v>74.576271186440678</v>
      </c>
      <c r="O24" s="100">
        <v>59</v>
      </c>
    </row>
    <row r="25" spans="1:15" x14ac:dyDescent="0.35">
      <c r="A25" t="s">
        <v>60</v>
      </c>
      <c r="B25" s="100">
        <v>1</v>
      </c>
      <c r="C25" s="100">
        <v>578</v>
      </c>
      <c r="D25" s="90">
        <v>47.61904761904762</v>
      </c>
      <c r="E25" s="90">
        <v>100</v>
      </c>
      <c r="F25" s="90">
        <v>95</v>
      </c>
      <c r="G25" s="90">
        <v>95.238095238095241</v>
      </c>
      <c r="H25" s="90">
        <v>52.38095238095238</v>
      </c>
      <c r="I25" s="90">
        <v>85.714285714285708</v>
      </c>
      <c r="J25" s="90">
        <v>57.142857142857146</v>
      </c>
      <c r="K25" s="90">
        <v>71.428571428571431</v>
      </c>
      <c r="L25" s="90">
        <v>66.666666666666671</v>
      </c>
      <c r="M25" s="90">
        <v>33.333333333333336</v>
      </c>
      <c r="N25" s="90">
        <v>66.666666666666671</v>
      </c>
      <c r="O25" s="100">
        <v>21</v>
      </c>
    </row>
    <row r="26" spans="1:15" x14ac:dyDescent="0.35">
      <c r="A26" t="s">
        <v>61</v>
      </c>
      <c r="B26" s="100">
        <v>2</v>
      </c>
      <c r="C26" s="100">
        <v>581</v>
      </c>
      <c r="D26" s="90">
        <v>42.857142857142854</v>
      </c>
      <c r="E26" s="90">
        <v>92.857142857142861</v>
      </c>
      <c r="F26" s="90">
        <v>85.714285714285708</v>
      </c>
      <c r="G26" s="90">
        <v>78.571428571428569</v>
      </c>
      <c r="H26" s="90">
        <v>17.857142857142858</v>
      </c>
      <c r="I26" s="90">
        <v>67.857142857142861</v>
      </c>
      <c r="J26" s="90">
        <v>17.857142857142858</v>
      </c>
      <c r="K26" s="90">
        <v>44.444444444444443</v>
      </c>
      <c r="L26" s="90">
        <v>60.714285714285715</v>
      </c>
      <c r="M26" s="90">
        <v>28.571428571428573</v>
      </c>
      <c r="N26" s="90">
        <v>50</v>
      </c>
      <c r="O26" s="100">
        <v>28</v>
      </c>
    </row>
    <row r="27" spans="1:15" x14ac:dyDescent="0.35">
      <c r="A27" t="s">
        <v>62</v>
      </c>
      <c r="B27" s="100">
        <v>1</v>
      </c>
      <c r="C27" s="100">
        <v>592</v>
      </c>
      <c r="D27" s="90">
        <v>61.111111111111114</v>
      </c>
      <c r="E27" s="90">
        <v>83.333333333333329</v>
      </c>
      <c r="F27" s="90">
        <v>100</v>
      </c>
      <c r="G27" s="90">
        <v>94.444444444444443</v>
      </c>
      <c r="H27" s="90">
        <v>33.333333333333336</v>
      </c>
      <c r="I27" s="90">
        <v>94.444444444444443</v>
      </c>
      <c r="J27" s="90">
        <v>38.888888888888886</v>
      </c>
      <c r="K27" s="90">
        <v>66.666666666666671</v>
      </c>
      <c r="L27" s="90">
        <v>77.777777777777771</v>
      </c>
      <c r="M27" s="90">
        <v>11.111111111111111</v>
      </c>
      <c r="N27" s="90">
        <v>66.666666666666671</v>
      </c>
      <c r="O27" s="100">
        <v>19</v>
      </c>
    </row>
    <row r="28" spans="1:15" x14ac:dyDescent="0.35">
      <c r="A28" t="s">
        <v>12</v>
      </c>
      <c r="B28" s="100">
        <v>2</v>
      </c>
      <c r="C28" s="100">
        <v>615</v>
      </c>
      <c r="D28" s="90">
        <v>64.705882352941174</v>
      </c>
      <c r="E28" s="90">
        <v>70.588235294117652</v>
      </c>
      <c r="F28" s="90">
        <v>76.470588235294116</v>
      </c>
      <c r="G28" s="90">
        <v>93.333333333333329</v>
      </c>
      <c r="H28" s="90">
        <v>58.823529411764703</v>
      </c>
      <c r="I28" s="90">
        <v>64.705882352941174</v>
      </c>
      <c r="J28" s="90">
        <v>37.5</v>
      </c>
      <c r="K28" s="90">
        <v>76.470588235294116</v>
      </c>
      <c r="L28" s="90">
        <v>68.75</v>
      </c>
      <c r="M28" s="90">
        <v>41.176470588235297</v>
      </c>
      <c r="N28" s="90">
        <v>70.588235294117652</v>
      </c>
      <c r="O28" s="100">
        <v>17</v>
      </c>
    </row>
    <row r="29" spans="1:15" x14ac:dyDescent="0.35">
      <c r="A29" t="s">
        <v>23</v>
      </c>
      <c r="B29" s="100">
        <v>4</v>
      </c>
      <c r="C29" s="100">
        <v>710</v>
      </c>
      <c r="D29" s="90">
        <v>52.38095238095238</v>
      </c>
      <c r="E29" s="90">
        <v>69.767441860465112</v>
      </c>
      <c r="F29" s="90">
        <v>71.428571428571431</v>
      </c>
      <c r="G29" s="90">
        <v>55.813953488372093</v>
      </c>
      <c r="H29" s="90">
        <v>53.488372093023258</v>
      </c>
      <c r="I29" s="90">
        <v>79.069767441860463</v>
      </c>
      <c r="J29" s="90">
        <v>59.523809523809526</v>
      </c>
      <c r="K29" s="90">
        <v>46.511627906976742</v>
      </c>
      <c r="L29" s="90">
        <v>55.813953488372093</v>
      </c>
      <c r="M29" s="90">
        <v>37.209302325581397</v>
      </c>
      <c r="N29" s="90">
        <v>44.186046511627907</v>
      </c>
      <c r="O29" s="100">
        <v>43</v>
      </c>
    </row>
    <row r="30" spans="1:15" x14ac:dyDescent="0.35">
      <c r="A30" t="s">
        <v>64</v>
      </c>
      <c r="B30" s="100">
        <v>4</v>
      </c>
      <c r="C30" s="100">
        <v>680</v>
      </c>
      <c r="D30" s="90">
        <v>59.090909090909093</v>
      </c>
      <c r="E30" s="90">
        <v>72.727272727272734</v>
      </c>
      <c r="F30" s="90">
        <v>61.363636363636367</v>
      </c>
      <c r="G30" s="90">
        <v>56.81818181818182</v>
      </c>
      <c r="H30" s="90">
        <v>52.272727272727273</v>
      </c>
      <c r="I30" s="90">
        <v>72.727272727272734</v>
      </c>
      <c r="J30" s="90">
        <v>31.818181818181817</v>
      </c>
      <c r="K30" s="90">
        <v>51.162790697674417</v>
      </c>
      <c r="L30" s="90">
        <v>70.454545454545453</v>
      </c>
      <c r="M30" s="90">
        <v>40.476190476190474</v>
      </c>
      <c r="N30" s="90">
        <v>63.636363636363633</v>
      </c>
      <c r="O30" s="100">
        <v>44</v>
      </c>
    </row>
    <row r="31" spans="1:15" x14ac:dyDescent="0.35">
      <c r="A31" t="s">
        <v>65</v>
      </c>
      <c r="B31" s="100">
        <v>1</v>
      </c>
      <c r="C31" s="100">
        <v>686</v>
      </c>
      <c r="D31" s="90">
        <v>82.352941176470594</v>
      </c>
      <c r="E31" s="90">
        <v>94.117647058823536</v>
      </c>
      <c r="F31" s="90">
        <v>70.588235294117652</v>
      </c>
      <c r="G31" s="90">
        <v>70.588235294117652</v>
      </c>
      <c r="H31" s="90">
        <v>41.176470588235297</v>
      </c>
      <c r="I31" s="90">
        <v>88.235294117647058</v>
      </c>
      <c r="J31" s="90">
        <v>41.176470588235297</v>
      </c>
      <c r="K31" s="90">
        <v>58.823529411764703</v>
      </c>
      <c r="L31" s="90">
        <v>58.823529411764703</v>
      </c>
      <c r="M31" s="90">
        <v>35.294117647058826</v>
      </c>
      <c r="N31" s="90">
        <v>81.25</v>
      </c>
      <c r="O31" s="100">
        <v>17</v>
      </c>
    </row>
    <row r="32" spans="1:15" x14ac:dyDescent="0.35">
      <c r="A32" t="s">
        <v>13</v>
      </c>
      <c r="B32" s="100">
        <v>5</v>
      </c>
      <c r="C32" s="100">
        <v>734</v>
      </c>
      <c r="D32" s="90">
        <v>32.727272727272727</v>
      </c>
      <c r="E32" s="90">
        <v>58.18181818181818</v>
      </c>
      <c r="F32" s="90">
        <v>72.727272727272734</v>
      </c>
      <c r="G32" s="90">
        <v>75.925925925925924</v>
      </c>
      <c r="H32" s="90">
        <v>52.727272727272727</v>
      </c>
      <c r="I32" s="90">
        <v>78.181818181818187</v>
      </c>
      <c r="J32" s="90">
        <v>68.518518518518519</v>
      </c>
      <c r="K32" s="90">
        <v>63.636363636363633</v>
      </c>
      <c r="L32" s="90">
        <v>64.81481481481481</v>
      </c>
      <c r="M32" s="90">
        <v>29.09090909090909</v>
      </c>
      <c r="N32" s="90">
        <v>54.716981132075475</v>
      </c>
      <c r="O32" s="100">
        <v>55</v>
      </c>
    </row>
    <row r="33" spans="1:15" x14ac:dyDescent="0.35">
      <c r="A33" t="s">
        <v>14</v>
      </c>
      <c r="B33" s="100">
        <v>3</v>
      </c>
      <c r="C33" s="100">
        <v>753</v>
      </c>
      <c r="D33" s="90">
        <v>58.333333333333336</v>
      </c>
      <c r="E33" s="90">
        <v>86.111111111111114</v>
      </c>
      <c r="F33" s="90">
        <v>91.666666666666671</v>
      </c>
      <c r="G33" s="90">
        <v>88.571428571428569</v>
      </c>
      <c r="H33" s="90">
        <v>44.444444444444443</v>
      </c>
      <c r="I33" s="90">
        <v>88.888888888888886</v>
      </c>
      <c r="J33" s="90">
        <v>44.444444444444443</v>
      </c>
      <c r="K33" s="90">
        <v>71.428571428571431</v>
      </c>
      <c r="L33" s="90">
        <v>57.142857142857146</v>
      </c>
      <c r="M33" s="90">
        <v>33.333333333333336</v>
      </c>
      <c r="N33" s="90">
        <v>63.888888888888886</v>
      </c>
      <c r="O33" s="100">
        <v>36</v>
      </c>
    </row>
    <row r="34" spans="1:15" x14ac:dyDescent="0.35">
      <c r="A34" t="s">
        <v>67</v>
      </c>
      <c r="B34" s="100">
        <v>1</v>
      </c>
      <c r="C34" s="100">
        <v>783</v>
      </c>
      <c r="D34" s="90">
        <v>65.384615384615387</v>
      </c>
      <c r="E34" s="90">
        <v>80.769230769230774</v>
      </c>
      <c r="F34" s="90">
        <v>76.92307692307692</v>
      </c>
      <c r="G34" s="90">
        <v>65.384615384615387</v>
      </c>
      <c r="H34" s="90">
        <v>42.307692307692307</v>
      </c>
      <c r="I34" s="90">
        <v>72</v>
      </c>
      <c r="J34" s="90">
        <v>23.076923076923077</v>
      </c>
      <c r="K34" s="90">
        <v>46.153846153846153</v>
      </c>
      <c r="L34" s="90">
        <v>73.07692307692308</v>
      </c>
      <c r="M34" s="90">
        <v>50</v>
      </c>
      <c r="N34" s="90">
        <v>42.307692307692307</v>
      </c>
      <c r="O34" s="100">
        <v>26</v>
      </c>
    </row>
    <row r="35" spans="1:15" x14ac:dyDescent="0.35">
      <c r="A35" t="s">
        <v>68</v>
      </c>
      <c r="B35" s="100">
        <v>6</v>
      </c>
      <c r="C35" s="100">
        <v>837</v>
      </c>
      <c r="D35" s="90">
        <v>49.019607843137258</v>
      </c>
      <c r="E35" s="90">
        <v>66.666666666666671</v>
      </c>
      <c r="F35" s="90">
        <v>76.92307692307692</v>
      </c>
      <c r="G35" s="90">
        <v>76.92307692307692</v>
      </c>
      <c r="H35" s="90">
        <v>60.784313725490193</v>
      </c>
      <c r="I35" s="90">
        <v>73.07692307692308</v>
      </c>
      <c r="J35" s="90">
        <v>53.846153846153847</v>
      </c>
      <c r="K35" s="90">
        <v>48.07692307692308</v>
      </c>
      <c r="L35" s="90">
        <v>57.692307692307693</v>
      </c>
      <c r="M35" s="90">
        <v>26.923076923076923</v>
      </c>
      <c r="N35" s="90">
        <v>80.769230769230774</v>
      </c>
      <c r="O35" s="100">
        <v>52</v>
      </c>
    </row>
    <row r="36" spans="1:15" x14ac:dyDescent="0.35">
      <c r="A36" t="s">
        <v>69</v>
      </c>
      <c r="B36" s="100">
        <v>4</v>
      </c>
      <c r="C36" s="100">
        <v>851</v>
      </c>
      <c r="D36" s="90">
        <v>43.589743589743591</v>
      </c>
      <c r="E36" s="90">
        <v>84.615384615384613</v>
      </c>
      <c r="F36" s="90">
        <v>83.78378378378379</v>
      </c>
      <c r="G36" s="90">
        <v>79.487179487179489</v>
      </c>
      <c r="H36" s="90">
        <v>46.153846153846153</v>
      </c>
      <c r="I36" s="90">
        <v>87.179487179487182</v>
      </c>
      <c r="J36" s="90">
        <v>51.282051282051285</v>
      </c>
      <c r="K36" s="90">
        <v>64.102564102564102</v>
      </c>
      <c r="L36" s="90">
        <v>64.102564102564102</v>
      </c>
      <c r="M36" s="90">
        <v>41.025641025641029</v>
      </c>
      <c r="N36" s="90">
        <v>71.05263157894737</v>
      </c>
      <c r="O36" s="100">
        <v>39</v>
      </c>
    </row>
    <row r="37" spans="1:15" x14ac:dyDescent="0.35">
      <c r="A37" t="s">
        <v>15</v>
      </c>
      <c r="B37" s="100">
        <v>6</v>
      </c>
      <c r="C37" s="100">
        <v>853</v>
      </c>
      <c r="D37" s="90">
        <v>52.307692307692307</v>
      </c>
      <c r="E37" s="90">
        <v>68.75</v>
      </c>
      <c r="F37" s="90">
        <v>64.615384615384613</v>
      </c>
      <c r="G37" s="90">
        <v>57.8125</v>
      </c>
      <c r="H37" s="90">
        <v>56.92307692307692</v>
      </c>
      <c r="I37" s="90">
        <v>73.84615384615384</v>
      </c>
      <c r="J37" s="90">
        <v>52.38095238095238</v>
      </c>
      <c r="K37" s="90">
        <v>44.615384615384613</v>
      </c>
      <c r="L37" s="90">
        <v>48.4375</v>
      </c>
      <c r="M37" s="90">
        <v>31.25</v>
      </c>
      <c r="N37" s="90">
        <v>61.53846153846154</v>
      </c>
      <c r="O37" s="100">
        <v>65</v>
      </c>
    </row>
    <row r="38" spans="1:15" x14ac:dyDescent="0.35">
      <c r="A38" t="s">
        <v>16</v>
      </c>
      <c r="B38" s="100">
        <v>5</v>
      </c>
      <c r="C38" s="100">
        <v>905</v>
      </c>
      <c r="D38" s="90">
        <v>60.714285714285715</v>
      </c>
      <c r="E38" s="90">
        <v>57.142857142857146</v>
      </c>
      <c r="F38" s="90">
        <v>73.684210526315795</v>
      </c>
      <c r="G38" s="90">
        <v>75.438596491228068</v>
      </c>
      <c r="H38" s="90">
        <v>57.89473684210526</v>
      </c>
      <c r="I38" s="90">
        <v>66.666666666666671</v>
      </c>
      <c r="J38" s="90">
        <v>53.571428571428569</v>
      </c>
      <c r="K38" s="90">
        <v>43.859649122807021</v>
      </c>
      <c r="L38" s="90">
        <v>64.912280701754383</v>
      </c>
      <c r="M38" s="90">
        <v>28.571428571428573</v>
      </c>
      <c r="N38" s="90">
        <v>57.89473684210526</v>
      </c>
      <c r="O38" s="100">
        <v>57</v>
      </c>
    </row>
    <row r="39" spans="1:15" x14ac:dyDescent="0.35">
      <c r="A39" t="s">
        <v>71</v>
      </c>
      <c r="B39" s="100">
        <v>6</v>
      </c>
      <c r="C39" s="100">
        <v>92</v>
      </c>
      <c r="D39" s="90">
        <v>66.292134831460672</v>
      </c>
      <c r="E39" s="90">
        <v>71.910112359550567</v>
      </c>
      <c r="F39" s="90">
        <v>82.954545454545453</v>
      </c>
      <c r="G39" s="90">
        <v>69.662921348314612</v>
      </c>
      <c r="H39" s="90">
        <v>52.80898876404494</v>
      </c>
      <c r="I39" s="90">
        <v>85.393258426966298</v>
      </c>
      <c r="J39" s="90">
        <v>50</v>
      </c>
      <c r="K39" s="90">
        <v>51.685393258426963</v>
      </c>
      <c r="L39" s="90">
        <v>53.932584269662918</v>
      </c>
      <c r="M39" s="90">
        <v>30.681818181818183</v>
      </c>
      <c r="N39" s="90">
        <v>73.033707865168537</v>
      </c>
      <c r="O39" s="100">
        <v>89</v>
      </c>
    </row>
    <row r="40" spans="1:15" x14ac:dyDescent="0.35">
      <c r="A40" t="s">
        <v>17</v>
      </c>
      <c r="B40" s="100">
        <v>1</v>
      </c>
      <c r="C40" s="100">
        <v>934</v>
      </c>
      <c r="D40" s="90">
        <v>46.666666666666664</v>
      </c>
      <c r="E40" s="90">
        <v>100</v>
      </c>
      <c r="F40" s="90">
        <v>93.75</v>
      </c>
      <c r="G40" s="90">
        <v>75</v>
      </c>
      <c r="H40" s="90">
        <v>37.5</v>
      </c>
      <c r="I40" s="90">
        <v>68.75</v>
      </c>
      <c r="J40" s="90">
        <v>37.5</v>
      </c>
      <c r="K40" s="90">
        <v>56.25</v>
      </c>
      <c r="L40" s="90">
        <v>62.5</v>
      </c>
      <c r="M40" s="90">
        <v>43.75</v>
      </c>
      <c r="N40" s="90">
        <v>43.75</v>
      </c>
      <c r="O40" s="100">
        <v>16</v>
      </c>
    </row>
    <row r="41" spans="1:15" x14ac:dyDescent="0.35">
      <c r="A41" t="s">
        <v>24</v>
      </c>
      <c r="B41" s="100">
        <v>2</v>
      </c>
      <c r="C41" s="100">
        <v>946</v>
      </c>
      <c r="D41" s="90">
        <v>83.333333333333329</v>
      </c>
      <c r="E41" s="90">
        <v>87.096774193548384</v>
      </c>
      <c r="F41" s="90">
        <v>77.41935483870968</v>
      </c>
      <c r="G41" s="90">
        <v>67.857142857142861</v>
      </c>
      <c r="H41" s="90">
        <v>61.29032258064516</v>
      </c>
      <c r="I41" s="90">
        <v>65.517241379310349</v>
      </c>
      <c r="J41" s="90">
        <v>34.482758620689658</v>
      </c>
      <c r="K41" s="90">
        <v>44.827586206896555</v>
      </c>
      <c r="L41" s="90">
        <v>61.29032258064516</v>
      </c>
      <c r="M41" s="90">
        <v>53.333333333333336</v>
      </c>
      <c r="N41" s="90">
        <v>58.620689655172413</v>
      </c>
      <c r="O41" s="100">
        <v>31</v>
      </c>
    </row>
    <row r="45" spans="1:15" x14ac:dyDescent="0.35">
      <c r="A45" t="s">
        <v>126</v>
      </c>
      <c r="D45" t="s">
        <v>155</v>
      </c>
      <c r="E45" t="s">
        <v>156</v>
      </c>
      <c r="F45" t="s">
        <v>157</v>
      </c>
      <c r="G45" t="s">
        <v>158</v>
      </c>
      <c r="H45" t="s">
        <v>159</v>
      </c>
      <c r="I45" t="s">
        <v>160</v>
      </c>
      <c r="J45" t="s">
        <v>161</v>
      </c>
      <c r="K45" t="s">
        <v>162</v>
      </c>
      <c r="L45" t="s">
        <v>163</v>
      </c>
      <c r="M45" t="s">
        <v>164</v>
      </c>
      <c r="N45" t="s">
        <v>165</v>
      </c>
      <c r="O45" t="s">
        <v>79</v>
      </c>
    </row>
    <row r="46" spans="1:15" x14ac:dyDescent="0.35">
      <c r="A46" t="s">
        <v>130</v>
      </c>
      <c r="D46" s="90">
        <v>57.718120805369125</v>
      </c>
      <c r="E46" s="90">
        <v>89.333333333333329</v>
      </c>
      <c r="F46" s="90">
        <v>87.919463087248317</v>
      </c>
      <c r="G46" s="90">
        <v>81.87919463087249</v>
      </c>
      <c r="H46" s="90">
        <v>42.666666666666664</v>
      </c>
      <c r="I46" s="90">
        <v>83.892617449664428</v>
      </c>
      <c r="J46" s="90">
        <v>38</v>
      </c>
      <c r="K46" s="90">
        <v>63.333333333333336</v>
      </c>
      <c r="L46" s="90">
        <v>71.333333333333329</v>
      </c>
      <c r="M46" s="90">
        <v>33.557046979865774</v>
      </c>
      <c r="N46" s="90">
        <v>59.731543624161077</v>
      </c>
      <c r="O46" s="100">
        <v>151</v>
      </c>
    </row>
    <row r="47" spans="1:15" x14ac:dyDescent="0.35">
      <c r="A47" t="s">
        <v>131</v>
      </c>
      <c r="D47" s="90">
        <v>58.04195804195804</v>
      </c>
      <c r="E47" s="90">
        <v>80.555555555555557</v>
      </c>
      <c r="F47" s="90">
        <v>80.281690140845072</v>
      </c>
      <c r="G47" s="90">
        <v>75.539568345323744</v>
      </c>
      <c r="H47" s="90">
        <v>45.138888888888886</v>
      </c>
      <c r="I47" s="90">
        <v>66.901408450704224</v>
      </c>
      <c r="J47" s="90">
        <v>41.843971631205676</v>
      </c>
      <c r="K47" s="90">
        <v>59.71223021582734</v>
      </c>
      <c r="L47" s="90">
        <v>62.23776223776224</v>
      </c>
      <c r="M47" s="90">
        <v>39.436619718309856</v>
      </c>
      <c r="N47" s="90">
        <v>53.900709219858157</v>
      </c>
      <c r="O47" s="100">
        <v>144</v>
      </c>
    </row>
    <row r="48" spans="1:15" x14ac:dyDescent="0.35">
      <c r="A48" t="s">
        <v>132</v>
      </c>
      <c r="D48" s="90">
        <v>50</v>
      </c>
      <c r="E48" s="90">
        <v>72.659176029962552</v>
      </c>
      <c r="F48" s="90">
        <v>85.338345864661648</v>
      </c>
      <c r="G48" s="90">
        <v>78.707224334600767</v>
      </c>
      <c r="H48" s="90">
        <v>51.685393258426963</v>
      </c>
      <c r="I48" s="90">
        <v>76.492537313432834</v>
      </c>
      <c r="J48" s="90">
        <v>45.692883895131089</v>
      </c>
      <c r="K48" s="90">
        <v>63.533834586466163</v>
      </c>
      <c r="L48" s="90">
        <v>70.188679245283012</v>
      </c>
      <c r="M48" s="90">
        <v>37.218045112781958</v>
      </c>
      <c r="N48" s="90">
        <v>59.398496240601503</v>
      </c>
      <c r="O48" s="100">
        <v>268</v>
      </c>
    </row>
    <row r="49" spans="1:15" x14ac:dyDescent="0.35">
      <c r="A49" t="s">
        <v>133</v>
      </c>
      <c r="D49" s="90">
        <v>46.666666666666664</v>
      </c>
      <c r="E49" s="90">
        <v>66.274509803921575</v>
      </c>
      <c r="F49" s="90">
        <v>76.078431372549019</v>
      </c>
      <c r="G49" s="90">
        <v>69.53125</v>
      </c>
      <c r="H49" s="90">
        <v>54.263565891472865</v>
      </c>
      <c r="I49" s="90">
        <v>80.46875</v>
      </c>
      <c r="J49" s="90">
        <v>52.549019607843135</v>
      </c>
      <c r="K49" s="90">
        <v>56.809338521400775</v>
      </c>
      <c r="L49" s="90">
        <v>67.829457364341081</v>
      </c>
      <c r="M49" s="90">
        <v>40.784313725490193</v>
      </c>
      <c r="N49" s="90">
        <v>60.311284046692606</v>
      </c>
      <c r="O49" s="100">
        <v>258</v>
      </c>
    </row>
    <row r="50" spans="1:15" x14ac:dyDescent="0.35">
      <c r="A50" t="s">
        <v>134</v>
      </c>
      <c r="D50" s="90">
        <v>48.338368580060425</v>
      </c>
      <c r="E50" s="90">
        <v>58.433734939759034</v>
      </c>
      <c r="F50" s="90">
        <v>77.0392749244713</v>
      </c>
      <c r="G50" s="90">
        <v>75.301204819277103</v>
      </c>
      <c r="H50" s="90">
        <v>58.966565349544076</v>
      </c>
      <c r="I50" s="90">
        <v>77.341389728096672</v>
      </c>
      <c r="J50" s="90">
        <v>61.280487804878049</v>
      </c>
      <c r="K50" s="90">
        <v>57.401812688821749</v>
      </c>
      <c r="L50" s="90">
        <v>69.696969696969703</v>
      </c>
      <c r="M50" s="90">
        <v>32.628398791540782</v>
      </c>
      <c r="N50" s="90">
        <v>64.939024390243901</v>
      </c>
      <c r="O50" s="100">
        <v>335</v>
      </c>
    </row>
    <row r="51" spans="1:15" x14ac:dyDescent="0.35">
      <c r="A51" t="s">
        <v>135</v>
      </c>
      <c r="D51" s="90">
        <v>56.079404466501238</v>
      </c>
      <c r="E51" s="90">
        <v>71.321695760598502</v>
      </c>
      <c r="F51" s="90">
        <v>76.67493796526054</v>
      </c>
      <c r="G51" s="90">
        <v>68.238213399503721</v>
      </c>
      <c r="H51" s="90">
        <v>53.960396039603964</v>
      </c>
      <c r="I51" s="90">
        <v>80</v>
      </c>
      <c r="J51" s="90">
        <v>53.233830845771145</v>
      </c>
      <c r="K51" s="90">
        <v>50</v>
      </c>
      <c r="L51" s="90">
        <v>58.064516129032256</v>
      </c>
      <c r="M51" s="90">
        <v>29.82456140350877</v>
      </c>
      <c r="N51" s="90">
        <v>71.851851851851848</v>
      </c>
      <c r="O51" s="100">
        <v>406</v>
      </c>
    </row>
    <row r="53" spans="1:15" x14ac:dyDescent="0.35">
      <c r="D53" t="s">
        <v>155</v>
      </c>
      <c r="E53" t="s">
        <v>156</v>
      </c>
      <c r="F53" t="s">
        <v>157</v>
      </c>
      <c r="G53" t="s">
        <v>158</v>
      </c>
      <c r="H53" t="s">
        <v>159</v>
      </c>
      <c r="I53" t="s">
        <v>160</v>
      </c>
      <c r="J53" t="s">
        <v>161</v>
      </c>
      <c r="K53" t="s">
        <v>162</v>
      </c>
      <c r="L53" t="s">
        <v>163</v>
      </c>
      <c r="M53" t="s">
        <v>164</v>
      </c>
      <c r="N53" t="s">
        <v>165</v>
      </c>
      <c r="O53" t="s">
        <v>79</v>
      </c>
    </row>
    <row r="54" spans="1:15" x14ac:dyDescent="0.35">
      <c r="A54" t="s">
        <v>127</v>
      </c>
      <c r="D54" s="90">
        <v>52.162685603615238</v>
      </c>
      <c r="E54" s="90">
        <v>70.561652679147841</v>
      </c>
      <c r="F54" s="90">
        <v>79.560155239327301</v>
      </c>
      <c r="G54" s="90">
        <v>73.735408560311285</v>
      </c>
      <c r="H54" s="90">
        <v>52.770618556701031</v>
      </c>
      <c r="I54" s="90">
        <v>78.078658929722764</v>
      </c>
      <c r="J54" s="90">
        <v>51.004536616979912</v>
      </c>
      <c r="K54" s="90">
        <v>57.207498383968975</v>
      </c>
      <c r="L54" s="90">
        <v>65.913492575855386</v>
      </c>
      <c r="M54" s="90">
        <v>34.760051880674446</v>
      </c>
      <c r="N54" s="90">
        <v>63.518758085381627</v>
      </c>
      <c r="O54" s="100">
        <v>1562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8" workbookViewId="0">
      <selection activeCell="A69" sqref="A69:L6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166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3.4</v>
      </c>
      <c r="E2" s="100">
        <v>16</v>
      </c>
    </row>
    <row r="3" spans="1:5" x14ac:dyDescent="0.35">
      <c r="A3" t="s">
        <v>45</v>
      </c>
      <c r="B3" s="100">
        <v>6</v>
      </c>
      <c r="C3" s="100">
        <v>49</v>
      </c>
      <c r="D3" s="90">
        <v>4.3037974683544302</v>
      </c>
      <c r="E3" s="100">
        <v>82</v>
      </c>
    </row>
    <row r="4" spans="1:5" x14ac:dyDescent="0.35">
      <c r="A4" t="s">
        <v>46</v>
      </c>
      <c r="B4" s="100">
        <v>2</v>
      </c>
      <c r="C4" s="100">
        <v>82</v>
      </c>
      <c r="D4" s="90">
        <v>4.3499999999999996</v>
      </c>
      <c r="E4" s="100">
        <v>21</v>
      </c>
    </row>
    <row r="5" spans="1:5" x14ac:dyDescent="0.35">
      <c r="A5" t="s">
        <v>2</v>
      </c>
      <c r="B5" s="100">
        <v>1</v>
      </c>
      <c r="C5" s="100">
        <v>97</v>
      </c>
      <c r="D5" s="90">
        <v>4</v>
      </c>
      <c r="E5" s="100">
        <v>14</v>
      </c>
    </row>
    <row r="6" spans="1:5" x14ac:dyDescent="0.35">
      <c r="A6" t="s">
        <v>3</v>
      </c>
      <c r="B6" s="100">
        <v>4</v>
      </c>
      <c r="C6" s="100">
        <v>54</v>
      </c>
      <c r="D6" s="90">
        <v>4.333333333333333</v>
      </c>
      <c r="E6" s="100">
        <v>31</v>
      </c>
    </row>
    <row r="7" spans="1:5" x14ac:dyDescent="0.35">
      <c r="A7" t="s">
        <v>4</v>
      </c>
      <c r="B7" s="100">
        <v>5</v>
      </c>
      <c r="C7" s="100">
        <v>109</v>
      </c>
      <c r="D7" s="90">
        <v>4.0769230769230766</v>
      </c>
      <c r="E7" s="100">
        <v>41</v>
      </c>
    </row>
    <row r="8" spans="1:5" x14ac:dyDescent="0.35">
      <c r="A8" t="s">
        <v>48</v>
      </c>
      <c r="B8" s="100">
        <v>2</v>
      </c>
      <c r="C8" s="100">
        <v>148</v>
      </c>
      <c r="D8" s="90">
        <v>4.1111111111111107</v>
      </c>
      <c r="E8" s="100">
        <v>18</v>
      </c>
    </row>
    <row r="9" spans="1:5" x14ac:dyDescent="0.35">
      <c r="A9" t="s">
        <v>5</v>
      </c>
      <c r="B9" s="100">
        <v>6</v>
      </c>
      <c r="C9" s="100">
        <v>179</v>
      </c>
      <c r="D9" s="90">
        <v>4.0701754385964914</v>
      </c>
      <c r="E9" s="100">
        <v>59</v>
      </c>
    </row>
    <row r="10" spans="1:5" x14ac:dyDescent="0.35">
      <c r="A10" t="s">
        <v>50</v>
      </c>
      <c r="B10" s="100">
        <v>3</v>
      </c>
      <c r="C10" s="100">
        <v>214</v>
      </c>
      <c r="D10" s="90">
        <v>3.5416666666666665</v>
      </c>
      <c r="E10" s="100">
        <v>25</v>
      </c>
    </row>
    <row r="11" spans="1:5" x14ac:dyDescent="0.35">
      <c r="A11" t="s">
        <v>51</v>
      </c>
      <c r="B11" s="100">
        <v>1</v>
      </c>
      <c r="C11" s="100">
        <v>239</v>
      </c>
      <c r="D11" s="90">
        <v>4.1818181818181817</v>
      </c>
      <c r="E11" s="100">
        <v>22</v>
      </c>
    </row>
    <row r="12" spans="1:5" x14ac:dyDescent="0.35">
      <c r="A12" t="s">
        <v>22</v>
      </c>
      <c r="B12" s="100">
        <v>2</v>
      </c>
      <c r="C12" s="100">
        <v>322</v>
      </c>
      <c r="D12" s="90">
        <v>3.7407407407407409</v>
      </c>
      <c r="E12" s="100">
        <v>28</v>
      </c>
    </row>
    <row r="13" spans="1:5" x14ac:dyDescent="0.35">
      <c r="A13" t="s">
        <v>52</v>
      </c>
      <c r="B13" s="100">
        <v>3</v>
      </c>
      <c r="C13" s="100">
        <v>249</v>
      </c>
      <c r="D13" s="90">
        <v>3.8888888888888888</v>
      </c>
      <c r="E13" s="100">
        <v>37</v>
      </c>
    </row>
    <row r="14" spans="1:5" x14ac:dyDescent="0.35">
      <c r="A14" t="s">
        <v>72</v>
      </c>
      <c r="B14" s="100">
        <v>4</v>
      </c>
      <c r="C14" s="100">
        <v>272</v>
      </c>
      <c r="D14" s="90">
        <v>3.9491525423728815</v>
      </c>
      <c r="E14" s="100">
        <v>61</v>
      </c>
    </row>
    <row r="15" spans="1:5" x14ac:dyDescent="0.35">
      <c r="A15" t="s">
        <v>6</v>
      </c>
      <c r="B15" s="100">
        <v>5</v>
      </c>
      <c r="C15" s="100">
        <v>285</v>
      </c>
      <c r="D15" s="90">
        <v>3.1343283582089554</v>
      </c>
      <c r="E15" s="100">
        <v>70</v>
      </c>
    </row>
    <row r="16" spans="1:5" x14ac:dyDescent="0.35">
      <c r="A16" t="s">
        <v>73</v>
      </c>
      <c r="B16" s="100">
        <v>3</v>
      </c>
      <c r="C16" s="100">
        <v>301</v>
      </c>
      <c r="D16" s="90">
        <v>3.4444444444444446</v>
      </c>
      <c r="E16" s="100">
        <v>36</v>
      </c>
    </row>
    <row r="17" spans="1:5" x14ac:dyDescent="0.35">
      <c r="A17" t="s">
        <v>7</v>
      </c>
      <c r="B17" s="100">
        <v>3</v>
      </c>
      <c r="C17" s="100">
        <v>305</v>
      </c>
      <c r="D17" s="90">
        <v>3.9333333333333331</v>
      </c>
      <c r="E17" s="100">
        <v>31</v>
      </c>
    </row>
    <row r="18" spans="1:5" x14ac:dyDescent="0.35">
      <c r="A18" t="s">
        <v>8</v>
      </c>
      <c r="B18" s="100">
        <v>5</v>
      </c>
      <c r="C18" s="100">
        <v>405</v>
      </c>
      <c r="D18" s="90">
        <v>3.9750000000000001</v>
      </c>
      <c r="E18" s="100">
        <v>40</v>
      </c>
    </row>
    <row r="19" spans="1:5" x14ac:dyDescent="0.35">
      <c r="A19" t="s">
        <v>9</v>
      </c>
      <c r="B19" s="100">
        <v>4</v>
      </c>
      <c r="C19" s="100">
        <v>418</v>
      </c>
      <c r="D19" s="90">
        <v>4.45</v>
      </c>
      <c r="E19" s="100">
        <v>40</v>
      </c>
    </row>
    <row r="20" spans="1:5" x14ac:dyDescent="0.35">
      <c r="A20" t="s">
        <v>56</v>
      </c>
      <c r="B20" s="100">
        <v>3</v>
      </c>
      <c r="C20" s="100">
        <v>426</v>
      </c>
      <c r="D20" s="90">
        <v>4.0810810810810807</v>
      </c>
      <c r="E20" s="100">
        <v>38</v>
      </c>
    </row>
    <row r="21" spans="1:5" x14ac:dyDescent="0.35">
      <c r="A21" t="s">
        <v>74</v>
      </c>
      <c r="B21" s="100">
        <v>5</v>
      </c>
      <c r="C21" s="100">
        <v>491</v>
      </c>
      <c r="D21" s="90">
        <v>3.63768115942029</v>
      </c>
      <c r="E21" s="100">
        <v>72</v>
      </c>
    </row>
    <row r="22" spans="1:5" x14ac:dyDescent="0.35">
      <c r="A22" t="s">
        <v>10</v>
      </c>
      <c r="B22" s="100">
        <v>2.978723404255319</v>
      </c>
      <c r="C22" s="100">
        <v>499</v>
      </c>
      <c r="D22" s="90">
        <v>4.0217391304347823</v>
      </c>
      <c r="E22" s="100">
        <v>47</v>
      </c>
    </row>
    <row r="23" spans="1:5" x14ac:dyDescent="0.35">
      <c r="A23" t="s">
        <v>58</v>
      </c>
      <c r="B23" s="100">
        <v>3</v>
      </c>
      <c r="C23" s="100">
        <v>535</v>
      </c>
      <c r="D23" s="90">
        <v>3.8421052631578947</v>
      </c>
      <c r="E23" s="100">
        <v>19</v>
      </c>
    </row>
    <row r="24" spans="1:5" x14ac:dyDescent="0.35">
      <c r="A24" t="s">
        <v>11</v>
      </c>
      <c r="B24" s="100">
        <v>6</v>
      </c>
      <c r="C24" s="100">
        <v>464</v>
      </c>
      <c r="D24" s="90">
        <v>3.8214285714285716</v>
      </c>
      <c r="E24" s="100">
        <v>59</v>
      </c>
    </row>
    <row r="25" spans="1:5" x14ac:dyDescent="0.35">
      <c r="A25" t="s">
        <v>60</v>
      </c>
      <c r="B25" s="100">
        <v>1</v>
      </c>
      <c r="C25" s="100">
        <v>578</v>
      </c>
      <c r="D25" s="90">
        <v>3.4285714285714284</v>
      </c>
      <c r="E25" s="100">
        <v>21</v>
      </c>
    </row>
    <row r="26" spans="1:5" x14ac:dyDescent="0.35">
      <c r="A26" t="s">
        <v>61</v>
      </c>
      <c r="B26" s="100">
        <v>2</v>
      </c>
      <c r="C26" s="100">
        <v>581</v>
      </c>
      <c r="D26" s="90">
        <v>3.3571428571428572</v>
      </c>
      <c r="E26" s="100">
        <v>28</v>
      </c>
    </row>
    <row r="27" spans="1:5" x14ac:dyDescent="0.35">
      <c r="A27" t="s">
        <v>62</v>
      </c>
      <c r="B27" s="100">
        <v>1</v>
      </c>
      <c r="C27" s="100">
        <v>592</v>
      </c>
      <c r="D27" s="90">
        <v>4.0555555555555554</v>
      </c>
      <c r="E27" s="100">
        <v>19</v>
      </c>
    </row>
    <row r="28" spans="1:5" x14ac:dyDescent="0.35">
      <c r="A28" t="s">
        <v>12</v>
      </c>
      <c r="B28" s="100">
        <v>2</v>
      </c>
      <c r="C28" s="100">
        <v>615</v>
      </c>
      <c r="D28" s="90">
        <v>3.3125</v>
      </c>
      <c r="E28" s="100">
        <v>17</v>
      </c>
    </row>
    <row r="29" spans="1:5" x14ac:dyDescent="0.35">
      <c r="A29" t="s">
        <v>23</v>
      </c>
      <c r="B29" s="100">
        <v>4</v>
      </c>
      <c r="C29" s="100">
        <v>710</v>
      </c>
      <c r="D29" s="90">
        <v>3.2195121951219514</v>
      </c>
      <c r="E29" s="100">
        <v>43</v>
      </c>
    </row>
    <row r="30" spans="1:5" x14ac:dyDescent="0.35">
      <c r="A30" t="s">
        <v>64</v>
      </c>
      <c r="B30" s="100">
        <v>4</v>
      </c>
      <c r="C30" s="100">
        <v>680</v>
      </c>
      <c r="D30" s="90">
        <v>3.9772727272727271</v>
      </c>
      <c r="E30" s="100">
        <v>44</v>
      </c>
    </row>
    <row r="31" spans="1:5" x14ac:dyDescent="0.35">
      <c r="A31" t="s">
        <v>65</v>
      </c>
      <c r="B31" s="100">
        <v>1</v>
      </c>
      <c r="C31" s="100">
        <v>686</v>
      </c>
      <c r="D31" s="90">
        <v>3.6875</v>
      </c>
      <c r="E31" s="100">
        <v>17</v>
      </c>
    </row>
    <row r="32" spans="1:5" x14ac:dyDescent="0.35">
      <c r="A32" t="s">
        <v>13</v>
      </c>
      <c r="B32" s="100">
        <v>5</v>
      </c>
      <c r="C32" s="100">
        <v>734</v>
      </c>
      <c r="D32" s="90">
        <v>2.9074074074074074</v>
      </c>
      <c r="E32" s="100">
        <v>55</v>
      </c>
    </row>
    <row r="33" spans="1:5" x14ac:dyDescent="0.35">
      <c r="A33" t="s">
        <v>14</v>
      </c>
      <c r="B33" s="100">
        <v>3</v>
      </c>
      <c r="C33" s="100">
        <v>753</v>
      </c>
      <c r="D33" s="90">
        <v>4.2</v>
      </c>
      <c r="E33" s="100">
        <v>36</v>
      </c>
    </row>
    <row r="34" spans="1:5" x14ac:dyDescent="0.35">
      <c r="A34" t="s">
        <v>67</v>
      </c>
      <c r="B34" s="100">
        <v>1</v>
      </c>
      <c r="C34" s="100">
        <v>783</v>
      </c>
      <c r="D34" s="90">
        <v>3.8461538461538463</v>
      </c>
      <c r="E34" s="100">
        <v>26</v>
      </c>
    </row>
    <row r="35" spans="1:5" x14ac:dyDescent="0.35">
      <c r="A35" t="s">
        <v>68</v>
      </c>
      <c r="B35" s="100">
        <v>6</v>
      </c>
      <c r="C35" s="100">
        <v>837</v>
      </c>
      <c r="D35" s="90">
        <v>4.5306122448979593</v>
      </c>
      <c r="E35" s="100">
        <v>52</v>
      </c>
    </row>
    <row r="36" spans="1:5" x14ac:dyDescent="0.35">
      <c r="A36" t="s">
        <v>69</v>
      </c>
      <c r="B36" s="100">
        <v>4</v>
      </c>
      <c r="C36" s="100">
        <v>851</v>
      </c>
      <c r="D36" s="90">
        <v>3.7567567567567566</v>
      </c>
      <c r="E36" s="100">
        <v>39</v>
      </c>
    </row>
    <row r="37" spans="1:5" x14ac:dyDescent="0.35">
      <c r="A37" t="s">
        <v>15</v>
      </c>
      <c r="B37" s="100">
        <v>6</v>
      </c>
      <c r="C37" s="100">
        <v>853</v>
      </c>
      <c r="D37" s="90">
        <v>3.8870967741935485</v>
      </c>
      <c r="E37" s="100">
        <v>65</v>
      </c>
    </row>
    <row r="38" spans="1:5" x14ac:dyDescent="0.35">
      <c r="A38" t="s">
        <v>16</v>
      </c>
      <c r="B38" s="100">
        <v>5</v>
      </c>
      <c r="C38" s="100">
        <v>905</v>
      </c>
      <c r="D38" s="90">
        <v>4.0892857142857144</v>
      </c>
      <c r="E38" s="100">
        <v>57</v>
      </c>
    </row>
    <row r="39" spans="1:5" x14ac:dyDescent="0.35">
      <c r="A39" t="s">
        <v>71</v>
      </c>
      <c r="B39" s="100">
        <v>6</v>
      </c>
      <c r="C39" s="100">
        <v>92</v>
      </c>
      <c r="D39" s="90">
        <v>4.0470588235294116</v>
      </c>
      <c r="E39" s="100">
        <v>89</v>
      </c>
    </row>
    <row r="40" spans="1:5" x14ac:dyDescent="0.35">
      <c r="A40" t="s">
        <v>17</v>
      </c>
      <c r="B40" s="100">
        <v>1</v>
      </c>
      <c r="C40" s="100">
        <v>934</v>
      </c>
      <c r="D40" s="90">
        <v>3.1333333333333333</v>
      </c>
      <c r="E40" s="100">
        <v>16</v>
      </c>
    </row>
    <row r="41" spans="1:5" x14ac:dyDescent="0.35">
      <c r="A41" t="s">
        <v>24</v>
      </c>
      <c r="B41" s="100">
        <v>2</v>
      </c>
      <c r="C41" s="100">
        <v>946</v>
      </c>
      <c r="D41" s="90">
        <v>4</v>
      </c>
      <c r="E41" s="100">
        <v>31</v>
      </c>
    </row>
    <row r="44" spans="1:5" x14ac:dyDescent="0.35">
      <c r="A44" t="s">
        <v>126</v>
      </c>
      <c r="D44" t="s">
        <v>166</v>
      </c>
      <c r="E44" t="s">
        <v>79</v>
      </c>
    </row>
    <row r="45" spans="1:5" x14ac:dyDescent="0.35">
      <c r="A45" t="s">
        <v>130</v>
      </c>
      <c r="D45" s="90">
        <v>3.7414965986394559</v>
      </c>
      <c r="E45" s="100">
        <v>151</v>
      </c>
    </row>
    <row r="46" spans="1:5" x14ac:dyDescent="0.35">
      <c r="A46" t="s">
        <v>131</v>
      </c>
      <c r="D46" s="90">
        <v>3.7943262411347516</v>
      </c>
      <c r="E46" s="100">
        <v>144</v>
      </c>
    </row>
    <row r="47" spans="1:5" x14ac:dyDescent="0.35">
      <c r="A47" t="s">
        <v>132</v>
      </c>
      <c r="D47" s="90">
        <v>3.8969465648854964</v>
      </c>
      <c r="E47" s="100">
        <v>268</v>
      </c>
    </row>
    <row r="48" spans="1:5" x14ac:dyDescent="0.35">
      <c r="A48" t="s">
        <v>133</v>
      </c>
      <c r="D48" s="90">
        <v>3.9322709163346614</v>
      </c>
      <c r="E48" s="100">
        <v>258</v>
      </c>
    </row>
    <row r="49" spans="1:5" x14ac:dyDescent="0.35">
      <c r="A49" t="s">
        <v>134</v>
      </c>
      <c r="D49" s="90">
        <v>3.5846153846153848</v>
      </c>
      <c r="E49" s="100">
        <v>335</v>
      </c>
    </row>
    <row r="50" spans="1:5" x14ac:dyDescent="0.35">
      <c r="A50" t="s">
        <v>135</v>
      </c>
      <c r="D50" s="90">
        <v>4.1056701030927831</v>
      </c>
      <c r="E50" s="100">
        <v>406</v>
      </c>
    </row>
    <row r="52" spans="1:5" x14ac:dyDescent="0.35">
      <c r="A52" t="s">
        <v>127</v>
      </c>
      <c r="D52" t="s">
        <v>166</v>
      </c>
      <c r="E52" t="s">
        <v>79</v>
      </c>
    </row>
    <row r="53" spans="1:5" x14ac:dyDescent="0.35">
      <c r="D53" s="90">
        <v>3.8645970937912812</v>
      </c>
      <c r="E53" s="100">
        <v>1562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6" workbookViewId="0">
      <selection activeCell="A69" sqref="A69:L69"/>
    </sheetView>
  </sheetViews>
  <sheetFormatPr defaultRowHeight="14.6" x14ac:dyDescent="0.35"/>
  <sheetData>
    <row r="1" spans="1:14" x14ac:dyDescent="0.35">
      <c r="A1" t="s">
        <v>122</v>
      </c>
      <c r="B1" t="s">
        <v>123</v>
      </c>
      <c r="C1" t="s">
        <v>124</v>
      </c>
      <c r="D1" t="s">
        <v>167</v>
      </c>
      <c r="E1" t="s">
        <v>168</v>
      </c>
      <c r="F1" t="s">
        <v>169</v>
      </c>
      <c r="G1" t="s">
        <v>170</v>
      </c>
      <c r="H1" t="s">
        <v>171</v>
      </c>
      <c r="I1" t="s">
        <v>172</v>
      </c>
      <c r="J1" t="s">
        <v>173</v>
      </c>
      <c r="K1" t="s">
        <v>174</v>
      </c>
      <c r="L1" t="s">
        <v>175</v>
      </c>
      <c r="M1" t="s">
        <v>176</v>
      </c>
      <c r="N1" t="s">
        <v>79</v>
      </c>
    </row>
    <row r="2" spans="1:14" x14ac:dyDescent="0.35">
      <c r="A2" t="s">
        <v>44</v>
      </c>
      <c r="B2" s="100">
        <v>1</v>
      </c>
      <c r="C2" s="100">
        <v>18</v>
      </c>
      <c r="D2" s="90">
        <v>4.1875</v>
      </c>
      <c r="E2" s="90">
        <v>2.5</v>
      </c>
      <c r="F2" s="90">
        <v>3.0625</v>
      </c>
      <c r="G2" s="90">
        <v>1.875</v>
      </c>
      <c r="H2" s="90">
        <v>2.5</v>
      </c>
      <c r="I2" s="90">
        <v>3.1875</v>
      </c>
      <c r="J2" s="90">
        <v>3.8125</v>
      </c>
      <c r="K2" s="90">
        <v>2.75</v>
      </c>
      <c r="L2" s="90">
        <v>2.625</v>
      </c>
      <c r="M2" s="90">
        <v>2.1875</v>
      </c>
      <c r="N2" s="100">
        <v>16</v>
      </c>
    </row>
    <row r="3" spans="1:14" x14ac:dyDescent="0.35">
      <c r="A3" t="s">
        <v>45</v>
      </c>
      <c r="B3" s="100">
        <v>6</v>
      </c>
      <c r="C3" s="100">
        <v>49</v>
      </c>
      <c r="D3" s="90">
        <v>4.1219512195121952</v>
      </c>
      <c r="E3" s="90">
        <v>4.1829268292682924</v>
      </c>
      <c r="F3" s="90">
        <v>4.024390243902439</v>
      </c>
      <c r="G3" s="90">
        <v>4.3292682926829267</v>
      </c>
      <c r="H3" s="90">
        <v>3.8536585365853657</v>
      </c>
      <c r="I3" s="90">
        <v>4.3170731707317076</v>
      </c>
      <c r="J3" s="90">
        <v>2.9876543209876543</v>
      </c>
      <c r="K3" s="90">
        <v>3.8780487804878048</v>
      </c>
      <c r="L3" s="90">
        <v>3.7160493827160495</v>
      </c>
      <c r="M3" s="90">
        <v>2.7283950617283952</v>
      </c>
      <c r="N3" s="100">
        <v>82</v>
      </c>
    </row>
    <row r="4" spans="1:14" x14ac:dyDescent="0.35">
      <c r="A4" t="s">
        <v>46</v>
      </c>
      <c r="B4" s="100">
        <v>2</v>
      </c>
      <c r="C4" s="100">
        <v>82</v>
      </c>
      <c r="D4" s="90">
        <v>3.8095238095238093</v>
      </c>
      <c r="E4" s="90">
        <v>3.9523809523809526</v>
      </c>
      <c r="F4" s="90">
        <v>3.8095238095238093</v>
      </c>
      <c r="G4" s="90">
        <v>3.0476190476190474</v>
      </c>
      <c r="H4" s="90">
        <v>3.0476190476190474</v>
      </c>
      <c r="I4" s="90">
        <v>3.1904761904761907</v>
      </c>
      <c r="J4" s="90">
        <v>4.0952380952380949</v>
      </c>
      <c r="K4" s="90">
        <v>3.1428571428571428</v>
      </c>
      <c r="L4" s="90">
        <v>3.0952380952380953</v>
      </c>
      <c r="M4" s="90">
        <v>3.8095238095238093</v>
      </c>
      <c r="N4" s="100">
        <v>21</v>
      </c>
    </row>
    <row r="5" spans="1:14" x14ac:dyDescent="0.35">
      <c r="A5" t="s">
        <v>2</v>
      </c>
      <c r="B5" s="100">
        <v>1</v>
      </c>
      <c r="C5" s="100">
        <v>97</v>
      </c>
      <c r="D5" s="90">
        <v>2.5714285714285716</v>
      </c>
      <c r="E5" s="90">
        <v>4.5</v>
      </c>
      <c r="F5" s="90">
        <v>3.3571428571428572</v>
      </c>
      <c r="G5" s="90">
        <v>2.4285714285714284</v>
      </c>
      <c r="H5" s="90">
        <v>2.3571428571428572</v>
      </c>
      <c r="I5" s="90">
        <v>2.3571428571428572</v>
      </c>
      <c r="J5" s="90">
        <v>4</v>
      </c>
      <c r="K5" s="90">
        <v>3</v>
      </c>
      <c r="L5" s="90">
        <v>2.6428571428571428</v>
      </c>
      <c r="M5" s="90">
        <v>4</v>
      </c>
      <c r="N5" s="100">
        <v>14</v>
      </c>
    </row>
    <row r="6" spans="1:14" x14ac:dyDescent="0.35">
      <c r="A6" t="s">
        <v>3</v>
      </c>
      <c r="B6" s="100">
        <v>4</v>
      </c>
      <c r="C6" s="100">
        <v>54</v>
      </c>
      <c r="D6" s="90">
        <v>3.129032258064516</v>
      </c>
      <c r="E6" s="90">
        <v>3</v>
      </c>
      <c r="F6" s="90">
        <v>3.5483870967741935</v>
      </c>
      <c r="G6" s="90">
        <v>2.806451612903226</v>
      </c>
      <c r="H6" s="90">
        <v>2.6451612903225805</v>
      </c>
      <c r="I6" s="90">
        <v>2.4516129032258065</v>
      </c>
      <c r="J6" s="90">
        <v>3.967741935483871</v>
      </c>
      <c r="K6" s="90">
        <v>3.2903225806451615</v>
      </c>
      <c r="L6" s="90">
        <v>3.3225806451612905</v>
      </c>
      <c r="M6" s="90">
        <v>3.193548387096774</v>
      </c>
      <c r="N6" s="100">
        <v>31</v>
      </c>
    </row>
    <row r="7" spans="1:14" x14ac:dyDescent="0.35">
      <c r="A7" t="s">
        <v>4</v>
      </c>
      <c r="B7" s="100">
        <v>5</v>
      </c>
      <c r="C7" s="100">
        <v>109</v>
      </c>
      <c r="D7" s="90">
        <v>3.6829268292682928</v>
      </c>
      <c r="E7" s="90">
        <v>3.25</v>
      </c>
      <c r="F7" s="90">
        <v>3.7073170731707319</v>
      </c>
      <c r="G7" s="90">
        <v>3.75</v>
      </c>
      <c r="H7" s="90">
        <v>3.3658536585365852</v>
      </c>
      <c r="I7" s="90">
        <v>3.5609756097560976</v>
      </c>
      <c r="J7" s="90">
        <v>3.8292682926829267</v>
      </c>
      <c r="K7" s="90">
        <v>4.3</v>
      </c>
      <c r="L7" s="90">
        <v>3.4</v>
      </c>
      <c r="M7" s="90">
        <v>3.9743589743589745</v>
      </c>
      <c r="N7" s="100">
        <v>41</v>
      </c>
    </row>
    <row r="8" spans="1:14" x14ac:dyDescent="0.35">
      <c r="A8" t="s">
        <v>48</v>
      </c>
      <c r="B8" s="100">
        <v>2</v>
      </c>
      <c r="C8" s="100">
        <v>148</v>
      </c>
      <c r="D8" s="90">
        <v>3.0555555555555554</v>
      </c>
      <c r="E8" s="90">
        <v>3.8235294117647061</v>
      </c>
      <c r="F8" s="90">
        <v>3.3333333333333335</v>
      </c>
      <c r="G8" s="90">
        <v>2.7777777777777777</v>
      </c>
      <c r="H8" s="90">
        <v>2.1666666666666665</v>
      </c>
      <c r="I8" s="90">
        <v>2.3888888888888888</v>
      </c>
      <c r="J8" s="90">
        <v>3.6111111111111112</v>
      </c>
      <c r="K8" s="90">
        <v>3.3888888888888888</v>
      </c>
      <c r="L8" s="90">
        <v>2.1111111111111112</v>
      </c>
      <c r="M8" s="90">
        <v>4.3888888888888893</v>
      </c>
      <c r="N8" s="100">
        <v>18</v>
      </c>
    </row>
    <row r="9" spans="1:14" x14ac:dyDescent="0.35">
      <c r="A9" t="s">
        <v>5</v>
      </c>
      <c r="B9" s="100">
        <v>6</v>
      </c>
      <c r="C9" s="100">
        <v>179</v>
      </c>
      <c r="D9" s="90">
        <v>4.5862068965517242</v>
      </c>
      <c r="E9" s="90">
        <v>2.875</v>
      </c>
      <c r="F9" s="90">
        <v>3.5</v>
      </c>
      <c r="G9" s="90">
        <v>4.0877192982456139</v>
      </c>
      <c r="H9" s="90">
        <v>2.7758620689655173</v>
      </c>
      <c r="I9" s="90">
        <v>4.5614035087719298</v>
      </c>
      <c r="J9" s="90">
        <v>3.9137931034482758</v>
      </c>
      <c r="K9" s="90">
        <v>4.2758620689655169</v>
      </c>
      <c r="L9" s="90">
        <v>3.5862068965517242</v>
      </c>
      <c r="M9" s="90">
        <v>3.6724137931034484</v>
      </c>
      <c r="N9" s="100">
        <v>59</v>
      </c>
    </row>
    <row r="10" spans="1:14" x14ac:dyDescent="0.35">
      <c r="A10" t="s">
        <v>50</v>
      </c>
      <c r="B10" s="100">
        <v>3</v>
      </c>
      <c r="C10" s="100">
        <v>214</v>
      </c>
      <c r="D10" s="90">
        <v>2.36</v>
      </c>
      <c r="E10" s="90">
        <v>2.92</v>
      </c>
      <c r="F10" s="90">
        <v>3.6666666666666665</v>
      </c>
      <c r="G10" s="90">
        <v>4</v>
      </c>
      <c r="H10" s="90">
        <v>2.44</v>
      </c>
      <c r="I10" s="90">
        <v>3.24</v>
      </c>
      <c r="J10" s="90">
        <v>4</v>
      </c>
      <c r="K10" s="90">
        <v>4.4000000000000004</v>
      </c>
      <c r="L10" s="90">
        <v>2.8333333333333335</v>
      </c>
      <c r="M10" s="90">
        <v>3.08</v>
      </c>
      <c r="N10" s="100">
        <v>25</v>
      </c>
    </row>
    <row r="11" spans="1:14" x14ac:dyDescent="0.35">
      <c r="A11" t="s">
        <v>51</v>
      </c>
      <c r="B11" s="100">
        <v>1</v>
      </c>
      <c r="C11" s="100">
        <v>239</v>
      </c>
      <c r="D11" s="90">
        <v>2.4545454545454546</v>
      </c>
      <c r="E11" s="90">
        <v>3.7272727272727271</v>
      </c>
      <c r="F11" s="90">
        <v>3.6363636363636362</v>
      </c>
      <c r="G11" s="90">
        <v>2.9545454545454546</v>
      </c>
      <c r="H11" s="90">
        <v>4.0909090909090908</v>
      </c>
      <c r="I11" s="90">
        <v>2.1428571428571428</v>
      </c>
      <c r="J11" s="90">
        <v>3.7272727272727271</v>
      </c>
      <c r="K11" s="90">
        <v>3.6363636363636362</v>
      </c>
      <c r="L11" s="90">
        <v>2.2727272727272729</v>
      </c>
      <c r="M11" s="90">
        <v>3.4090909090909092</v>
      </c>
      <c r="N11" s="100">
        <v>22</v>
      </c>
    </row>
    <row r="12" spans="1:14" x14ac:dyDescent="0.35">
      <c r="A12" t="s">
        <v>22</v>
      </c>
      <c r="B12" s="100">
        <v>2</v>
      </c>
      <c r="C12" s="100">
        <v>322</v>
      </c>
      <c r="D12" s="90">
        <v>1.9285714285714286</v>
      </c>
      <c r="E12" s="90">
        <v>4.0740740740740744</v>
      </c>
      <c r="F12" s="90">
        <v>3.5</v>
      </c>
      <c r="G12" s="90">
        <v>3.0370370370370372</v>
      </c>
      <c r="H12" s="90">
        <v>2.0714285714285716</v>
      </c>
      <c r="I12" s="90">
        <v>2.6428571428571428</v>
      </c>
      <c r="J12" s="90">
        <v>3.7857142857142856</v>
      </c>
      <c r="K12" s="90">
        <v>3.9642857142857144</v>
      </c>
      <c r="L12" s="90">
        <v>2.1428571428571428</v>
      </c>
      <c r="M12" s="90">
        <v>4.1071428571428568</v>
      </c>
      <c r="N12" s="100">
        <v>28</v>
      </c>
    </row>
    <row r="13" spans="1:14" x14ac:dyDescent="0.35">
      <c r="A13" t="s">
        <v>52</v>
      </c>
      <c r="B13" s="100">
        <v>3</v>
      </c>
      <c r="C13" s="100">
        <v>249</v>
      </c>
      <c r="D13" s="90">
        <v>2.5135135135135136</v>
      </c>
      <c r="E13" s="90">
        <v>3.7837837837837838</v>
      </c>
      <c r="F13" s="90">
        <v>3.8333333333333335</v>
      </c>
      <c r="G13" s="90">
        <v>3.810810810810811</v>
      </c>
      <c r="H13" s="90">
        <v>2.5945945945945947</v>
      </c>
      <c r="I13" s="90">
        <v>2.7027027027027026</v>
      </c>
      <c r="J13" s="90">
        <v>4.1621621621621623</v>
      </c>
      <c r="K13" s="90">
        <v>4.2702702702702702</v>
      </c>
      <c r="L13" s="90">
        <v>2.7837837837837838</v>
      </c>
      <c r="M13" s="90">
        <v>3.9459459459459461</v>
      </c>
      <c r="N13" s="100">
        <v>37</v>
      </c>
    </row>
    <row r="14" spans="1:14" x14ac:dyDescent="0.35">
      <c r="A14" t="s">
        <v>72</v>
      </c>
      <c r="B14" s="100">
        <v>4</v>
      </c>
      <c r="C14" s="100">
        <v>272</v>
      </c>
      <c r="D14" s="90">
        <v>4.1166666666666663</v>
      </c>
      <c r="E14" s="90">
        <v>2.2280701754385963</v>
      </c>
      <c r="F14" s="90">
        <v>3.5166666666666666</v>
      </c>
      <c r="G14" s="90">
        <v>3.6666666666666665</v>
      </c>
      <c r="H14" s="90">
        <v>3.6166666666666667</v>
      </c>
      <c r="I14" s="90">
        <v>3.9666666666666668</v>
      </c>
      <c r="J14" s="90">
        <v>3.7833333333333332</v>
      </c>
      <c r="K14" s="90">
        <v>3.9333333333333331</v>
      </c>
      <c r="L14" s="90">
        <v>3.5833333333333335</v>
      </c>
      <c r="M14" s="90">
        <v>3.3559322033898304</v>
      </c>
      <c r="N14" s="100">
        <v>61</v>
      </c>
    </row>
    <row r="15" spans="1:14" x14ac:dyDescent="0.35">
      <c r="A15" t="s">
        <v>6</v>
      </c>
      <c r="B15" s="100">
        <v>5</v>
      </c>
      <c r="C15" s="100">
        <v>285</v>
      </c>
      <c r="D15" s="90">
        <v>2.2285714285714286</v>
      </c>
      <c r="E15" s="90">
        <v>1.5652173913043479</v>
      </c>
      <c r="F15" s="90">
        <v>3.0289855072463769</v>
      </c>
      <c r="G15" s="90">
        <v>3.1911764705882355</v>
      </c>
      <c r="H15" s="90">
        <v>1.6857142857142857</v>
      </c>
      <c r="I15" s="90">
        <v>2.8857142857142857</v>
      </c>
      <c r="J15" s="90">
        <v>3.3970588235294117</v>
      </c>
      <c r="K15" s="90">
        <v>3.8</v>
      </c>
      <c r="L15" s="90">
        <v>3.1323529411764706</v>
      </c>
      <c r="M15" s="90">
        <v>3.5362318840579712</v>
      </c>
      <c r="N15" s="100">
        <v>70</v>
      </c>
    </row>
    <row r="16" spans="1:14" x14ac:dyDescent="0.35">
      <c r="A16" t="s">
        <v>73</v>
      </c>
      <c r="B16" s="100">
        <v>3</v>
      </c>
      <c r="C16" s="100">
        <v>301</v>
      </c>
      <c r="D16" s="90">
        <v>2.1944444444444446</v>
      </c>
      <c r="E16" s="90">
        <v>3.2285714285714286</v>
      </c>
      <c r="F16" s="90">
        <v>3.5</v>
      </c>
      <c r="G16" s="90">
        <v>2.7428571428571429</v>
      </c>
      <c r="H16" s="90">
        <v>2.5555555555555554</v>
      </c>
      <c r="I16" s="90">
        <v>3.3055555555555554</v>
      </c>
      <c r="J16" s="90">
        <v>4.1111111111111107</v>
      </c>
      <c r="K16" s="90">
        <v>4</v>
      </c>
      <c r="L16" s="90">
        <v>3.1388888888888888</v>
      </c>
      <c r="M16" s="90">
        <v>2.6111111111111112</v>
      </c>
      <c r="N16" s="100">
        <v>36</v>
      </c>
    </row>
    <row r="17" spans="1:14" x14ac:dyDescent="0.35">
      <c r="A17" t="s">
        <v>7</v>
      </c>
      <c r="B17" s="100">
        <v>3</v>
      </c>
      <c r="C17" s="100">
        <v>305</v>
      </c>
      <c r="D17" s="90">
        <v>2.3225806451612905</v>
      </c>
      <c r="E17" s="90">
        <v>3.6129032258064515</v>
      </c>
      <c r="F17" s="90">
        <v>3.6451612903225805</v>
      </c>
      <c r="G17" s="90">
        <v>3.6</v>
      </c>
      <c r="H17" s="90">
        <v>2.3666666666666667</v>
      </c>
      <c r="I17" s="90">
        <v>3.0666666666666669</v>
      </c>
      <c r="J17" s="90">
        <v>3.9655172413793105</v>
      </c>
      <c r="K17" s="90">
        <v>4</v>
      </c>
      <c r="L17" s="90">
        <v>2.5161290322580645</v>
      </c>
      <c r="M17" s="90">
        <v>4.741935483870968</v>
      </c>
      <c r="N17" s="100">
        <v>31</v>
      </c>
    </row>
    <row r="18" spans="1:14" x14ac:dyDescent="0.35">
      <c r="A18" t="s">
        <v>8</v>
      </c>
      <c r="B18" s="100">
        <v>5</v>
      </c>
      <c r="C18" s="100">
        <v>405</v>
      </c>
      <c r="D18" s="90">
        <v>3.5</v>
      </c>
      <c r="E18" s="90">
        <v>3.4102564102564101</v>
      </c>
      <c r="F18" s="90">
        <v>3.5</v>
      </c>
      <c r="G18" s="90">
        <v>4.0750000000000002</v>
      </c>
      <c r="H18" s="90">
        <v>3</v>
      </c>
      <c r="I18" s="90">
        <v>4.0250000000000004</v>
      </c>
      <c r="J18" s="90">
        <v>3.875</v>
      </c>
      <c r="K18" s="90">
        <v>3.85</v>
      </c>
      <c r="L18" s="90">
        <v>3.5750000000000002</v>
      </c>
      <c r="M18" s="90">
        <v>3.8461538461538463</v>
      </c>
      <c r="N18" s="100">
        <v>40</v>
      </c>
    </row>
    <row r="19" spans="1:14" x14ac:dyDescent="0.35">
      <c r="A19" t="s">
        <v>9</v>
      </c>
      <c r="B19" s="100">
        <v>4</v>
      </c>
      <c r="C19" s="100">
        <v>418</v>
      </c>
      <c r="D19" s="90">
        <v>4.5999999999999996</v>
      </c>
      <c r="E19" s="90">
        <v>3.1282051282051282</v>
      </c>
      <c r="F19" s="90">
        <v>3.875</v>
      </c>
      <c r="G19" s="90">
        <v>3.641025641025641</v>
      </c>
      <c r="H19" s="90">
        <v>3.2</v>
      </c>
      <c r="I19" s="90">
        <v>3.3</v>
      </c>
      <c r="J19" s="90">
        <v>3.5641025641025643</v>
      </c>
      <c r="K19" s="90">
        <v>3.25</v>
      </c>
      <c r="L19" s="90">
        <v>3.8974358974358974</v>
      </c>
      <c r="M19" s="90">
        <v>3.0750000000000002</v>
      </c>
      <c r="N19" s="100">
        <v>40</v>
      </c>
    </row>
    <row r="20" spans="1:14" x14ac:dyDescent="0.35">
      <c r="A20" t="s">
        <v>56</v>
      </c>
      <c r="B20" s="100">
        <v>3</v>
      </c>
      <c r="C20" s="100">
        <v>426</v>
      </c>
      <c r="D20" s="90">
        <v>3.8947368421052633</v>
      </c>
      <c r="E20" s="90">
        <v>3.0270270270270272</v>
      </c>
      <c r="F20" s="90">
        <v>3.5263157894736841</v>
      </c>
      <c r="G20" s="90">
        <v>2.8157894736842106</v>
      </c>
      <c r="H20" s="90">
        <v>2.6578947368421053</v>
      </c>
      <c r="I20" s="90">
        <v>2.1052631578947367</v>
      </c>
      <c r="J20" s="90">
        <v>4.2105263157894735</v>
      </c>
      <c r="K20" s="90">
        <v>3.263157894736842</v>
      </c>
      <c r="L20" s="90">
        <v>3.2702702702702702</v>
      </c>
      <c r="M20" s="90">
        <v>3.8157894736842106</v>
      </c>
      <c r="N20" s="100">
        <v>38</v>
      </c>
    </row>
    <row r="21" spans="1:14" x14ac:dyDescent="0.35">
      <c r="A21" t="s">
        <v>74</v>
      </c>
      <c r="B21" s="100">
        <v>5</v>
      </c>
      <c r="C21" s="100">
        <v>491</v>
      </c>
      <c r="D21" s="90">
        <v>2.6619718309859155</v>
      </c>
      <c r="E21" s="90">
        <v>2.887323943661972</v>
      </c>
      <c r="F21" s="90">
        <v>3.2253521126760565</v>
      </c>
      <c r="G21" s="90">
        <v>3.4788732394366195</v>
      </c>
      <c r="H21" s="90">
        <v>2.619718309859155</v>
      </c>
      <c r="I21" s="90">
        <v>3.676056338028169</v>
      </c>
      <c r="J21" s="90">
        <v>3.887323943661972</v>
      </c>
      <c r="K21" s="90">
        <v>3.6857142857142855</v>
      </c>
      <c r="L21" s="90">
        <v>3.1690140845070425</v>
      </c>
      <c r="M21" s="90">
        <v>4.3285714285714283</v>
      </c>
      <c r="N21" s="100">
        <v>72</v>
      </c>
    </row>
    <row r="22" spans="1:14" x14ac:dyDescent="0.35">
      <c r="A22" t="s">
        <v>10</v>
      </c>
      <c r="B22" s="100">
        <v>2.978723404255319</v>
      </c>
      <c r="C22" s="100">
        <v>499</v>
      </c>
      <c r="D22" s="90">
        <v>3.7446808510638299</v>
      </c>
      <c r="E22" s="90">
        <v>2.8936170212765959</v>
      </c>
      <c r="F22" s="90">
        <v>3.5217391304347827</v>
      </c>
      <c r="G22" s="90">
        <v>2.7446808510638299</v>
      </c>
      <c r="H22" s="90">
        <v>2.7234042553191489</v>
      </c>
      <c r="I22" s="90">
        <v>2.8510638297872339</v>
      </c>
      <c r="J22" s="90">
        <v>3.3617021276595747</v>
      </c>
      <c r="K22" s="90">
        <v>3.5106382978723403</v>
      </c>
      <c r="L22" s="90">
        <v>2.6595744680851063</v>
      </c>
      <c r="M22" s="90">
        <v>3.5319148936170213</v>
      </c>
      <c r="N22" s="100">
        <v>47</v>
      </c>
    </row>
    <row r="23" spans="1:14" x14ac:dyDescent="0.35">
      <c r="A23" t="s">
        <v>58</v>
      </c>
      <c r="B23" s="100">
        <v>3</v>
      </c>
      <c r="C23" s="100">
        <v>535</v>
      </c>
      <c r="D23" s="90">
        <v>3.2105263157894739</v>
      </c>
      <c r="E23" s="90">
        <v>2.5263157894736841</v>
      </c>
      <c r="F23" s="90">
        <v>3.42105263157895</v>
      </c>
      <c r="G23" s="90">
        <v>3</v>
      </c>
      <c r="H23" s="90">
        <v>2.8947368421052633</v>
      </c>
      <c r="I23" s="90">
        <v>3.4736842105263159</v>
      </c>
      <c r="J23" s="90">
        <v>3.736842105263158</v>
      </c>
      <c r="K23" s="90">
        <v>4</v>
      </c>
      <c r="L23" s="90">
        <v>2.8947368421052633</v>
      </c>
      <c r="M23" s="90">
        <v>2.3684210526315788</v>
      </c>
      <c r="N23" s="100">
        <v>19</v>
      </c>
    </row>
    <row r="24" spans="1:14" x14ac:dyDescent="0.35">
      <c r="A24" t="s">
        <v>11</v>
      </c>
      <c r="B24" s="100">
        <v>6</v>
      </c>
      <c r="C24" s="100">
        <v>464</v>
      </c>
      <c r="D24" s="90">
        <v>4.568965517241379</v>
      </c>
      <c r="E24" s="90">
        <v>3.2586206896551726</v>
      </c>
      <c r="F24" s="90">
        <v>3.6610169491525424</v>
      </c>
      <c r="G24" s="90">
        <v>4.0338983050847457</v>
      </c>
      <c r="H24" s="90">
        <v>3.3220338983050848</v>
      </c>
      <c r="I24" s="90">
        <v>4.2758620689655169</v>
      </c>
      <c r="J24" s="90">
        <v>4.1186440677966099</v>
      </c>
      <c r="K24" s="90">
        <v>4.1896551724137927</v>
      </c>
      <c r="L24" s="90">
        <v>3.5423728813559321</v>
      </c>
      <c r="M24" s="90">
        <v>3.2542372881355934</v>
      </c>
      <c r="N24" s="100">
        <v>59</v>
      </c>
    </row>
    <row r="25" spans="1:14" x14ac:dyDescent="0.35">
      <c r="A25" t="s">
        <v>60</v>
      </c>
      <c r="B25" s="100">
        <v>1</v>
      </c>
      <c r="C25" s="100">
        <v>578</v>
      </c>
      <c r="D25" s="90">
        <v>2.3809523809523809</v>
      </c>
      <c r="E25" s="90">
        <v>3.0476190476190474</v>
      </c>
      <c r="F25" s="90">
        <v>3.1428571428571428</v>
      </c>
      <c r="G25" s="90">
        <v>2.6666666666666665</v>
      </c>
      <c r="H25" s="90">
        <v>2.0499999999999998</v>
      </c>
      <c r="I25" s="90">
        <v>3</v>
      </c>
      <c r="J25" s="90">
        <v>4.333333333333333</v>
      </c>
      <c r="K25" s="90">
        <v>3.6666666666666665</v>
      </c>
      <c r="L25" s="90">
        <v>3.7619047619047619</v>
      </c>
      <c r="M25" s="90">
        <v>3.5238095238095237</v>
      </c>
      <c r="N25" s="100">
        <v>21</v>
      </c>
    </row>
    <row r="26" spans="1:14" x14ac:dyDescent="0.35">
      <c r="A26" t="s">
        <v>61</v>
      </c>
      <c r="B26" s="100">
        <v>2</v>
      </c>
      <c r="C26" s="100">
        <v>581</v>
      </c>
      <c r="D26" s="90">
        <v>2.25</v>
      </c>
      <c r="E26" s="90">
        <v>3.2142857142857144</v>
      </c>
      <c r="F26" s="90">
        <v>3.5714285714285716</v>
      </c>
      <c r="G26" s="90">
        <v>3.5</v>
      </c>
      <c r="H26" s="90">
        <v>3.0714285714285716</v>
      </c>
      <c r="I26" s="90">
        <v>2.5357142857142856</v>
      </c>
      <c r="J26" s="90">
        <v>3.9642857142857144</v>
      </c>
      <c r="K26" s="90">
        <v>3.3571428571428572</v>
      </c>
      <c r="L26" s="90">
        <v>4.0370370370370372</v>
      </c>
      <c r="M26" s="90">
        <v>3.6785714285714284</v>
      </c>
      <c r="N26" s="100">
        <v>28</v>
      </c>
    </row>
    <row r="27" spans="1:14" x14ac:dyDescent="0.35">
      <c r="A27" t="s">
        <v>62</v>
      </c>
      <c r="B27" s="100">
        <v>1</v>
      </c>
      <c r="C27" s="100">
        <v>592</v>
      </c>
      <c r="D27" s="90">
        <v>3.6842105263157894</v>
      </c>
      <c r="E27" s="90">
        <v>3.6315789473684212</v>
      </c>
      <c r="F27" s="90">
        <v>3.8947368421052633</v>
      </c>
      <c r="G27" s="90">
        <v>2.736842105263158</v>
      </c>
      <c r="H27" s="90">
        <v>2.2105263157894739</v>
      </c>
      <c r="I27" s="90">
        <v>2.5555555555555554</v>
      </c>
      <c r="J27" s="90">
        <v>3.7894736842105261</v>
      </c>
      <c r="K27" s="90">
        <v>3.9473684210526314</v>
      </c>
      <c r="L27" s="90">
        <v>3.3684210526315788</v>
      </c>
      <c r="M27" s="90">
        <v>3.6666666666666665</v>
      </c>
      <c r="N27" s="100">
        <v>19</v>
      </c>
    </row>
    <row r="28" spans="1:14" x14ac:dyDescent="0.35">
      <c r="A28" t="s">
        <v>12</v>
      </c>
      <c r="B28" s="100">
        <v>2</v>
      </c>
      <c r="C28" s="100">
        <v>615</v>
      </c>
      <c r="D28" s="90">
        <v>1.8235294117647058</v>
      </c>
      <c r="E28" s="90">
        <v>3.4705882352941178</v>
      </c>
      <c r="F28" s="90">
        <v>3.1764705882352939</v>
      </c>
      <c r="G28" s="90">
        <v>2.4705882352941178</v>
      </c>
      <c r="H28" s="90">
        <v>1.8235294117647058</v>
      </c>
      <c r="I28" s="90">
        <v>2.2941176470588234</v>
      </c>
      <c r="J28" s="90">
        <v>3.1176470588235294</v>
      </c>
      <c r="K28" s="90">
        <v>3.2352941176470589</v>
      </c>
      <c r="L28" s="90">
        <v>2.7647058823529411</v>
      </c>
      <c r="M28" s="90">
        <v>4</v>
      </c>
      <c r="N28" s="100">
        <v>17</v>
      </c>
    </row>
    <row r="29" spans="1:14" x14ac:dyDescent="0.35">
      <c r="A29" t="s">
        <v>23</v>
      </c>
      <c r="B29" s="100">
        <v>4</v>
      </c>
      <c r="C29" s="100">
        <v>710</v>
      </c>
      <c r="D29" s="90">
        <v>2.3255813953488373</v>
      </c>
      <c r="E29" s="90">
        <v>1.7674418604651163</v>
      </c>
      <c r="F29" s="90">
        <v>3.3023255813953489</v>
      </c>
      <c r="G29" s="90">
        <v>2.8837209302325579</v>
      </c>
      <c r="H29" s="90">
        <v>2.441860465116279</v>
      </c>
      <c r="I29" s="90">
        <v>3.2857142857142856</v>
      </c>
      <c r="J29" s="90">
        <v>3.6279069767441858</v>
      </c>
      <c r="K29" s="90">
        <v>3.6046511627906979</v>
      </c>
      <c r="L29" s="90">
        <v>2.6976744186046511</v>
      </c>
      <c r="M29" s="90">
        <v>4.1219512195121952</v>
      </c>
      <c r="N29" s="100">
        <v>43</v>
      </c>
    </row>
    <row r="30" spans="1:14" x14ac:dyDescent="0.35">
      <c r="A30" t="s">
        <v>64</v>
      </c>
      <c r="B30" s="100">
        <v>4</v>
      </c>
      <c r="C30" s="100">
        <v>680</v>
      </c>
      <c r="D30" s="90">
        <v>2.5</v>
      </c>
      <c r="E30" s="90">
        <v>3.2790697674418605</v>
      </c>
      <c r="F30" s="90">
        <v>3.9761904761904763</v>
      </c>
      <c r="G30" s="90">
        <v>4.6279069767441863</v>
      </c>
      <c r="H30" s="90">
        <v>4.1818181818181817</v>
      </c>
      <c r="I30" s="90">
        <v>4.0227272727272725</v>
      </c>
      <c r="J30" s="90">
        <v>3.8181818181818183</v>
      </c>
      <c r="K30" s="90">
        <v>3.441860465116279</v>
      </c>
      <c r="L30" s="90">
        <v>3.9545454545454546</v>
      </c>
      <c r="M30" s="90">
        <v>2.2272727272727271</v>
      </c>
      <c r="N30" s="100">
        <v>44</v>
      </c>
    </row>
    <row r="31" spans="1:14" x14ac:dyDescent="0.35">
      <c r="A31" t="s">
        <v>65</v>
      </c>
      <c r="B31" s="100">
        <v>1</v>
      </c>
      <c r="C31" s="100">
        <v>686</v>
      </c>
      <c r="D31" s="90">
        <v>2.0625</v>
      </c>
      <c r="E31" s="90">
        <v>2.9375</v>
      </c>
      <c r="F31" s="90">
        <v>3.625</v>
      </c>
      <c r="G31" s="90">
        <v>3</v>
      </c>
      <c r="H31" s="90">
        <v>2.5625</v>
      </c>
      <c r="I31" s="90">
        <v>2.625</v>
      </c>
      <c r="J31" s="90">
        <v>3.125</v>
      </c>
      <c r="K31" s="90">
        <v>3.6875</v>
      </c>
      <c r="L31" s="90">
        <v>2.0625</v>
      </c>
      <c r="M31" s="90">
        <v>4.1875</v>
      </c>
      <c r="N31" s="100">
        <v>17</v>
      </c>
    </row>
    <row r="32" spans="1:14" x14ac:dyDescent="0.35">
      <c r="A32" t="s">
        <v>13</v>
      </c>
      <c r="B32" s="100">
        <v>5</v>
      </c>
      <c r="C32" s="100">
        <v>734</v>
      </c>
      <c r="D32" s="90">
        <v>1.9090909090909092</v>
      </c>
      <c r="E32" s="90">
        <v>1.8</v>
      </c>
      <c r="F32" s="90">
        <v>2.9629629629629628</v>
      </c>
      <c r="G32" s="90">
        <v>3.4339622641509435</v>
      </c>
      <c r="H32" s="90">
        <v>1.6909090909090909</v>
      </c>
      <c r="I32" s="90">
        <v>3.0363636363636362</v>
      </c>
      <c r="J32" s="90">
        <v>4</v>
      </c>
      <c r="K32" s="90">
        <v>3.8727272727272726</v>
      </c>
      <c r="L32" s="90">
        <v>3.3272727272727272</v>
      </c>
      <c r="M32" s="90">
        <v>3.7358490566037736</v>
      </c>
      <c r="N32" s="100">
        <v>55</v>
      </c>
    </row>
    <row r="33" spans="1:14" x14ac:dyDescent="0.35">
      <c r="A33" t="s">
        <v>14</v>
      </c>
      <c r="B33" s="100">
        <v>3</v>
      </c>
      <c r="C33" s="100">
        <v>753</v>
      </c>
      <c r="D33" s="90">
        <v>4.416666666666667</v>
      </c>
      <c r="E33" s="90">
        <v>4.2222222222222223</v>
      </c>
      <c r="F33" s="90">
        <v>3.8333333333333335</v>
      </c>
      <c r="G33" s="90">
        <v>2.5714285714285716</v>
      </c>
      <c r="H33" s="90">
        <v>2.4722222222222223</v>
      </c>
      <c r="I33" s="90">
        <v>2.75</v>
      </c>
      <c r="J33" s="90">
        <v>3.5833333333333335</v>
      </c>
      <c r="K33" s="90">
        <v>3.5277777777777777</v>
      </c>
      <c r="L33" s="90">
        <v>3</v>
      </c>
      <c r="M33" s="90">
        <v>2.9142857142857141</v>
      </c>
      <c r="N33" s="100">
        <v>36</v>
      </c>
    </row>
    <row r="34" spans="1:14" x14ac:dyDescent="0.35">
      <c r="A34" t="s">
        <v>67</v>
      </c>
      <c r="B34" s="100">
        <v>1</v>
      </c>
      <c r="C34" s="100">
        <v>783</v>
      </c>
      <c r="D34" s="90">
        <v>2.2307692307692308</v>
      </c>
      <c r="E34" s="90">
        <v>2.3461538461538463</v>
      </c>
      <c r="F34" s="90">
        <v>3.8846153846153846</v>
      </c>
      <c r="G34" s="90">
        <v>2.6923076923076925</v>
      </c>
      <c r="H34" s="90">
        <v>4.1538461538461542</v>
      </c>
      <c r="I34" s="90">
        <v>3.1923076923076925</v>
      </c>
      <c r="J34" s="90">
        <v>4.115384615384615</v>
      </c>
      <c r="K34" s="90">
        <v>3.5384615384615383</v>
      </c>
      <c r="L34" s="90">
        <v>2.8846153846153846</v>
      </c>
      <c r="M34" s="90">
        <v>3.6153846153846154</v>
      </c>
      <c r="N34" s="100">
        <v>26</v>
      </c>
    </row>
    <row r="35" spans="1:14" x14ac:dyDescent="0.35">
      <c r="A35" t="s">
        <v>68</v>
      </c>
      <c r="B35" s="100">
        <v>6</v>
      </c>
      <c r="C35" s="100">
        <v>837</v>
      </c>
      <c r="D35" s="90">
        <v>4.5961538461538458</v>
      </c>
      <c r="E35" s="90">
        <v>3.6538461538461537</v>
      </c>
      <c r="F35" s="90">
        <v>3.9807692307692308</v>
      </c>
      <c r="G35" s="90">
        <v>4.3076923076923075</v>
      </c>
      <c r="H35" s="90">
        <v>2.9215686274509802</v>
      </c>
      <c r="I35" s="90">
        <v>4.5576923076923075</v>
      </c>
      <c r="J35" s="90">
        <v>3.1730769230769229</v>
      </c>
      <c r="K35" s="90">
        <v>4.5384615384615383</v>
      </c>
      <c r="L35" s="90">
        <v>4.365384615384615</v>
      </c>
      <c r="M35" s="90">
        <v>3.75</v>
      </c>
      <c r="N35" s="100">
        <v>52</v>
      </c>
    </row>
    <row r="36" spans="1:14" x14ac:dyDescent="0.35">
      <c r="A36" t="s">
        <v>69</v>
      </c>
      <c r="B36" s="100">
        <v>4</v>
      </c>
      <c r="C36" s="100">
        <v>851</v>
      </c>
      <c r="D36" s="90">
        <v>3.1794871794871793</v>
      </c>
      <c r="E36" s="90">
        <v>2.9743589743589745</v>
      </c>
      <c r="F36" s="90">
        <v>3.3333333333333335</v>
      </c>
      <c r="G36" s="90">
        <v>4.1282051282051286</v>
      </c>
      <c r="H36" s="90">
        <v>3.2820512820512819</v>
      </c>
      <c r="I36" s="90">
        <v>3.1794871794871793</v>
      </c>
      <c r="J36" s="90">
        <v>3.5897435897435899</v>
      </c>
      <c r="K36" s="90">
        <v>3.4102564102564101</v>
      </c>
      <c r="L36" s="90">
        <v>2.8205128205128207</v>
      </c>
      <c r="M36" s="90">
        <v>2.7692307692307692</v>
      </c>
      <c r="N36" s="100">
        <v>39</v>
      </c>
    </row>
    <row r="37" spans="1:14" x14ac:dyDescent="0.35">
      <c r="A37" t="s">
        <v>15</v>
      </c>
      <c r="B37" s="100">
        <v>6</v>
      </c>
      <c r="C37" s="100">
        <v>853</v>
      </c>
      <c r="D37" s="90">
        <v>3.7230769230769232</v>
      </c>
      <c r="E37" s="90">
        <v>3.4285714285714284</v>
      </c>
      <c r="F37" s="90">
        <v>3.625</v>
      </c>
      <c r="G37" s="90">
        <v>4.0153846153846153</v>
      </c>
      <c r="H37" s="90">
        <v>3.859375</v>
      </c>
      <c r="I37" s="90">
        <v>4.5538461538461537</v>
      </c>
      <c r="J37" s="90">
        <v>3.3076923076923075</v>
      </c>
      <c r="K37" s="90">
        <v>4.5076923076923077</v>
      </c>
      <c r="L37" s="90">
        <v>4.1076923076923073</v>
      </c>
      <c r="M37" s="90">
        <v>3.859375</v>
      </c>
      <c r="N37" s="100">
        <v>65</v>
      </c>
    </row>
    <row r="38" spans="1:14" x14ac:dyDescent="0.35">
      <c r="A38" t="s">
        <v>16</v>
      </c>
      <c r="B38" s="100">
        <v>5</v>
      </c>
      <c r="C38" s="100">
        <v>905</v>
      </c>
      <c r="D38" s="90">
        <v>4.1578947368421053</v>
      </c>
      <c r="E38" s="90">
        <v>3.3859649122807016</v>
      </c>
      <c r="F38" s="90">
        <v>3.7543859649122808</v>
      </c>
      <c r="G38" s="90">
        <v>3.6140350877192984</v>
      </c>
      <c r="H38" s="90">
        <v>4.0526315789473681</v>
      </c>
      <c r="I38" s="90">
        <v>4.4210526315789478</v>
      </c>
      <c r="J38" s="90">
        <v>3.6140350877192984</v>
      </c>
      <c r="K38" s="90">
        <v>4.2456140350877192</v>
      </c>
      <c r="L38" s="90">
        <v>3.5087719298245612</v>
      </c>
      <c r="M38" s="90">
        <v>3.625</v>
      </c>
      <c r="N38" s="100">
        <v>57</v>
      </c>
    </row>
    <row r="39" spans="1:14" x14ac:dyDescent="0.35">
      <c r="A39" t="s">
        <v>71</v>
      </c>
      <c r="B39" s="100">
        <v>6</v>
      </c>
      <c r="C39" s="100">
        <v>92</v>
      </c>
      <c r="D39" s="90">
        <v>4.1034482758620694</v>
      </c>
      <c r="E39" s="90">
        <v>3.0114942528735633</v>
      </c>
      <c r="F39" s="90">
        <v>3.6091954022988504</v>
      </c>
      <c r="G39" s="90">
        <v>4.2906976744186043</v>
      </c>
      <c r="H39" s="90">
        <v>4.3103448275862073</v>
      </c>
      <c r="I39" s="90">
        <v>3.9080459770114944</v>
      </c>
      <c r="J39" s="90">
        <v>3.86046511627907</v>
      </c>
      <c r="K39" s="90">
        <v>3.3908045977011496</v>
      </c>
      <c r="L39" s="90">
        <v>4.3058823529411763</v>
      </c>
      <c r="M39" s="90">
        <v>2.8720930232558142</v>
      </c>
      <c r="N39" s="100">
        <v>89</v>
      </c>
    </row>
    <row r="40" spans="1:14" x14ac:dyDescent="0.35">
      <c r="A40" t="s">
        <v>17</v>
      </c>
      <c r="B40" s="100">
        <v>1</v>
      </c>
      <c r="C40" s="100">
        <v>934</v>
      </c>
      <c r="D40" s="90">
        <v>2.375</v>
      </c>
      <c r="E40" s="90">
        <v>2.0625</v>
      </c>
      <c r="F40" s="90">
        <v>2.6875</v>
      </c>
      <c r="G40" s="90">
        <v>2.8125</v>
      </c>
      <c r="H40" s="90">
        <v>3.1875</v>
      </c>
      <c r="I40" s="90">
        <v>2.6875</v>
      </c>
      <c r="J40" s="90">
        <v>3.1875</v>
      </c>
      <c r="K40" s="90">
        <v>2.9375</v>
      </c>
      <c r="L40" s="90">
        <v>2.0625</v>
      </c>
      <c r="M40" s="90">
        <v>3.1875</v>
      </c>
      <c r="N40" s="100">
        <v>16</v>
      </c>
    </row>
    <row r="41" spans="1:14" x14ac:dyDescent="0.35">
      <c r="A41" t="s">
        <v>24</v>
      </c>
      <c r="B41" s="100">
        <v>2</v>
      </c>
      <c r="C41" s="100">
        <v>946</v>
      </c>
      <c r="D41" s="90">
        <v>2.903225806451613</v>
      </c>
      <c r="E41" s="90">
        <v>3.6</v>
      </c>
      <c r="F41" s="90">
        <v>3.5161290322580645</v>
      </c>
      <c r="G41" s="90">
        <v>2.9666666666666668</v>
      </c>
      <c r="H41" s="90">
        <v>3.1666666666666665</v>
      </c>
      <c r="I41" s="90">
        <v>3.4516129032258065</v>
      </c>
      <c r="J41" s="90">
        <v>3.6451612903225805</v>
      </c>
      <c r="K41" s="90">
        <v>4.225806451612903</v>
      </c>
      <c r="L41" s="90">
        <v>2.7096774193548385</v>
      </c>
      <c r="M41" s="90">
        <v>3.5806451612903225</v>
      </c>
      <c r="N41" s="100">
        <v>31</v>
      </c>
    </row>
    <row r="44" spans="1:14" x14ac:dyDescent="0.35">
      <c r="A44" t="s">
        <v>126</v>
      </c>
      <c r="D44" t="s">
        <v>167</v>
      </c>
      <c r="E44" t="s">
        <v>168</v>
      </c>
      <c r="F44" t="s">
        <v>169</v>
      </c>
      <c r="G44" t="s">
        <v>170</v>
      </c>
      <c r="H44" t="s">
        <v>171</v>
      </c>
      <c r="I44" t="s">
        <v>172</v>
      </c>
      <c r="J44" t="s">
        <v>173</v>
      </c>
      <c r="K44" t="s">
        <v>174</v>
      </c>
      <c r="L44" t="s">
        <v>175</v>
      </c>
      <c r="M44" t="s">
        <v>176</v>
      </c>
      <c r="N44" t="s">
        <v>79</v>
      </c>
    </row>
    <row r="45" spans="1:14" x14ac:dyDescent="0.35">
      <c r="A45" t="s">
        <v>130</v>
      </c>
      <c r="D45" s="90">
        <v>2.7066666666666666</v>
      </c>
      <c r="E45" s="90">
        <v>3.06</v>
      </c>
      <c r="F45" s="90">
        <v>3.4533333333333331</v>
      </c>
      <c r="G45" s="90">
        <v>2.6666666666666665</v>
      </c>
      <c r="H45" s="90">
        <v>2.9932885906040267</v>
      </c>
      <c r="I45" s="90">
        <v>2.7432432432432434</v>
      </c>
      <c r="J45" s="90">
        <v>3.8</v>
      </c>
      <c r="K45" s="90">
        <v>3.4429530201342282</v>
      </c>
      <c r="L45" s="90">
        <v>2.7533333333333334</v>
      </c>
      <c r="M45" s="90">
        <v>3.476510067114094</v>
      </c>
      <c r="N45" s="100">
        <v>151</v>
      </c>
    </row>
    <row r="46" spans="1:14" x14ac:dyDescent="0.35">
      <c r="A46" t="s">
        <v>131</v>
      </c>
      <c r="D46" s="90">
        <v>2.6111111111111112</v>
      </c>
      <c r="E46" s="90">
        <v>3.6737588652482271</v>
      </c>
      <c r="F46" s="90">
        <v>3.5</v>
      </c>
      <c r="G46" s="90">
        <v>3.0140845070422535</v>
      </c>
      <c r="H46" s="90">
        <v>2.6153846153846154</v>
      </c>
      <c r="I46" s="90">
        <v>2.7916666666666665</v>
      </c>
      <c r="J46" s="90">
        <v>3.7222222222222223</v>
      </c>
      <c r="K46" s="90">
        <v>3.6180555555555554</v>
      </c>
      <c r="L46" s="90">
        <v>2.8321678321678321</v>
      </c>
      <c r="M46" s="90">
        <v>3.8819444444444446</v>
      </c>
      <c r="N46" s="100">
        <v>144</v>
      </c>
    </row>
    <row r="47" spans="1:14" x14ac:dyDescent="0.35">
      <c r="A47" t="s">
        <v>132</v>
      </c>
      <c r="D47" s="90">
        <v>3.1492537313432836</v>
      </c>
      <c r="E47" s="90">
        <v>3.3195488721804511</v>
      </c>
      <c r="F47" s="90">
        <v>3.6264150943396225</v>
      </c>
      <c r="G47" s="90">
        <v>3.1132075471698113</v>
      </c>
      <c r="H47" s="90">
        <v>2.5917602996254683</v>
      </c>
      <c r="I47" s="90">
        <v>2.8838951310861423</v>
      </c>
      <c r="J47" s="90">
        <v>3.8834586466165413</v>
      </c>
      <c r="K47" s="90">
        <v>3.8246268656716418</v>
      </c>
      <c r="L47" s="90">
        <v>2.8909774436090228</v>
      </c>
      <c r="M47" s="90">
        <v>3.4419475655430714</v>
      </c>
      <c r="N47" s="100">
        <v>268</v>
      </c>
    </row>
    <row r="48" spans="1:14" x14ac:dyDescent="0.35">
      <c r="A48" t="s">
        <v>133</v>
      </c>
      <c r="D48" s="90">
        <v>3.3540856031128405</v>
      </c>
      <c r="E48" s="90">
        <v>2.6785714285714284</v>
      </c>
      <c r="F48" s="90">
        <v>3.5882352941176472</v>
      </c>
      <c r="G48" s="90">
        <v>3.6588235294117646</v>
      </c>
      <c r="H48" s="90">
        <v>3.2840466926070038</v>
      </c>
      <c r="I48" s="90">
        <v>3.45703125</v>
      </c>
      <c r="J48" s="90">
        <v>3.72265625</v>
      </c>
      <c r="K48" s="90">
        <v>3.53125</v>
      </c>
      <c r="L48" s="90">
        <v>3.3984375</v>
      </c>
      <c r="M48" s="90">
        <v>3.1299212598425199</v>
      </c>
      <c r="N48" s="100">
        <v>258</v>
      </c>
    </row>
    <row r="49" spans="1:14" x14ac:dyDescent="0.35">
      <c r="A49" t="s">
        <v>134</v>
      </c>
      <c r="D49" s="90">
        <v>2.9281437125748502</v>
      </c>
      <c r="E49" s="90">
        <v>2.6223564954682779</v>
      </c>
      <c r="F49" s="90">
        <v>3.3253012048192772</v>
      </c>
      <c r="G49" s="90">
        <v>3.5410334346504557</v>
      </c>
      <c r="H49" s="90">
        <v>2.6526946107784433</v>
      </c>
      <c r="I49" s="90">
        <v>3.5598802395209579</v>
      </c>
      <c r="J49" s="90">
        <v>3.7492447129909365</v>
      </c>
      <c r="K49" s="90">
        <v>3.9307228915662651</v>
      </c>
      <c r="L49" s="90">
        <v>3.3232628398791539</v>
      </c>
      <c r="M49" s="90">
        <v>3.8435582822085887</v>
      </c>
      <c r="N49" s="100">
        <v>335</v>
      </c>
    </row>
    <row r="50" spans="1:14" x14ac:dyDescent="0.35">
      <c r="A50" t="s">
        <v>135</v>
      </c>
      <c r="D50" s="90">
        <v>4.2462686567164178</v>
      </c>
      <c r="E50" s="90">
        <v>3.4195979899497488</v>
      </c>
      <c r="F50" s="90">
        <v>3.7363184079601992</v>
      </c>
      <c r="G50" s="90">
        <v>4.1895261845386536</v>
      </c>
      <c r="H50" s="90">
        <v>3.6009975062344139</v>
      </c>
      <c r="I50" s="90">
        <v>4.326683291770574</v>
      </c>
      <c r="J50" s="90">
        <v>3.5511221945137157</v>
      </c>
      <c r="K50" s="90">
        <v>4.0621890547263684</v>
      </c>
      <c r="L50" s="90">
        <v>3.9449999999999998</v>
      </c>
      <c r="M50" s="90">
        <v>3.2875000000000001</v>
      </c>
      <c r="N50" s="100">
        <v>406</v>
      </c>
    </row>
    <row r="52" spans="1:14" x14ac:dyDescent="0.35">
      <c r="D52" t="s">
        <v>167</v>
      </c>
      <c r="E52" t="s">
        <v>168</v>
      </c>
      <c r="F52" t="s">
        <v>169</v>
      </c>
      <c r="G52" t="s">
        <v>170</v>
      </c>
      <c r="H52" t="s">
        <v>171</v>
      </c>
      <c r="I52" t="s">
        <v>172</v>
      </c>
      <c r="J52" t="s">
        <v>173</v>
      </c>
      <c r="K52" t="s">
        <v>174</v>
      </c>
      <c r="L52" t="s">
        <v>175</v>
      </c>
      <c r="M52" t="s">
        <v>176</v>
      </c>
      <c r="N52" t="s">
        <v>79</v>
      </c>
    </row>
    <row r="53" spans="1:14" x14ac:dyDescent="0.35">
      <c r="A53" t="s">
        <v>127</v>
      </c>
      <c r="D53" s="90">
        <v>3.3266881028938906</v>
      </c>
      <c r="E53" s="90">
        <v>3.0975292587776333</v>
      </c>
      <c r="F53" s="90">
        <v>3.5555555555555554</v>
      </c>
      <c r="G53" s="90">
        <v>3.5220492866407263</v>
      </c>
      <c r="H53" s="90">
        <v>3.021276595744681</v>
      </c>
      <c r="I53" s="90">
        <v>3.475483870967742</v>
      </c>
      <c r="J53" s="90">
        <v>3.7189922480620154</v>
      </c>
      <c r="K53" s="90">
        <v>3.8046421663442942</v>
      </c>
      <c r="L53" s="90">
        <v>3.3214747736093142</v>
      </c>
      <c r="M53" s="90">
        <v>3.4798701298701298</v>
      </c>
      <c r="N53" s="100">
        <v>1562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19" workbookViewId="0">
      <selection activeCell="A69" sqref="A69:L69"/>
    </sheetView>
  </sheetViews>
  <sheetFormatPr defaultRowHeight="14.6" x14ac:dyDescent="0.35"/>
  <sheetData>
    <row r="1" spans="1:21" x14ac:dyDescent="0.35">
      <c r="A1" t="s">
        <v>122</v>
      </c>
      <c r="B1" t="s">
        <v>123</v>
      </c>
      <c r="C1" t="s">
        <v>124</v>
      </c>
      <c r="D1" t="s">
        <v>177</v>
      </c>
      <c r="E1" t="s">
        <v>178</v>
      </c>
      <c r="F1" t="s">
        <v>179</v>
      </c>
      <c r="G1" t="s">
        <v>180</v>
      </c>
      <c r="H1" t="s">
        <v>181</v>
      </c>
      <c r="I1" t="s">
        <v>182</v>
      </c>
      <c r="J1" t="s">
        <v>183</v>
      </c>
      <c r="K1" t="s">
        <v>184</v>
      </c>
      <c r="L1" t="s">
        <v>185</v>
      </c>
      <c r="M1" t="s">
        <v>186</v>
      </c>
      <c r="N1" t="s">
        <v>187</v>
      </c>
      <c r="O1" t="s">
        <v>188</v>
      </c>
      <c r="P1" t="s">
        <v>189</v>
      </c>
      <c r="Q1" t="s">
        <v>190</v>
      </c>
      <c r="R1" t="s">
        <v>191</v>
      </c>
      <c r="S1" t="s">
        <v>192</v>
      </c>
      <c r="T1" t="s">
        <v>193</v>
      </c>
      <c r="U1" t="s">
        <v>79</v>
      </c>
    </row>
    <row r="2" spans="1:21" x14ac:dyDescent="0.35">
      <c r="A2" t="s">
        <v>44</v>
      </c>
      <c r="B2" s="100">
        <v>1</v>
      </c>
      <c r="C2" s="100">
        <v>18</v>
      </c>
      <c r="D2" s="90">
        <v>87.5</v>
      </c>
      <c r="E2" s="90">
        <v>18.75</v>
      </c>
      <c r="F2" s="90">
        <v>31.25</v>
      </c>
      <c r="G2" s="90">
        <v>25</v>
      </c>
      <c r="H2" s="90">
        <v>12.5</v>
      </c>
      <c r="I2" s="90">
        <v>0</v>
      </c>
      <c r="J2" s="90">
        <v>6.25</v>
      </c>
      <c r="K2" s="90">
        <v>62.5</v>
      </c>
      <c r="L2" s="90">
        <v>43.75</v>
      </c>
      <c r="M2" s="90">
        <v>0</v>
      </c>
      <c r="N2" s="90">
        <v>37.5</v>
      </c>
      <c r="O2" s="90">
        <v>18.75</v>
      </c>
      <c r="P2" s="90">
        <v>43.75</v>
      </c>
      <c r="Q2" s="90">
        <v>12.5</v>
      </c>
      <c r="R2" s="90">
        <v>37.5</v>
      </c>
      <c r="S2" s="90">
        <v>0</v>
      </c>
      <c r="T2" s="90">
        <v>12.5</v>
      </c>
      <c r="U2" s="100">
        <v>16</v>
      </c>
    </row>
    <row r="3" spans="1:21" x14ac:dyDescent="0.35">
      <c r="A3" t="s">
        <v>45</v>
      </c>
      <c r="B3" s="100">
        <v>6</v>
      </c>
      <c r="C3" s="100">
        <v>49</v>
      </c>
      <c r="D3" s="90">
        <v>76.829268292682926</v>
      </c>
      <c r="E3" s="90">
        <v>60.975609756097562</v>
      </c>
      <c r="F3" s="90">
        <v>15.853658536585366</v>
      </c>
      <c r="G3" s="90">
        <v>32.926829268292686</v>
      </c>
      <c r="H3" s="90">
        <v>19.512195121951219</v>
      </c>
      <c r="I3" s="90">
        <v>20.73170731707317</v>
      </c>
      <c r="J3" s="90">
        <v>6.0975609756097562</v>
      </c>
      <c r="K3" s="90">
        <v>2.4390243902439024</v>
      </c>
      <c r="L3" s="90">
        <v>52.439024390243901</v>
      </c>
      <c r="M3" s="90">
        <v>6.0975609756097562</v>
      </c>
      <c r="N3" s="90">
        <v>50</v>
      </c>
      <c r="O3" s="90">
        <v>32.926829268292686</v>
      </c>
      <c r="P3" s="90">
        <v>20.73170731707317</v>
      </c>
      <c r="Q3" s="90">
        <v>28.048780487804876</v>
      </c>
      <c r="R3" s="90">
        <v>23.170731707317074</v>
      </c>
      <c r="S3" s="90">
        <v>14.634146341463415</v>
      </c>
      <c r="T3" s="90">
        <v>20.73170731707317</v>
      </c>
      <c r="U3" s="100">
        <v>82</v>
      </c>
    </row>
    <row r="4" spans="1:21" x14ac:dyDescent="0.35">
      <c r="A4" t="s">
        <v>46</v>
      </c>
      <c r="B4" s="100">
        <v>2</v>
      </c>
      <c r="C4" s="100">
        <v>82</v>
      </c>
      <c r="D4" s="90">
        <v>76.19047619047619</v>
      </c>
      <c r="E4" s="90">
        <v>28.571428571428573</v>
      </c>
      <c r="F4" s="90">
        <v>42.857142857142854</v>
      </c>
      <c r="G4" s="90">
        <v>33.333333333333336</v>
      </c>
      <c r="H4" s="90">
        <v>42.857142857142854</v>
      </c>
      <c r="I4" s="90">
        <v>14.285714285714286</v>
      </c>
      <c r="J4" s="90">
        <v>19.047619047619047</v>
      </c>
      <c r="K4" s="90">
        <v>38.095238095238095</v>
      </c>
      <c r="L4" s="90">
        <v>71.428571428571431</v>
      </c>
      <c r="M4" s="90">
        <v>4.7619047619047619</v>
      </c>
      <c r="N4" s="90">
        <v>33.333333333333336</v>
      </c>
      <c r="O4" s="90">
        <v>28.571428571428573</v>
      </c>
      <c r="P4" s="90">
        <v>14.285714285714286</v>
      </c>
      <c r="Q4" s="90">
        <v>0</v>
      </c>
      <c r="R4" s="90">
        <v>28.571428571428573</v>
      </c>
      <c r="S4" s="90">
        <v>14.285714285714286</v>
      </c>
      <c r="T4" s="90">
        <v>4.7619047619047619</v>
      </c>
      <c r="U4" s="100">
        <v>21</v>
      </c>
    </row>
    <row r="5" spans="1:21" x14ac:dyDescent="0.35">
      <c r="A5" t="s">
        <v>2</v>
      </c>
      <c r="B5" s="100">
        <v>1</v>
      </c>
      <c r="C5" s="100">
        <v>97</v>
      </c>
      <c r="D5" s="90">
        <v>78.571428571428569</v>
      </c>
      <c r="E5" s="90">
        <v>7.1428571428571432</v>
      </c>
      <c r="F5" s="90">
        <v>50</v>
      </c>
      <c r="G5" s="90">
        <v>14.285714285714286</v>
      </c>
      <c r="H5" s="90">
        <v>7.1428571428571432</v>
      </c>
      <c r="I5" s="90">
        <v>7.1428571428571432</v>
      </c>
      <c r="J5" s="90">
        <v>7.1428571428571432</v>
      </c>
      <c r="K5" s="90">
        <v>71.428571428571431</v>
      </c>
      <c r="L5" s="90">
        <v>64.285714285714292</v>
      </c>
      <c r="M5" s="90">
        <v>14.285714285714286</v>
      </c>
      <c r="N5" s="90">
        <v>42.857142857142854</v>
      </c>
      <c r="O5" s="90">
        <v>21.428571428571427</v>
      </c>
      <c r="P5" s="90">
        <v>21.428571428571427</v>
      </c>
      <c r="Q5" s="90">
        <v>7.1428571428571432</v>
      </c>
      <c r="R5" s="90">
        <v>42.857142857142854</v>
      </c>
      <c r="S5" s="90">
        <v>14.285714285714286</v>
      </c>
      <c r="T5" s="90">
        <v>0</v>
      </c>
      <c r="U5" s="100">
        <v>14</v>
      </c>
    </row>
    <row r="6" spans="1:21" x14ac:dyDescent="0.35">
      <c r="A6" t="s">
        <v>3</v>
      </c>
      <c r="B6" s="100">
        <v>4</v>
      </c>
      <c r="C6" s="100">
        <v>54</v>
      </c>
      <c r="D6" s="90">
        <v>83.870967741935488</v>
      </c>
      <c r="E6" s="90">
        <v>22.580645161290324</v>
      </c>
      <c r="F6" s="90">
        <v>48.387096774193552</v>
      </c>
      <c r="G6" s="90">
        <v>9.67741935483871</v>
      </c>
      <c r="H6" s="90">
        <v>12.903225806451612</v>
      </c>
      <c r="I6" s="90">
        <v>6.4516129032258061</v>
      </c>
      <c r="J6" s="90">
        <v>16.129032258064516</v>
      </c>
      <c r="K6" s="90">
        <v>19.35483870967742</v>
      </c>
      <c r="L6" s="90">
        <v>70.967741935483872</v>
      </c>
      <c r="M6" s="90">
        <v>25.806451612903224</v>
      </c>
      <c r="N6" s="90">
        <v>32.258064516129032</v>
      </c>
      <c r="O6" s="90">
        <v>16.129032258064516</v>
      </c>
      <c r="P6" s="90">
        <v>32.258064516129032</v>
      </c>
      <c r="Q6" s="90">
        <v>6.4516129032258061</v>
      </c>
      <c r="R6" s="90">
        <v>35.483870967741936</v>
      </c>
      <c r="S6" s="90">
        <v>6.4516129032258061</v>
      </c>
      <c r="T6" s="90">
        <v>22.580645161290324</v>
      </c>
      <c r="U6" s="100">
        <v>31</v>
      </c>
    </row>
    <row r="7" spans="1:21" x14ac:dyDescent="0.35">
      <c r="A7" t="s">
        <v>4</v>
      </c>
      <c r="B7" s="100">
        <v>5</v>
      </c>
      <c r="C7" s="100">
        <v>109</v>
      </c>
      <c r="D7" s="90">
        <v>56.097560975609753</v>
      </c>
      <c r="E7" s="90">
        <v>43.902439024390247</v>
      </c>
      <c r="F7" s="90">
        <v>29.26829268292683</v>
      </c>
      <c r="G7" s="90">
        <v>34.146341463414636</v>
      </c>
      <c r="H7" s="90">
        <v>19.512195121951219</v>
      </c>
      <c r="I7" s="90">
        <v>0</v>
      </c>
      <c r="J7" s="90">
        <v>34.146341463414636</v>
      </c>
      <c r="K7" s="90">
        <v>21.951219512195124</v>
      </c>
      <c r="L7" s="90">
        <v>68.292682926829272</v>
      </c>
      <c r="M7" s="90">
        <v>7.3170731707317076</v>
      </c>
      <c r="N7" s="90">
        <v>41.463414634146339</v>
      </c>
      <c r="O7" s="90">
        <v>26.829268292682926</v>
      </c>
      <c r="P7" s="90">
        <v>19.512195121951219</v>
      </c>
      <c r="Q7" s="90">
        <v>29.26829268292683</v>
      </c>
      <c r="R7" s="90">
        <v>34.146341463414636</v>
      </c>
      <c r="S7" s="90">
        <v>4.8780487804878048</v>
      </c>
      <c r="T7" s="90">
        <v>14.634146341463415</v>
      </c>
      <c r="U7" s="100">
        <v>41</v>
      </c>
    </row>
    <row r="8" spans="1:21" x14ac:dyDescent="0.35">
      <c r="A8" t="s">
        <v>48</v>
      </c>
      <c r="B8" s="100">
        <v>2</v>
      </c>
      <c r="C8" s="100">
        <v>148</v>
      </c>
      <c r="D8" s="90">
        <v>55.555555555555557</v>
      </c>
      <c r="E8" s="90">
        <v>61.111111111111114</v>
      </c>
      <c r="F8" s="90">
        <v>16.666666666666668</v>
      </c>
      <c r="G8" s="90">
        <v>22.222222222222221</v>
      </c>
      <c r="H8" s="90">
        <v>5.5555555555555554</v>
      </c>
      <c r="I8" s="90">
        <v>5.5555555555555554</v>
      </c>
      <c r="J8" s="90">
        <v>16.666666666666668</v>
      </c>
      <c r="K8" s="90">
        <v>50</v>
      </c>
      <c r="L8" s="90">
        <v>83.333333333333329</v>
      </c>
      <c r="M8" s="90">
        <v>0</v>
      </c>
      <c r="N8" s="90">
        <v>50</v>
      </c>
      <c r="O8" s="90">
        <v>22.222222222222221</v>
      </c>
      <c r="P8" s="90">
        <v>16.666666666666668</v>
      </c>
      <c r="Q8" s="90">
        <v>33.333333333333336</v>
      </c>
      <c r="R8" s="90">
        <v>27.777777777777779</v>
      </c>
      <c r="S8" s="90">
        <v>0</v>
      </c>
      <c r="T8" s="90">
        <v>27.777777777777779</v>
      </c>
      <c r="U8" s="100">
        <v>18</v>
      </c>
    </row>
    <row r="9" spans="1:21" x14ac:dyDescent="0.35">
      <c r="A9" t="s">
        <v>5</v>
      </c>
      <c r="B9" s="100">
        <v>6</v>
      </c>
      <c r="C9" s="100">
        <v>179</v>
      </c>
      <c r="D9" s="90">
        <v>77.966101694915253</v>
      </c>
      <c r="E9" s="90">
        <v>23.728813559322035</v>
      </c>
      <c r="F9" s="90">
        <v>37.288135593220339</v>
      </c>
      <c r="G9" s="90">
        <v>28.8135593220339</v>
      </c>
      <c r="H9" s="90">
        <v>16.949152542372882</v>
      </c>
      <c r="I9" s="90">
        <v>8.4745762711864412</v>
      </c>
      <c r="J9" s="90">
        <v>28.8135593220339</v>
      </c>
      <c r="K9" s="90">
        <v>11.864406779661017</v>
      </c>
      <c r="L9" s="90">
        <v>64.406779661016955</v>
      </c>
      <c r="M9" s="90">
        <v>13.559322033898304</v>
      </c>
      <c r="N9" s="90">
        <v>27.118644067796609</v>
      </c>
      <c r="O9" s="90">
        <v>35.593220338983052</v>
      </c>
      <c r="P9" s="90">
        <v>18.64406779661017</v>
      </c>
      <c r="Q9" s="90">
        <v>23.728813559322035</v>
      </c>
      <c r="R9" s="90">
        <v>40.677966101694913</v>
      </c>
      <c r="S9" s="90">
        <v>11.864406779661017</v>
      </c>
      <c r="T9" s="90">
        <v>15.254237288135593</v>
      </c>
      <c r="U9" s="100">
        <v>59</v>
      </c>
    </row>
    <row r="10" spans="1:21" x14ac:dyDescent="0.35">
      <c r="A10" t="s">
        <v>50</v>
      </c>
      <c r="B10" s="100">
        <v>3</v>
      </c>
      <c r="C10" s="100">
        <v>214</v>
      </c>
      <c r="D10" s="90">
        <v>56</v>
      </c>
      <c r="E10" s="90">
        <v>12</v>
      </c>
      <c r="F10" s="90">
        <v>28</v>
      </c>
      <c r="G10" s="90">
        <v>24</v>
      </c>
      <c r="H10" s="90">
        <v>8</v>
      </c>
      <c r="I10" s="90">
        <v>8</v>
      </c>
      <c r="J10" s="90">
        <v>60</v>
      </c>
      <c r="K10" s="90">
        <v>40</v>
      </c>
      <c r="L10" s="90">
        <v>76</v>
      </c>
      <c r="M10" s="90">
        <v>28</v>
      </c>
      <c r="N10" s="90">
        <v>20</v>
      </c>
      <c r="O10" s="90">
        <v>12</v>
      </c>
      <c r="P10" s="90">
        <v>24</v>
      </c>
      <c r="Q10" s="90">
        <v>32</v>
      </c>
      <c r="R10" s="90">
        <v>28</v>
      </c>
      <c r="S10" s="90">
        <v>8</v>
      </c>
      <c r="T10" s="90">
        <v>16</v>
      </c>
      <c r="U10" s="100">
        <v>25</v>
      </c>
    </row>
    <row r="11" spans="1:21" x14ac:dyDescent="0.35">
      <c r="A11" t="s">
        <v>51</v>
      </c>
      <c r="B11" s="100">
        <v>1</v>
      </c>
      <c r="C11" s="100">
        <v>239</v>
      </c>
      <c r="D11" s="90">
        <v>45.454545454545453</v>
      </c>
      <c r="E11" s="90">
        <v>68.181818181818187</v>
      </c>
      <c r="F11" s="90">
        <v>18.181818181818183</v>
      </c>
      <c r="G11" s="90">
        <v>4.5454545454545459</v>
      </c>
      <c r="H11" s="90">
        <v>9.0909090909090917</v>
      </c>
      <c r="I11" s="90">
        <v>9.0909090909090917</v>
      </c>
      <c r="J11" s="90">
        <v>13.636363636363637</v>
      </c>
      <c r="K11" s="90">
        <v>45.454545454545453</v>
      </c>
      <c r="L11" s="90">
        <v>63.636363636363633</v>
      </c>
      <c r="M11" s="90">
        <v>40.909090909090907</v>
      </c>
      <c r="N11" s="90">
        <v>18.181818181818183</v>
      </c>
      <c r="O11" s="90">
        <v>27.272727272727273</v>
      </c>
      <c r="P11" s="90">
        <v>45.454545454545453</v>
      </c>
      <c r="Q11" s="90">
        <v>4.5454545454545459</v>
      </c>
      <c r="R11" s="90">
        <v>50</v>
      </c>
      <c r="S11" s="90">
        <v>9.0909090909090917</v>
      </c>
      <c r="T11" s="90">
        <v>13.636363636363637</v>
      </c>
      <c r="U11" s="100">
        <v>22</v>
      </c>
    </row>
    <row r="12" spans="1:21" x14ac:dyDescent="0.35">
      <c r="A12" t="s">
        <v>22</v>
      </c>
      <c r="B12" s="100">
        <v>2</v>
      </c>
      <c r="C12" s="100">
        <v>322</v>
      </c>
      <c r="D12" s="90">
        <v>50</v>
      </c>
      <c r="E12" s="90">
        <v>17.857142857142858</v>
      </c>
      <c r="F12" s="90">
        <v>42.857142857142854</v>
      </c>
      <c r="G12" s="90">
        <v>32.142857142857146</v>
      </c>
      <c r="H12" s="90">
        <v>17.857142857142858</v>
      </c>
      <c r="I12" s="90">
        <v>10.714285714285714</v>
      </c>
      <c r="J12" s="90">
        <v>32.142857142857146</v>
      </c>
      <c r="K12" s="90">
        <v>42.857142857142854</v>
      </c>
      <c r="L12" s="90">
        <v>71.428571428571431</v>
      </c>
      <c r="M12" s="90">
        <v>21.428571428571427</v>
      </c>
      <c r="N12" s="90">
        <v>17.857142857142858</v>
      </c>
      <c r="O12" s="90">
        <v>17.857142857142858</v>
      </c>
      <c r="P12" s="90">
        <v>32.142857142857146</v>
      </c>
      <c r="Q12" s="90">
        <v>21.428571428571427</v>
      </c>
      <c r="R12" s="90">
        <v>35.714285714285715</v>
      </c>
      <c r="S12" s="90">
        <v>7.1428571428571432</v>
      </c>
      <c r="T12" s="90">
        <v>7.1428571428571432</v>
      </c>
      <c r="U12" s="100">
        <v>28</v>
      </c>
    </row>
    <row r="13" spans="1:21" x14ac:dyDescent="0.35">
      <c r="A13" t="s">
        <v>52</v>
      </c>
      <c r="B13" s="100">
        <v>3</v>
      </c>
      <c r="C13" s="100">
        <v>249</v>
      </c>
      <c r="D13" s="90">
        <v>56.756756756756758</v>
      </c>
      <c r="E13" s="90">
        <v>18.918918918918919</v>
      </c>
      <c r="F13" s="90">
        <v>45.945945945945944</v>
      </c>
      <c r="G13" s="90">
        <v>10.810810810810811</v>
      </c>
      <c r="H13" s="90">
        <v>13.513513513513514</v>
      </c>
      <c r="I13" s="90">
        <v>8.1081081081081088</v>
      </c>
      <c r="J13" s="90">
        <v>21.621621621621621</v>
      </c>
      <c r="K13" s="90">
        <v>45.945945945945944</v>
      </c>
      <c r="L13" s="90">
        <v>67.567567567567565</v>
      </c>
      <c r="M13" s="90">
        <v>10.810810810810811</v>
      </c>
      <c r="N13" s="90">
        <v>51.351351351351354</v>
      </c>
      <c r="O13" s="90">
        <v>18.918918918918919</v>
      </c>
      <c r="P13" s="90">
        <v>21.621621621621621</v>
      </c>
      <c r="Q13" s="90">
        <v>45.945945945945944</v>
      </c>
      <c r="R13" s="90">
        <v>13.513513513513514</v>
      </c>
      <c r="S13" s="90">
        <v>10.810810810810811</v>
      </c>
      <c r="T13" s="90">
        <v>13.513513513513514</v>
      </c>
      <c r="U13" s="100">
        <v>37</v>
      </c>
    </row>
    <row r="14" spans="1:21" x14ac:dyDescent="0.35">
      <c r="A14" t="s">
        <v>72</v>
      </c>
      <c r="B14" s="100">
        <v>4</v>
      </c>
      <c r="C14" s="100">
        <v>272</v>
      </c>
      <c r="D14" s="90">
        <v>72.131147540983605</v>
      </c>
      <c r="E14" s="90">
        <v>31.147540983606557</v>
      </c>
      <c r="F14" s="90">
        <v>22.950819672131146</v>
      </c>
      <c r="G14" s="90">
        <v>13.114754098360656</v>
      </c>
      <c r="H14" s="90">
        <v>19.672131147540984</v>
      </c>
      <c r="I14" s="90">
        <v>3.278688524590164</v>
      </c>
      <c r="J14" s="90">
        <v>16.393442622950818</v>
      </c>
      <c r="K14" s="90">
        <v>18.032786885245901</v>
      </c>
      <c r="L14" s="90">
        <v>67.213114754098356</v>
      </c>
      <c r="M14" s="90">
        <v>8.1967213114754092</v>
      </c>
      <c r="N14" s="90">
        <v>27.868852459016395</v>
      </c>
      <c r="O14" s="90">
        <v>31.147540983606557</v>
      </c>
      <c r="P14" s="90">
        <v>34.42622950819672</v>
      </c>
      <c r="Q14" s="90">
        <v>37.704918032786885</v>
      </c>
      <c r="R14" s="90">
        <v>42.622950819672134</v>
      </c>
      <c r="S14" s="90">
        <v>21.311475409836067</v>
      </c>
      <c r="T14" s="90">
        <v>8.1967213114754092</v>
      </c>
      <c r="U14" s="100">
        <v>61</v>
      </c>
    </row>
    <row r="15" spans="1:21" x14ac:dyDescent="0.35">
      <c r="A15" t="s">
        <v>6</v>
      </c>
      <c r="B15" s="100">
        <v>5</v>
      </c>
      <c r="C15" s="100">
        <v>285</v>
      </c>
      <c r="D15" s="90">
        <v>64.285714285714292</v>
      </c>
      <c r="E15" s="90">
        <v>17.142857142857142</v>
      </c>
      <c r="F15" s="90">
        <v>21.428571428571427</v>
      </c>
      <c r="G15" s="90">
        <v>18.571428571428573</v>
      </c>
      <c r="H15" s="90">
        <v>10</v>
      </c>
      <c r="I15" s="90">
        <v>12.857142857142858</v>
      </c>
      <c r="J15" s="90">
        <v>30</v>
      </c>
      <c r="K15" s="90">
        <v>44.285714285714285</v>
      </c>
      <c r="L15" s="90">
        <v>70</v>
      </c>
      <c r="M15" s="90">
        <v>8.5714285714285712</v>
      </c>
      <c r="N15" s="90">
        <v>28.571428571428573</v>
      </c>
      <c r="O15" s="90">
        <v>41.428571428571431</v>
      </c>
      <c r="P15" s="90">
        <v>32.857142857142854</v>
      </c>
      <c r="Q15" s="90">
        <v>30</v>
      </c>
      <c r="R15" s="90">
        <v>22.857142857142858</v>
      </c>
      <c r="S15" s="90">
        <v>10</v>
      </c>
      <c r="T15" s="90">
        <v>18.571428571428573</v>
      </c>
      <c r="U15" s="100">
        <v>70</v>
      </c>
    </row>
    <row r="16" spans="1:21" x14ac:dyDescent="0.35">
      <c r="A16" t="s">
        <v>73</v>
      </c>
      <c r="B16" s="100">
        <v>3</v>
      </c>
      <c r="C16" s="100">
        <v>301</v>
      </c>
      <c r="D16" s="90">
        <v>52.777777777777779</v>
      </c>
      <c r="E16" s="90">
        <v>30.555555555555557</v>
      </c>
      <c r="F16" s="90">
        <v>36.111111111111114</v>
      </c>
      <c r="G16" s="90">
        <v>16.666666666666668</v>
      </c>
      <c r="H16" s="90">
        <v>19.444444444444443</v>
      </c>
      <c r="I16" s="90">
        <v>5.5555555555555554</v>
      </c>
      <c r="J16" s="90">
        <v>19.444444444444443</v>
      </c>
      <c r="K16" s="90">
        <v>22.222222222222221</v>
      </c>
      <c r="L16" s="90">
        <v>66.666666666666671</v>
      </c>
      <c r="M16" s="90">
        <v>36.111111111111114</v>
      </c>
      <c r="N16" s="90">
        <v>16.666666666666668</v>
      </c>
      <c r="O16" s="90">
        <v>25</v>
      </c>
      <c r="P16" s="90">
        <v>41.666666666666664</v>
      </c>
      <c r="Q16" s="90">
        <v>30.555555555555557</v>
      </c>
      <c r="R16" s="90">
        <v>38.888888888888886</v>
      </c>
      <c r="S16" s="90">
        <v>2.7777777777777777</v>
      </c>
      <c r="T16" s="90">
        <v>22.222222222222221</v>
      </c>
      <c r="U16" s="100">
        <v>36</v>
      </c>
    </row>
    <row r="17" spans="1:21" x14ac:dyDescent="0.35">
      <c r="A17" t="s">
        <v>7</v>
      </c>
      <c r="B17" s="100">
        <v>3</v>
      </c>
      <c r="C17" s="100">
        <v>305</v>
      </c>
      <c r="D17" s="90">
        <v>77.41935483870968</v>
      </c>
      <c r="E17" s="90">
        <v>22.580645161290324</v>
      </c>
      <c r="F17" s="90">
        <v>41.935483870967744</v>
      </c>
      <c r="G17" s="90">
        <v>38.70967741935484</v>
      </c>
      <c r="H17" s="90">
        <v>9.67741935483871</v>
      </c>
      <c r="I17" s="90">
        <v>6.4516129032258061</v>
      </c>
      <c r="J17" s="90">
        <v>22.580645161290324</v>
      </c>
      <c r="K17" s="90">
        <v>19.35483870967742</v>
      </c>
      <c r="L17" s="90">
        <v>87.096774193548384</v>
      </c>
      <c r="M17" s="90">
        <v>25.806451612903224</v>
      </c>
      <c r="N17" s="90">
        <v>35.483870967741936</v>
      </c>
      <c r="O17" s="90">
        <v>6.4516129032258061</v>
      </c>
      <c r="P17" s="90">
        <v>16.129032258064516</v>
      </c>
      <c r="Q17" s="90">
        <v>25.806451612903224</v>
      </c>
      <c r="R17" s="90">
        <v>16.129032258064516</v>
      </c>
      <c r="S17" s="90">
        <v>6.4516129032258061</v>
      </c>
      <c r="T17" s="90">
        <v>19.35483870967742</v>
      </c>
      <c r="U17" s="100">
        <v>31</v>
      </c>
    </row>
    <row r="18" spans="1:21" x14ac:dyDescent="0.35">
      <c r="A18" t="s">
        <v>8</v>
      </c>
      <c r="B18" s="100">
        <v>5</v>
      </c>
      <c r="C18" s="100">
        <v>405</v>
      </c>
      <c r="D18" s="90">
        <v>67.5</v>
      </c>
      <c r="E18" s="90">
        <v>17.5</v>
      </c>
      <c r="F18" s="90">
        <v>25</v>
      </c>
      <c r="G18" s="90">
        <v>37.5</v>
      </c>
      <c r="H18" s="90">
        <v>15</v>
      </c>
      <c r="I18" s="90">
        <v>10</v>
      </c>
      <c r="J18" s="90">
        <v>27.5</v>
      </c>
      <c r="K18" s="90">
        <v>42.5</v>
      </c>
      <c r="L18" s="90">
        <v>67.5</v>
      </c>
      <c r="M18" s="90">
        <v>17.5</v>
      </c>
      <c r="N18" s="90">
        <v>37.5</v>
      </c>
      <c r="O18" s="90">
        <v>22.5</v>
      </c>
      <c r="P18" s="90">
        <v>17.5</v>
      </c>
      <c r="Q18" s="90">
        <v>25</v>
      </c>
      <c r="R18" s="90">
        <v>25</v>
      </c>
      <c r="S18" s="90">
        <v>20</v>
      </c>
      <c r="T18" s="90">
        <v>17.5</v>
      </c>
      <c r="U18" s="100">
        <v>40</v>
      </c>
    </row>
    <row r="19" spans="1:21" x14ac:dyDescent="0.35">
      <c r="A19" t="s">
        <v>9</v>
      </c>
      <c r="B19" s="100">
        <v>4</v>
      </c>
      <c r="C19" s="100">
        <v>418</v>
      </c>
      <c r="D19" s="90">
        <v>92.5</v>
      </c>
      <c r="E19" s="90">
        <v>27.5</v>
      </c>
      <c r="F19" s="90">
        <v>42.5</v>
      </c>
      <c r="G19" s="90">
        <v>27.5</v>
      </c>
      <c r="H19" s="90">
        <v>15</v>
      </c>
      <c r="I19" s="90">
        <v>10</v>
      </c>
      <c r="J19" s="90">
        <v>20</v>
      </c>
      <c r="K19" s="90">
        <v>10</v>
      </c>
      <c r="L19" s="90">
        <v>65</v>
      </c>
      <c r="M19" s="90">
        <v>2.5</v>
      </c>
      <c r="N19" s="90">
        <v>52.5</v>
      </c>
      <c r="O19" s="90">
        <v>32.5</v>
      </c>
      <c r="P19" s="90">
        <v>27.5</v>
      </c>
      <c r="Q19" s="90">
        <v>15</v>
      </c>
      <c r="R19" s="90">
        <v>22.5</v>
      </c>
      <c r="S19" s="90">
        <v>5</v>
      </c>
      <c r="T19" s="90">
        <v>17.5</v>
      </c>
      <c r="U19" s="100">
        <v>40</v>
      </c>
    </row>
    <row r="20" spans="1:21" x14ac:dyDescent="0.35">
      <c r="A20" t="s">
        <v>56</v>
      </c>
      <c r="B20" s="100">
        <v>3</v>
      </c>
      <c r="C20" s="100">
        <v>426</v>
      </c>
      <c r="D20" s="90">
        <v>84.21052631578948</v>
      </c>
      <c r="E20" s="90">
        <v>44.736842105263158</v>
      </c>
      <c r="F20" s="90">
        <v>34.210526315789473</v>
      </c>
      <c r="G20" s="90">
        <v>10.526315789473685</v>
      </c>
      <c r="H20" s="90">
        <v>13.157894736842104</v>
      </c>
      <c r="I20" s="90">
        <v>2.6315789473684212</v>
      </c>
      <c r="J20" s="90">
        <v>28.94736842105263</v>
      </c>
      <c r="K20" s="90">
        <v>36.842105263157897</v>
      </c>
      <c r="L20" s="90">
        <v>63.157894736842103</v>
      </c>
      <c r="M20" s="90">
        <v>13.157894736842104</v>
      </c>
      <c r="N20" s="90">
        <v>31.578947368421051</v>
      </c>
      <c r="O20" s="90">
        <v>10.526315789473685</v>
      </c>
      <c r="P20" s="90">
        <v>31.578947368421051</v>
      </c>
      <c r="Q20" s="90">
        <v>10.526315789473685</v>
      </c>
      <c r="R20" s="90">
        <v>47.368421052631582</v>
      </c>
      <c r="S20" s="90">
        <v>7.8947368421052628</v>
      </c>
      <c r="T20" s="90">
        <v>23.684210526315791</v>
      </c>
      <c r="U20" s="100">
        <v>38</v>
      </c>
    </row>
    <row r="21" spans="1:21" x14ac:dyDescent="0.35">
      <c r="A21" t="s">
        <v>74</v>
      </c>
      <c r="B21" s="100">
        <v>5</v>
      </c>
      <c r="C21" s="100">
        <v>491</v>
      </c>
      <c r="D21" s="90">
        <v>65.277777777777771</v>
      </c>
      <c r="E21" s="90">
        <v>15.277777777777779</v>
      </c>
      <c r="F21" s="90">
        <v>34.722222222222221</v>
      </c>
      <c r="G21" s="90">
        <v>29.166666666666668</v>
      </c>
      <c r="H21" s="90">
        <v>12.5</v>
      </c>
      <c r="I21" s="90">
        <v>9.7222222222222214</v>
      </c>
      <c r="J21" s="90">
        <v>27.777777777777779</v>
      </c>
      <c r="K21" s="90">
        <v>31.944444444444443</v>
      </c>
      <c r="L21" s="90">
        <v>66.666666666666671</v>
      </c>
      <c r="M21" s="90">
        <v>20.833333333333332</v>
      </c>
      <c r="N21" s="90">
        <v>33.333333333333336</v>
      </c>
      <c r="O21" s="90">
        <v>25</v>
      </c>
      <c r="P21" s="90">
        <v>18.055555555555557</v>
      </c>
      <c r="Q21" s="90">
        <v>36.111111111111114</v>
      </c>
      <c r="R21" s="90">
        <v>30.555555555555557</v>
      </c>
      <c r="S21" s="90">
        <v>11.111111111111111</v>
      </c>
      <c r="T21" s="90">
        <v>22.222222222222221</v>
      </c>
      <c r="U21" s="100">
        <v>72</v>
      </c>
    </row>
    <row r="22" spans="1:21" x14ac:dyDescent="0.35">
      <c r="A22" t="s">
        <v>10</v>
      </c>
      <c r="B22" s="100">
        <v>2.978723404255319</v>
      </c>
      <c r="C22" s="100">
        <v>499</v>
      </c>
      <c r="D22" s="90">
        <v>76.59574468085107</v>
      </c>
      <c r="E22" s="90">
        <v>55.319148936170215</v>
      </c>
      <c r="F22" s="90">
        <v>42.553191489361701</v>
      </c>
      <c r="G22" s="90">
        <v>14.893617021276595</v>
      </c>
      <c r="H22" s="90">
        <v>36.170212765957444</v>
      </c>
      <c r="I22" s="90">
        <v>6.3829787234042552</v>
      </c>
      <c r="J22" s="90">
        <v>10.638297872340425</v>
      </c>
      <c r="K22" s="90">
        <v>23.404255319148938</v>
      </c>
      <c r="L22" s="90">
        <v>65.957446808510639</v>
      </c>
      <c r="M22" s="90">
        <v>12.76595744680851</v>
      </c>
      <c r="N22" s="90">
        <v>23.404255319148938</v>
      </c>
      <c r="O22" s="90">
        <v>2.1276595744680851</v>
      </c>
      <c r="P22" s="90">
        <v>23.404255319148938</v>
      </c>
      <c r="Q22" s="90">
        <v>6.3829787234042552</v>
      </c>
      <c r="R22" s="90">
        <v>44.680851063829785</v>
      </c>
      <c r="S22" s="90">
        <v>17.021276595744681</v>
      </c>
      <c r="T22" s="90">
        <v>10.638297872340425</v>
      </c>
      <c r="U22" s="100">
        <v>47</v>
      </c>
    </row>
    <row r="23" spans="1:21" x14ac:dyDescent="0.35">
      <c r="A23" t="s">
        <v>58</v>
      </c>
      <c r="B23" s="100">
        <v>3</v>
      </c>
      <c r="C23" s="100">
        <v>535</v>
      </c>
      <c r="D23" s="90">
        <v>47.368421052631582</v>
      </c>
      <c r="E23" s="90">
        <v>21.05263157894737</v>
      </c>
      <c r="F23" s="90">
        <v>42.10526315789474</v>
      </c>
      <c r="G23" s="90">
        <v>21.05263157894737</v>
      </c>
      <c r="H23" s="90">
        <v>10.526315789473685</v>
      </c>
      <c r="I23" s="90">
        <v>0</v>
      </c>
      <c r="J23" s="90">
        <v>26.315789473684209</v>
      </c>
      <c r="K23" s="90">
        <v>42.10526315789474</v>
      </c>
      <c r="L23" s="90">
        <v>63.157894736842103</v>
      </c>
      <c r="M23" s="90">
        <v>21.05263157894737</v>
      </c>
      <c r="N23" s="90">
        <v>26.315789473684209</v>
      </c>
      <c r="O23" s="90">
        <v>36.842105263157897</v>
      </c>
      <c r="P23" s="90">
        <v>31.578947368421051</v>
      </c>
      <c r="Q23" s="90">
        <v>31.578947368421051</v>
      </c>
      <c r="R23" s="90">
        <v>52.631578947368418</v>
      </c>
      <c r="S23" s="90">
        <v>21.05263157894737</v>
      </c>
      <c r="T23" s="90">
        <v>5.2631578947368425</v>
      </c>
      <c r="U23" s="100">
        <v>19</v>
      </c>
    </row>
    <row r="24" spans="1:21" x14ac:dyDescent="0.35">
      <c r="A24" t="s">
        <v>11</v>
      </c>
      <c r="B24" s="100">
        <v>6</v>
      </c>
      <c r="C24" s="100">
        <v>464</v>
      </c>
      <c r="D24" s="90">
        <v>83.050847457627114</v>
      </c>
      <c r="E24" s="90">
        <v>54.237288135593218</v>
      </c>
      <c r="F24" s="90">
        <v>18.64406779661017</v>
      </c>
      <c r="G24" s="90">
        <v>23.728813559322035</v>
      </c>
      <c r="H24" s="90">
        <v>15.254237288135593</v>
      </c>
      <c r="I24" s="90">
        <v>13.559322033898304</v>
      </c>
      <c r="J24" s="90">
        <v>18.64406779661017</v>
      </c>
      <c r="K24" s="90">
        <v>8.4745762711864412</v>
      </c>
      <c r="L24" s="90">
        <v>55.932203389830505</v>
      </c>
      <c r="M24" s="90">
        <v>18.64406779661017</v>
      </c>
      <c r="N24" s="90">
        <v>50.847457627118644</v>
      </c>
      <c r="O24" s="90">
        <v>30.508474576271187</v>
      </c>
      <c r="P24" s="90">
        <v>25.423728813559322</v>
      </c>
      <c r="Q24" s="90">
        <v>28.8135593220339</v>
      </c>
      <c r="R24" s="90">
        <v>23.728813559322035</v>
      </c>
      <c r="S24" s="90">
        <v>10.169491525423728</v>
      </c>
      <c r="T24" s="90">
        <v>10.169491525423728</v>
      </c>
      <c r="U24" s="100">
        <v>59</v>
      </c>
    </row>
    <row r="25" spans="1:21" x14ac:dyDescent="0.35">
      <c r="A25" t="s">
        <v>60</v>
      </c>
      <c r="B25" s="100">
        <v>1</v>
      </c>
      <c r="C25" s="100">
        <v>578</v>
      </c>
      <c r="D25" s="90">
        <v>76.19047619047619</v>
      </c>
      <c r="E25" s="90">
        <v>9.5238095238095237</v>
      </c>
      <c r="F25" s="90">
        <v>38.095238095238095</v>
      </c>
      <c r="G25" s="90">
        <v>19.047619047619047</v>
      </c>
      <c r="H25" s="90">
        <v>4.7619047619047619</v>
      </c>
      <c r="I25" s="90">
        <v>9.5238095238095237</v>
      </c>
      <c r="J25" s="90">
        <v>28.571428571428573</v>
      </c>
      <c r="K25" s="90">
        <v>33.333333333333336</v>
      </c>
      <c r="L25" s="90">
        <v>80.952380952380949</v>
      </c>
      <c r="M25" s="90">
        <v>19.047619047619047</v>
      </c>
      <c r="N25" s="90">
        <v>19.047619047619047</v>
      </c>
      <c r="O25" s="90">
        <v>23.80952380952381</v>
      </c>
      <c r="P25" s="90">
        <v>33.333333333333336</v>
      </c>
      <c r="Q25" s="90">
        <v>0</v>
      </c>
      <c r="R25" s="90">
        <v>23.80952380952381</v>
      </c>
      <c r="S25" s="90">
        <v>14.285714285714286</v>
      </c>
      <c r="T25" s="90">
        <v>85.714285714285708</v>
      </c>
      <c r="U25" s="100">
        <v>21</v>
      </c>
    </row>
    <row r="26" spans="1:21" x14ac:dyDescent="0.35">
      <c r="A26" t="s">
        <v>61</v>
      </c>
      <c r="B26" s="100">
        <v>2</v>
      </c>
      <c r="C26" s="100">
        <v>581</v>
      </c>
      <c r="D26" s="90">
        <v>42.857142857142854</v>
      </c>
      <c r="E26" s="90">
        <v>17.857142857142858</v>
      </c>
      <c r="F26" s="90">
        <v>42.857142857142854</v>
      </c>
      <c r="G26" s="90">
        <v>17.857142857142858</v>
      </c>
      <c r="H26" s="90">
        <v>14.285714285714286</v>
      </c>
      <c r="I26" s="90">
        <v>14.285714285714286</v>
      </c>
      <c r="J26" s="90">
        <v>25</v>
      </c>
      <c r="K26" s="90">
        <v>50</v>
      </c>
      <c r="L26" s="90">
        <v>67.857142857142861</v>
      </c>
      <c r="M26" s="90">
        <v>25</v>
      </c>
      <c r="N26" s="90">
        <v>39.285714285714285</v>
      </c>
      <c r="O26" s="90">
        <v>17.857142857142858</v>
      </c>
      <c r="P26" s="90">
        <v>35.714285714285715</v>
      </c>
      <c r="Q26" s="90">
        <v>46.428571428571431</v>
      </c>
      <c r="R26" s="90">
        <v>17.857142857142858</v>
      </c>
      <c r="S26" s="90">
        <v>10.714285714285714</v>
      </c>
      <c r="T26" s="90">
        <v>17.857142857142858</v>
      </c>
      <c r="U26" s="100">
        <v>28</v>
      </c>
    </row>
    <row r="27" spans="1:21" x14ac:dyDescent="0.35">
      <c r="A27" t="s">
        <v>62</v>
      </c>
      <c r="B27" s="100">
        <v>1</v>
      </c>
      <c r="C27" s="100">
        <v>592</v>
      </c>
      <c r="D27" s="90">
        <v>78.94736842105263</v>
      </c>
      <c r="E27" s="90">
        <v>42.10526315789474</v>
      </c>
      <c r="F27" s="90">
        <v>21.05263157894737</v>
      </c>
      <c r="G27" s="90">
        <v>42.10526315789474</v>
      </c>
      <c r="H27" s="90">
        <v>21.05263157894737</v>
      </c>
      <c r="I27" s="90">
        <v>15.789473684210526</v>
      </c>
      <c r="J27" s="90">
        <v>5.2631578947368425</v>
      </c>
      <c r="K27" s="90">
        <v>36.842105263157897</v>
      </c>
      <c r="L27" s="90">
        <v>52.631578947368418</v>
      </c>
      <c r="M27" s="90">
        <v>10.526315789473685</v>
      </c>
      <c r="N27" s="90">
        <v>31.578947368421051</v>
      </c>
      <c r="O27" s="90">
        <v>10.526315789473685</v>
      </c>
      <c r="P27" s="90">
        <v>36.842105263157897</v>
      </c>
      <c r="Q27" s="90">
        <v>5.2631578947368425</v>
      </c>
      <c r="R27" s="90">
        <v>36.842105263157897</v>
      </c>
      <c r="S27" s="90">
        <v>26.315789473684209</v>
      </c>
      <c r="T27" s="90">
        <v>15.789473684210526</v>
      </c>
      <c r="U27" s="100">
        <v>19</v>
      </c>
    </row>
    <row r="28" spans="1:21" x14ac:dyDescent="0.35">
      <c r="A28" t="s">
        <v>12</v>
      </c>
      <c r="B28" s="100">
        <v>2</v>
      </c>
      <c r="C28" s="100">
        <v>615</v>
      </c>
      <c r="D28" s="90">
        <v>58.823529411764703</v>
      </c>
      <c r="E28" s="90">
        <v>58.823529411764703</v>
      </c>
      <c r="F28" s="90">
        <v>23.529411764705884</v>
      </c>
      <c r="G28" s="90">
        <v>29.411764705882351</v>
      </c>
      <c r="H28" s="90">
        <v>0</v>
      </c>
      <c r="I28" s="90">
        <v>0</v>
      </c>
      <c r="J28" s="90">
        <v>17.647058823529413</v>
      </c>
      <c r="K28" s="90">
        <v>41.176470588235297</v>
      </c>
      <c r="L28" s="90">
        <v>76.470588235294116</v>
      </c>
      <c r="M28" s="90">
        <v>35.294117647058826</v>
      </c>
      <c r="N28" s="90">
        <v>0</v>
      </c>
      <c r="O28" s="90">
        <v>17.647058823529413</v>
      </c>
      <c r="P28" s="90">
        <v>11.764705882352942</v>
      </c>
      <c r="Q28" s="90">
        <v>52.941176470588232</v>
      </c>
      <c r="R28" s="90">
        <v>23.529411764705884</v>
      </c>
      <c r="S28" s="90">
        <v>17.647058823529413</v>
      </c>
      <c r="T28" s="90">
        <v>41.176470588235297</v>
      </c>
      <c r="U28" s="100">
        <v>17</v>
      </c>
    </row>
    <row r="29" spans="1:21" x14ac:dyDescent="0.35">
      <c r="A29" t="s">
        <v>23</v>
      </c>
      <c r="B29" s="100">
        <v>4</v>
      </c>
      <c r="C29" s="100">
        <v>710</v>
      </c>
      <c r="D29" s="90">
        <v>79.069767441860463</v>
      </c>
      <c r="E29" s="90">
        <v>20.930232558139537</v>
      </c>
      <c r="F29" s="90">
        <v>18.604651162790699</v>
      </c>
      <c r="G29" s="90">
        <v>20.930232558139537</v>
      </c>
      <c r="H29" s="90">
        <v>16.279069767441861</v>
      </c>
      <c r="I29" s="90">
        <v>6.9767441860465116</v>
      </c>
      <c r="J29" s="90">
        <v>25.581395348837209</v>
      </c>
      <c r="K29" s="90">
        <v>34.883720930232556</v>
      </c>
      <c r="L29" s="90">
        <v>58.139534883720927</v>
      </c>
      <c r="M29" s="90">
        <v>13.953488372093023</v>
      </c>
      <c r="N29" s="90">
        <v>60.465116279069768</v>
      </c>
      <c r="O29" s="90">
        <v>20.930232558139537</v>
      </c>
      <c r="P29" s="90">
        <v>30.232558139534884</v>
      </c>
      <c r="Q29" s="90">
        <v>18.604651162790699</v>
      </c>
      <c r="R29" s="90">
        <v>23.255813953488371</v>
      </c>
      <c r="S29" s="90">
        <v>18.604651162790699</v>
      </c>
      <c r="T29" s="90">
        <v>9.3023255813953494</v>
      </c>
      <c r="U29" s="100">
        <v>43</v>
      </c>
    </row>
    <row r="30" spans="1:21" x14ac:dyDescent="0.35">
      <c r="A30" t="s">
        <v>64</v>
      </c>
      <c r="B30" s="100">
        <v>4</v>
      </c>
      <c r="C30" s="100">
        <v>680</v>
      </c>
      <c r="D30" s="90">
        <v>70.454545454545453</v>
      </c>
      <c r="E30" s="90">
        <v>65.909090909090907</v>
      </c>
      <c r="F30" s="90">
        <v>36.363636363636367</v>
      </c>
      <c r="G30" s="90">
        <v>6.8181818181818183</v>
      </c>
      <c r="H30" s="90">
        <v>11.363636363636363</v>
      </c>
      <c r="I30" s="90">
        <v>2.2727272727272729</v>
      </c>
      <c r="J30" s="90">
        <v>11.363636363636363</v>
      </c>
      <c r="K30" s="90">
        <v>25</v>
      </c>
      <c r="L30" s="90">
        <v>65.909090909090907</v>
      </c>
      <c r="M30" s="90">
        <v>6.8181818181818183</v>
      </c>
      <c r="N30" s="90">
        <v>29.545454545454547</v>
      </c>
      <c r="O30" s="90">
        <v>27.272727272727273</v>
      </c>
      <c r="P30" s="90">
        <v>20.454545454545453</v>
      </c>
      <c r="Q30" s="90">
        <v>6.8181818181818183</v>
      </c>
      <c r="R30" s="90">
        <v>40.909090909090907</v>
      </c>
      <c r="S30" s="90">
        <v>15.909090909090908</v>
      </c>
      <c r="T30" s="90">
        <v>9.0909090909090917</v>
      </c>
      <c r="U30" s="100">
        <v>44</v>
      </c>
    </row>
    <row r="31" spans="1:21" x14ac:dyDescent="0.35">
      <c r="A31" t="s">
        <v>65</v>
      </c>
      <c r="B31" s="100">
        <v>1</v>
      </c>
      <c r="C31" s="100">
        <v>686</v>
      </c>
      <c r="D31" s="90">
        <v>76.470588235294116</v>
      </c>
      <c r="E31" s="90">
        <v>64.705882352941174</v>
      </c>
      <c r="F31" s="90">
        <v>11.764705882352942</v>
      </c>
      <c r="G31" s="90">
        <v>47.058823529411768</v>
      </c>
      <c r="H31" s="90">
        <v>17.647058823529413</v>
      </c>
      <c r="I31" s="90">
        <v>0</v>
      </c>
      <c r="J31" s="90">
        <v>17.647058823529413</v>
      </c>
      <c r="K31" s="90">
        <v>29.411764705882351</v>
      </c>
      <c r="L31" s="90">
        <v>58.823529411764703</v>
      </c>
      <c r="M31" s="90">
        <v>11.764705882352942</v>
      </c>
      <c r="N31" s="90">
        <v>29.411764705882351</v>
      </c>
      <c r="O31" s="90">
        <v>11.764705882352942</v>
      </c>
      <c r="P31" s="90">
        <v>58.823529411764703</v>
      </c>
      <c r="Q31" s="90">
        <v>11.764705882352942</v>
      </c>
      <c r="R31" s="90">
        <v>29.411764705882351</v>
      </c>
      <c r="S31" s="90">
        <v>11.764705882352942</v>
      </c>
      <c r="T31" s="90">
        <v>11.764705882352942</v>
      </c>
      <c r="U31" s="100">
        <v>17</v>
      </c>
    </row>
    <row r="32" spans="1:21" x14ac:dyDescent="0.35">
      <c r="A32" t="s">
        <v>13</v>
      </c>
      <c r="B32" s="100">
        <v>5</v>
      </c>
      <c r="C32" s="100">
        <v>734</v>
      </c>
      <c r="D32" s="90">
        <v>56.363636363636367</v>
      </c>
      <c r="E32" s="90">
        <v>10.909090909090908</v>
      </c>
      <c r="F32" s="90">
        <v>23.636363636363637</v>
      </c>
      <c r="G32" s="90">
        <v>38.18181818181818</v>
      </c>
      <c r="H32" s="90">
        <v>23.636363636363637</v>
      </c>
      <c r="I32" s="90">
        <v>20</v>
      </c>
      <c r="J32" s="90">
        <v>23.636363636363637</v>
      </c>
      <c r="K32" s="90">
        <v>40</v>
      </c>
      <c r="L32" s="90">
        <v>60</v>
      </c>
      <c r="M32" s="90">
        <v>12.727272727272727</v>
      </c>
      <c r="N32" s="90">
        <v>34.545454545454547</v>
      </c>
      <c r="O32" s="90">
        <v>25.454545454545453</v>
      </c>
      <c r="P32" s="90">
        <v>14.545454545454545</v>
      </c>
      <c r="Q32" s="90">
        <v>27.272727272727273</v>
      </c>
      <c r="R32" s="90">
        <v>29.09090909090909</v>
      </c>
      <c r="S32" s="90">
        <v>10.909090909090908</v>
      </c>
      <c r="T32" s="90">
        <v>34.545454545454547</v>
      </c>
      <c r="U32" s="100">
        <v>55</v>
      </c>
    </row>
    <row r="33" spans="1:21" x14ac:dyDescent="0.35">
      <c r="A33" t="s">
        <v>14</v>
      </c>
      <c r="B33" s="100">
        <v>3</v>
      </c>
      <c r="C33" s="100">
        <v>753</v>
      </c>
      <c r="D33" s="90">
        <v>91.666666666666671</v>
      </c>
      <c r="E33" s="90">
        <v>44.444444444444443</v>
      </c>
      <c r="F33" s="90">
        <v>55.555555555555557</v>
      </c>
      <c r="G33" s="90">
        <v>11.111111111111111</v>
      </c>
      <c r="H33" s="90">
        <v>27.777777777777779</v>
      </c>
      <c r="I33" s="90">
        <v>8.3333333333333339</v>
      </c>
      <c r="J33" s="90">
        <v>5.5555555555555554</v>
      </c>
      <c r="K33" s="90">
        <v>13.888888888888889</v>
      </c>
      <c r="L33" s="90">
        <v>55.555555555555557</v>
      </c>
      <c r="M33" s="90">
        <v>8.3333333333333339</v>
      </c>
      <c r="N33" s="90">
        <v>58.333333333333336</v>
      </c>
      <c r="O33" s="90">
        <v>22.222222222222221</v>
      </c>
      <c r="P33" s="90">
        <v>36.111111111111114</v>
      </c>
      <c r="Q33" s="90">
        <v>5.5555555555555554</v>
      </c>
      <c r="R33" s="90">
        <v>22.222222222222221</v>
      </c>
      <c r="S33" s="90">
        <v>2.7777777777777777</v>
      </c>
      <c r="T33" s="90">
        <v>19.444444444444443</v>
      </c>
      <c r="U33" s="100">
        <v>36</v>
      </c>
    </row>
    <row r="34" spans="1:21" x14ac:dyDescent="0.35">
      <c r="A34" t="s">
        <v>67</v>
      </c>
      <c r="B34" s="100">
        <v>1</v>
      </c>
      <c r="C34" s="100">
        <v>783</v>
      </c>
      <c r="D34" s="90">
        <v>57.692307692307693</v>
      </c>
      <c r="E34" s="90">
        <v>38.46153846153846</v>
      </c>
      <c r="F34" s="90">
        <v>38.46153846153846</v>
      </c>
      <c r="G34" s="90">
        <v>34.615384615384613</v>
      </c>
      <c r="H34" s="90">
        <v>19.23076923076923</v>
      </c>
      <c r="I34" s="90">
        <v>3.8461538461538463</v>
      </c>
      <c r="J34" s="90">
        <v>15.384615384615385</v>
      </c>
      <c r="K34" s="90">
        <v>34.615384615384613</v>
      </c>
      <c r="L34" s="90">
        <v>73.07692307692308</v>
      </c>
      <c r="M34" s="90">
        <v>26.923076923076923</v>
      </c>
      <c r="N34" s="90">
        <v>7.6923076923076925</v>
      </c>
      <c r="O34" s="90">
        <v>19.23076923076923</v>
      </c>
      <c r="P34" s="90">
        <v>26.923076923076923</v>
      </c>
      <c r="Q34" s="90">
        <v>15.384615384615385</v>
      </c>
      <c r="R34" s="90">
        <v>30.76923076923077</v>
      </c>
      <c r="S34" s="90">
        <v>26.923076923076923</v>
      </c>
      <c r="T34" s="90">
        <v>3.8461538461538463</v>
      </c>
      <c r="U34" s="100">
        <v>26</v>
      </c>
    </row>
    <row r="35" spans="1:21" x14ac:dyDescent="0.35">
      <c r="A35" t="s">
        <v>68</v>
      </c>
      <c r="B35" s="100">
        <v>6</v>
      </c>
      <c r="C35" s="100">
        <v>837</v>
      </c>
      <c r="D35" s="90">
        <v>84.615384615384613</v>
      </c>
      <c r="E35" s="90">
        <v>53.846153846153847</v>
      </c>
      <c r="F35" s="90">
        <v>30.76923076923077</v>
      </c>
      <c r="G35" s="90">
        <v>21.153846153846153</v>
      </c>
      <c r="H35" s="90">
        <v>15.384615384615385</v>
      </c>
      <c r="I35" s="90">
        <v>11.538461538461538</v>
      </c>
      <c r="J35" s="90">
        <v>13.461538461538462</v>
      </c>
      <c r="K35" s="90">
        <v>3.8461538461538463</v>
      </c>
      <c r="L35" s="90">
        <v>61.53846153846154</v>
      </c>
      <c r="M35" s="90">
        <v>3.8461538461538463</v>
      </c>
      <c r="N35" s="90">
        <v>51.92307692307692</v>
      </c>
      <c r="O35" s="90">
        <v>34.615384615384613</v>
      </c>
      <c r="P35" s="90">
        <v>19.23076923076923</v>
      </c>
      <c r="Q35" s="90">
        <v>19.23076923076923</v>
      </c>
      <c r="R35" s="90">
        <v>32.692307692307693</v>
      </c>
      <c r="S35" s="90">
        <v>11.538461538461538</v>
      </c>
      <c r="T35" s="90">
        <v>11.538461538461538</v>
      </c>
      <c r="U35" s="100">
        <v>52</v>
      </c>
    </row>
    <row r="36" spans="1:21" x14ac:dyDescent="0.35">
      <c r="A36" t="s">
        <v>69</v>
      </c>
      <c r="B36" s="100">
        <v>4</v>
      </c>
      <c r="C36" s="100">
        <v>851</v>
      </c>
      <c r="D36" s="90">
        <v>58.974358974358971</v>
      </c>
      <c r="E36" s="90">
        <v>33.333333333333336</v>
      </c>
      <c r="F36" s="90">
        <v>25.641025641025642</v>
      </c>
      <c r="G36" s="90">
        <v>17.948717948717949</v>
      </c>
      <c r="H36" s="90">
        <v>7.6923076923076925</v>
      </c>
      <c r="I36" s="90">
        <v>5.1282051282051286</v>
      </c>
      <c r="J36" s="90">
        <v>41.025641025641029</v>
      </c>
      <c r="K36" s="90">
        <v>69.230769230769226</v>
      </c>
      <c r="L36" s="90">
        <v>71.794871794871796</v>
      </c>
      <c r="M36" s="90">
        <v>10.256410256410257</v>
      </c>
      <c r="N36" s="90">
        <v>41.025641025641029</v>
      </c>
      <c r="O36" s="90">
        <v>17.948717948717949</v>
      </c>
      <c r="P36" s="90">
        <v>17.948717948717949</v>
      </c>
      <c r="Q36" s="90">
        <v>30.76923076923077</v>
      </c>
      <c r="R36" s="90">
        <v>48.717948717948715</v>
      </c>
      <c r="S36" s="90">
        <v>0</v>
      </c>
      <c r="T36" s="90">
        <v>12.820512820512821</v>
      </c>
      <c r="U36" s="100">
        <v>39</v>
      </c>
    </row>
    <row r="37" spans="1:21" x14ac:dyDescent="0.35">
      <c r="A37" t="s">
        <v>15</v>
      </c>
      <c r="B37" s="100">
        <v>6</v>
      </c>
      <c r="C37" s="100">
        <v>853</v>
      </c>
      <c r="D37" s="90">
        <v>78.461538461538467</v>
      </c>
      <c r="E37" s="90">
        <v>47.692307692307693</v>
      </c>
      <c r="F37" s="90">
        <v>32.307692307692307</v>
      </c>
      <c r="G37" s="90">
        <v>21.53846153846154</v>
      </c>
      <c r="H37" s="90">
        <v>24.615384615384617</v>
      </c>
      <c r="I37" s="90">
        <v>7.6923076923076925</v>
      </c>
      <c r="J37" s="90">
        <v>12.307692307692308</v>
      </c>
      <c r="K37" s="90">
        <v>20</v>
      </c>
      <c r="L37" s="90">
        <v>61.53846153846154</v>
      </c>
      <c r="M37" s="90">
        <v>9.2307692307692299</v>
      </c>
      <c r="N37" s="90">
        <v>47.692307692307693</v>
      </c>
      <c r="O37" s="90">
        <v>29.23076923076923</v>
      </c>
      <c r="P37" s="90">
        <v>27.692307692307693</v>
      </c>
      <c r="Q37" s="90">
        <v>20</v>
      </c>
      <c r="R37" s="90">
        <v>35.384615384615387</v>
      </c>
      <c r="S37" s="90">
        <v>9.2307692307692299</v>
      </c>
      <c r="T37" s="90">
        <v>15.384615384615385</v>
      </c>
      <c r="U37" s="100">
        <v>65</v>
      </c>
    </row>
    <row r="38" spans="1:21" x14ac:dyDescent="0.35">
      <c r="A38" t="s">
        <v>16</v>
      </c>
      <c r="B38" s="100">
        <v>5</v>
      </c>
      <c r="C38" s="100">
        <v>905</v>
      </c>
      <c r="D38" s="90">
        <v>84.21052631578948</v>
      </c>
      <c r="E38" s="90">
        <v>36.842105263157897</v>
      </c>
      <c r="F38" s="90">
        <v>26.315789473684209</v>
      </c>
      <c r="G38" s="90">
        <v>7.0175438596491224</v>
      </c>
      <c r="H38" s="90">
        <v>10.526315789473685</v>
      </c>
      <c r="I38" s="90">
        <v>8.7719298245614041</v>
      </c>
      <c r="J38" s="90">
        <v>31.578947368421051</v>
      </c>
      <c r="K38" s="90">
        <v>17.543859649122808</v>
      </c>
      <c r="L38" s="90">
        <v>64.912280701754383</v>
      </c>
      <c r="M38" s="90">
        <v>5.2631578947368425</v>
      </c>
      <c r="N38" s="90">
        <v>42.10526315789474</v>
      </c>
      <c r="O38" s="90">
        <v>31.578947368421051</v>
      </c>
      <c r="P38" s="90">
        <v>17.543859649122808</v>
      </c>
      <c r="Q38" s="90">
        <v>50.877192982456137</v>
      </c>
      <c r="R38" s="90">
        <v>47.368421052631582</v>
      </c>
      <c r="S38" s="90">
        <v>10.526315789473685</v>
      </c>
      <c r="T38" s="90">
        <v>10.526315789473685</v>
      </c>
      <c r="U38" s="100">
        <v>57</v>
      </c>
    </row>
    <row r="39" spans="1:21" x14ac:dyDescent="0.35">
      <c r="A39" t="s">
        <v>71</v>
      </c>
      <c r="B39" s="100">
        <v>6</v>
      </c>
      <c r="C39" s="100">
        <v>92</v>
      </c>
      <c r="D39" s="90">
        <v>68.539325842696627</v>
      </c>
      <c r="E39" s="90">
        <v>61.797752808988761</v>
      </c>
      <c r="F39" s="90">
        <v>26.966292134831459</v>
      </c>
      <c r="G39" s="90">
        <v>23.59550561797753</v>
      </c>
      <c r="H39" s="90">
        <v>20.224719101123597</v>
      </c>
      <c r="I39" s="90">
        <v>10.112359550561798</v>
      </c>
      <c r="J39" s="90">
        <v>11.235955056179776</v>
      </c>
      <c r="K39" s="90">
        <v>12.359550561797754</v>
      </c>
      <c r="L39" s="90">
        <v>55.056179775280896</v>
      </c>
      <c r="M39" s="90">
        <v>10.112359550561798</v>
      </c>
      <c r="N39" s="90">
        <v>43.820224719101127</v>
      </c>
      <c r="O39" s="90">
        <v>35.955056179775283</v>
      </c>
      <c r="P39" s="90">
        <v>30.337078651685392</v>
      </c>
      <c r="Q39" s="90">
        <v>30.337078651685392</v>
      </c>
      <c r="R39" s="90">
        <v>35.955056179775283</v>
      </c>
      <c r="S39" s="90">
        <v>7.8651685393258424</v>
      </c>
      <c r="T39" s="90">
        <v>12.359550561797754</v>
      </c>
      <c r="U39" s="100">
        <v>89</v>
      </c>
    </row>
    <row r="40" spans="1:21" x14ac:dyDescent="0.35">
      <c r="A40" t="s">
        <v>17</v>
      </c>
      <c r="B40" s="100">
        <v>1</v>
      </c>
      <c r="C40" s="100">
        <v>934</v>
      </c>
      <c r="D40" s="90">
        <v>25</v>
      </c>
      <c r="E40" s="90">
        <v>50</v>
      </c>
      <c r="F40" s="90">
        <v>25</v>
      </c>
      <c r="G40" s="90">
        <v>37.5</v>
      </c>
      <c r="H40" s="90">
        <v>12.5</v>
      </c>
      <c r="I40" s="90">
        <v>0</v>
      </c>
      <c r="J40" s="90">
        <v>12.5</v>
      </c>
      <c r="K40" s="90">
        <v>50</v>
      </c>
      <c r="L40" s="90">
        <v>56.25</v>
      </c>
      <c r="M40" s="90">
        <v>25</v>
      </c>
      <c r="N40" s="90">
        <v>12.5</v>
      </c>
      <c r="O40" s="90">
        <v>31.25</v>
      </c>
      <c r="P40" s="90">
        <v>31.25</v>
      </c>
      <c r="Q40" s="90">
        <v>25</v>
      </c>
      <c r="R40" s="90">
        <v>37.5</v>
      </c>
      <c r="S40" s="90">
        <v>6.25</v>
      </c>
      <c r="T40" s="90">
        <v>31.25</v>
      </c>
      <c r="U40" s="100">
        <v>16</v>
      </c>
    </row>
    <row r="41" spans="1:21" x14ac:dyDescent="0.35">
      <c r="A41" t="s">
        <v>24</v>
      </c>
      <c r="B41" s="100">
        <v>2</v>
      </c>
      <c r="C41" s="100">
        <v>946</v>
      </c>
      <c r="D41" s="90">
        <v>41.935483870967744</v>
      </c>
      <c r="E41" s="90">
        <v>38.70967741935484</v>
      </c>
      <c r="F41" s="90">
        <v>38.70967741935484</v>
      </c>
      <c r="G41" s="90">
        <v>29.032258064516128</v>
      </c>
      <c r="H41" s="90">
        <v>22.580645161290324</v>
      </c>
      <c r="I41" s="90">
        <v>16.129032258064516</v>
      </c>
      <c r="J41" s="90">
        <v>12.903225806451612</v>
      </c>
      <c r="K41" s="90">
        <v>41.935483870967744</v>
      </c>
      <c r="L41" s="90">
        <v>58.064516129032256</v>
      </c>
      <c r="M41" s="90">
        <v>6.4516129032258061</v>
      </c>
      <c r="N41" s="90">
        <v>12.903225806451612</v>
      </c>
      <c r="O41" s="90">
        <v>41.935483870967744</v>
      </c>
      <c r="P41" s="90">
        <v>25.806451612903224</v>
      </c>
      <c r="Q41" s="90">
        <v>25.806451612903224</v>
      </c>
      <c r="R41" s="90">
        <v>35.483870967741936</v>
      </c>
      <c r="S41" s="90">
        <v>6.4516129032258061</v>
      </c>
      <c r="T41" s="90">
        <v>19.35483870967742</v>
      </c>
      <c r="U41" s="100">
        <v>31</v>
      </c>
    </row>
    <row r="44" spans="1:21" x14ac:dyDescent="0.35">
      <c r="A44" t="s">
        <v>126</v>
      </c>
      <c r="D44" t="s">
        <v>177</v>
      </c>
      <c r="E44" t="s">
        <v>178</v>
      </c>
      <c r="F44" t="s">
        <v>179</v>
      </c>
      <c r="G44" t="s">
        <v>180</v>
      </c>
      <c r="H44" t="s">
        <v>181</v>
      </c>
      <c r="I44" t="s">
        <v>182</v>
      </c>
      <c r="J44" t="s">
        <v>183</v>
      </c>
      <c r="K44" t="s">
        <v>184</v>
      </c>
      <c r="L44" t="s">
        <v>185</v>
      </c>
      <c r="M44" t="s">
        <v>186</v>
      </c>
      <c r="N44" t="s">
        <v>187</v>
      </c>
      <c r="O44" t="s">
        <v>188</v>
      </c>
      <c r="P44" t="s">
        <v>189</v>
      </c>
      <c r="Q44" t="s">
        <v>190</v>
      </c>
      <c r="R44" t="s">
        <v>191</v>
      </c>
      <c r="S44" t="s">
        <v>192</v>
      </c>
      <c r="T44" t="s">
        <v>193</v>
      </c>
      <c r="U44" t="s">
        <v>79</v>
      </c>
    </row>
    <row r="45" spans="1:21" x14ac:dyDescent="0.35">
      <c r="A45" t="s">
        <v>130</v>
      </c>
      <c r="D45" s="90">
        <v>64.900662251655632</v>
      </c>
      <c r="E45" s="90">
        <v>38.410596026490069</v>
      </c>
      <c r="F45" s="90">
        <v>29.139072847682119</v>
      </c>
      <c r="G45" s="90">
        <v>27.814569536423843</v>
      </c>
      <c r="H45" s="90">
        <v>13.245033112582782</v>
      </c>
      <c r="I45" s="90">
        <v>5.9602649006622519</v>
      </c>
      <c r="J45" s="90">
        <v>13.907284768211921</v>
      </c>
      <c r="K45" s="90">
        <v>43.70860927152318</v>
      </c>
      <c r="L45" s="90">
        <v>62.913907284768214</v>
      </c>
      <c r="M45" s="90">
        <v>19.867549668874172</v>
      </c>
      <c r="N45" s="90">
        <v>23.178807947019866</v>
      </c>
      <c r="O45" s="90">
        <v>20.52980132450331</v>
      </c>
      <c r="P45" s="90">
        <v>37.086092715231786</v>
      </c>
      <c r="Q45" s="90">
        <v>9.9337748344370862</v>
      </c>
      <c r="R45" s="90">
        <v>35.76158940397351</v>
      </c>
      <c r="S45" s="90">
        <v>14.569536423841059</v>
      </c>
      <c r="T45" s="90">
        <v>22.516556291390728</v>
      </c>
      <c r="U45" s="100">
        <v>151</v>
      </c>
    </row>
    <row r="46" spans="1:21" x14ac:dyDescent="0.35">
      <c r="A46" t="s">
        <v>131</v>
      </c>
      <c r="D46" s="90">
        <v>52.777777777777779</v>
      </c>
      <c r="E46" s="90">
        <v>34.722222222222221</v>
      </c>
      <c r="F46" s="90">
        <v>36.805555555555557</v>
      </c>
      <c r="G46" s="90">
        <v>27.083333333333332</v>
      </c>
      <c r="H46" s="90">
        <v>18.75</v>
      </c>
      <c r="I46" s="90">
        <v>11.111111111111111</v>
      </c>
      <c r="J46" s="90">
        <v>20.833333333333332</v>
      </c>
      <c r="K46" s="90">
        <v>43.75</v>
      </c>
      <c r="L46" s="90">
        <v>70.138888888888886</v>
      </c>
      <c r="M46" s="90">
        <v>15.277777777777779</v>
      </c>
      <c r="N46" s="90">
        <v>25</v>
      </c>
      <c r="O46" s="90">
        <v>25</v>
      </c>
      <c r="P46" s="90">
        <v>24.305555555555557</v>
      </c>
      <c r="Q46" s="90">
        <v>29.166666666666668</v>
      </c>
      <c r="R46" s="90">
        <v>28.472222222222221</v>
      </c>
      <c r="S46" s="90">
        <v>9.0277777777777786</v>
      </c>
      <c r="T46" s="90">
        <v>18.055555555555557</v>
      </c>
      <c r="U46" s="100">
        <v>144</v>
      </c>
    </row>
    <row r="47" spans="1:21" x14ac:dyDescent="0.35">
      <c r="A47" t="s">
        <v>132</v>
      </c>
      <c r="D47" s="90">
        <v>69.776119402985074</v>
      </c>
      <c r="E47" s="90">
        <v>33.582089552238806</v>
      </c>
      <c r="F47" s="90">
        <v>41.044776119402982</v>
      </c>
      <c r="G47" s="90">
        <v>17.53731343283582</v>
      </c>
      <c r="H47" s="90">
        <v>18.656716417910449</v>
      </c>
      <c r="I47" s="90">
        <v>5.9701492537313436</v>
      </c>
      <c r="J47" s="90">
        <v>22.388059701492537</v>
      </c>
      <c r="K47" s="90">
        <v>29.477611940298509</v>
      </c>
      <c r="L47" s="90">
        <v>67.537313432835816</v>
      </c>
      <c r="M47" s="90">
        <v>18.656716417910449</v>
      </c>
      <c r="N47" s="90">
        <v>33.582089552238806</v>
      </c>
      <c r="O47" s="90">
        <v>15.298507462686567</v>
      </c>
      <c r="P47" s="90">
        <v>28.35820895522388</v>
      </c>
      <c r="Q47" s="90">
        <v>22.014925373134329</v>
      </c>
      <c r="R47" s="90">
        <v>32.835820895522389</v>
      </c>
      <c r="S47" s="90">
        <v>9.3283582089552244</v>
      </c>
      <c r="T47" s="90">
        <v>16.791044776119403</v>
      </c>
      <c r="U47" s="100">
        <v>268</v>
      </c>
    </row>
    <row r="48" spans="1:21" x14ac:dyDescent="0.35">
      <c r="A48" t="s">
        <v>133</v>
      </c>
      <c r="D48" s="90">
        <v>75.581395348837205</v>
      </c>
      <c r="E48" s="90">
        <v>34.108527131782942</v>
      </c>
      <c r="F48" s="90">
        <v>31.007751937984494</v>
      </c>
      <c r="G48" s="90">
        <v>15.891472868217054</v>
      </c>
      <c r="H48" s="90">
        <v>14.34108527131783</v>
      </c>
      <c r="I48" s="90">
        <v>5.4263565891472867</v>
      </c>
      <c r="J48" s="90">
        <v>21.31782945736434</v>
      </c>
      <c r="K48" s="90">
        <v>28.68217054263566</v>
      </c>
      <c r="L48" s="90">
        <v>66.279069767441854</v>
      </c>
      <c r="M48" s="90">
        <v>10.465116279069768</v>
      </c>
      <c r="N48" s="90">
        <v>39.922480620155042</v>
      </c>
      <c r="O48" s="90">
        <v>25.193798449612402</v>
      </c>
      <c r="P48" s="90">
        <v>27.519379844961239</v>
      </c>
      <c r="Q48" s="90">
        <v>20.930232558139537</v>
      </c>
      <c r="R48" s="90">
        <v>36.046511627906973</v>
      </c>
      <c r="S48" s="90">
        <v>12.403100775193799</v>
      </c>
      <c r="T48" s="90">
        <v>12.403100775193799</v>
      </c>
      <c r="U48" s="100">
        <v>258</v>
      </c>
    </row>
    <row r="49" spans="1:21" x14ac:dyDescent="0.35">
      <c r="A49" t="s">
        <v>134</v>
      </c>
      <c r="D49" s="90">
        <v>65.97014925373135</v>
      </c>
      <c r="E49" s="90">
        <v>22.388059701492537</v>
      </c>
      <c r="F49" s="90">
        <v>26.865671641791046</v>
      </c>
      <c r="G49" s="90">
        <v>26.268656716417912</v>
      </c>
      <c r="H49" s="90">
        <v>14.626865671641792</v>
      </c>
      <c r="I49" s="90">
        <v>10.746268656716419</v>
      </c>
      <c r="J49" s="90">
        <v>28.955223880597014</v>
      </c>
      <c r="K49" s="90">
        <v>33.432835820895519</v>
      </c>
      <c r="L49" s="90">
        <v>66.268656716417908</v>
      </c>
      <c r="M49" s="90">
        <v>12.238805970149254</v>
      </c>
      <c r="N49" s="90">
        <v>35.522388059701491</v>
      </c>
      <c r="O49" s="90">
        <v>29.552238805970148</v>
      </c>
      <c r="P49" s="90">
        <v>20.597014925373134</v>
      </c>
      <c r="Q49" s="90">
        <v>33.731343283582092</v>
      </c>
      <c r="R49" s="90">
        <v>31.343283582089551</v>
      </c>
      <c r="S49" s="90">
        <v>11.044776119402986</v>
      </c>
      <c r="T49" s="90">
        <v>20</v>
      </c>
      <c r="U49" s="100">
        <v>335</v>
      </c>
    </row>
    <row r="50" spans="1:21" x14ac:dyDescent="0.35">
      <c r="A50" t="s">
        <v>135</v>
      </c>
      <c r="D50" s="90">
        <v>77.339901477832512</v>
      </c>
      <c r="E50" s="90">
        <v>51.724137931034484</v>
      </c>
      <c r="F50" s="90">
        <v>26.354679802955665</v>
      </c>
      <c r="G50" s="90">
        <v>25.615763546798028</v>
      </c>
      <c r="H50" s="90">
        <v>18.96551724137931</v>
      </c>
      <c r="I50" s="90">
        <v>12.315270935960591</v>
      </c>
      <c r="J50" s="90">
        <v>14.285714285714286</v>
      </c>
      <c r="K50" s="90">
        <v>9.8522167487684733</v>
      </c>
      <c r="L50" s="90">
        <v>57.881773399014776</v>
      </c>
      <c r="M50" s="90">
        <v>10.098522167487685</v>
      </c>
      <c r="N50" s="90">
        <v>45.320197044334975</v>
      </c>
      <c r="O50" s="90">
        <v>33.251231527093594</v>
      </c>
      <c r="P50" s="90">
        <v>24.137931034482758</v>
      </c>
      <c r="Q50" s="90">
        <v>25.615763546798028</v>
      </c>
      <c r="R50" s="90">
        <v>31.773399014778324</v>
      </c>
      <c r="S50" s="90">
        <v>10.83743842364532</v>
      </c>
      <c r="T50" s="90">
        <v>14.532019704433498</v>
      </c>
      <c r="U50" s="100">
        <v>406</v>
      </c>
    </row>
    <row r="52" spans="1:21" x14ac:dyDescent="0.35">
      <c r="D52" t="s">
        <v>177</v>
      </c>
      <c r="E52" t="s">
        <v>178</v>
      </c>
      <c r="F52" t="s">
        <v>179</v>
      </c>
      <c r="G52" t="s">
        <v>180</v>
      </c>
      <c r="H52" t="s">
        <v>181</v>
      </c>
      <c r="I52" t="s">
        <v>182</v>
      </c>
      <c r="J52" t="s">
        <v>183</v>
      </c>
      <c r="K52" t="s">
        <v>184</v>
      </c>
      <c r="L52" t="s">
        <v>185</v>
      </c>
      <c r="M52" t="s">
        <v>186</v>
      </c>
      <c r="N52" t="s">
        <v>187</v>
      </c>
      <c r="O52" t="s">
        <v>188</v>
      </c>
      <c r="P52" t="s">
        <v>189</v>
      </c>
      <c r="Q52" t="s">
        <v>190</v>
      </c>
      <c r="R52" t="s">
        <v>191</v>
      </c>
      <c r="S52" t="s">
        <v>192</v>
      </c>
      <c r="T52" t="s">
        <v>193</v>
      </c>
      <c r="U52" t="s">
        <v>79</v>
      </c>
    </row>
    <row r="53" spans="1:21" x14ac:dyDescent="0.35">
      <c r="A53" t="s">
        <v>127</v>
      </c>
      <c r="D53" s="90">
        <v>69.846350832266324</v>
      </c>
      <c r="E53" s="90">
        <v>36.555697823303454</v>
      </c>
      <c r="F53" s="90">
        <v>30.985915492957748</v>
      </c>
      <c r="G53" s="90">
        <v>23.111395646606915</v>
      </c>
      <c r="H53" s="90">
        <v>16.645326504481435</v>
      </c>
      <c r="I53" s="90">
        <v>9.0268886043533936</v>
      </c>
      <c r="J53" s="90">
        <v>20.550576184379</v>
      </c>
      <c r="K53" s="90">
        <v>27.784891165172855</v>
      </c>
      <c r="L53" s="90">
        <v>64.340588988476313</v>
      </c>
      <c r="M53" s="90">
        <v>13.50832266325224</v>
      </c>
      <c r="N53" s="90">
        <v>36.299615877080669</v>
      </c>
      <c r="O53" s="90">
        <v>26.056338028169016</v>
      </c>
      <c r="P53" s="90">
        <v>25.92829705505762</v>
      </c>
      <c r="Q53" s="90">
        <v>24.775928297055057</v>
      </c>
      <c r="R53" s="90">
        <v>32.650448143405889</v>
      </c>
      <c r="S53" s="90">
        <v>11.075544174135723</v>
      </c>
      <c r="T53" s="90">
        <v>16.837387964148526</v>
      </c>
      <c r="U53" s="100">
        <v>1562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2" workbookViewId="0">
      <selection activeCell="A69" sqref="A69:L69"/>
    </sheetView>
  </sheetViews>
  <sheetFormatPr defaultRowHeight="14.6" x14ac:dyDescent="0.35"/>
  <sheetData>
    <row r="1" spans="1:14" x14ac:dyDescent="0.35">
      <c r="A1" t="s">
        <v>122</v>
      </c>
      <c r="B1" t="s">
        <v>123</v>
      </c>
      <c r="C1" t="s">
        <v>124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79</v>
      </c>
    </row>
    <row r="2" spans="1:14" x14ac:dyDescent="0.35">
      <c r="A2" t="s">
        <v>44</v>
      </c>
      <c r="B2" s="100">
        <v>1</v>
      </c>
      <c r="C2" s="100">
        <v>18</v>
      </c>
      <c r="D2" s="90">
        <v>4.25</v>
      </c>
      <c r="E2" s="90">
        <v>3.7333333333333334</v>
      </c>
      <c r="F2" s="90">
        <v>3.5625</v>
      </c>
      <c r="G2" s="90">
        <v>3.5625</v>
      </c>
      <c r="H2" s="90">
        <v>2.8</v>
      </c>
      <c r="I2" s="90">
        <v>4.5</v>
      </c>
      <c r="J2" s="90">
        <v>4.375</v>
      </c>
      <c r="K2" s="90">
        <v>3.1333333333333333</v>
      </c>
      <c r="L2" s="90">
        <v>2.9333333333333331</v>
      </c>
      <c r="M2" s="90">
        <v>3.7692307692307692</v>
      </c>
      <c r="N2" s="100">
        <v>16</v>
      </c>
    </row>
    <row r="3" spans="1:14" x14ac:dyDescent="0.35">
      <c r="A3" t="s">
        <v>45</v>
      </c>
      <c r="B3" s="100">
        <v>6</v>
      </c>
      <c r="C3" s="100">
        <v>49</v>
      </c>
      <c r="D3" s="90">
        <v>3.7</v>
      </c>
      <c r="E3" s="90">
        <v>3.2749999999999999</v>
      </c>
      <c r="F3" s="90">
        <v>2.7160493827160495</v>
      </c>
      <c r="G3" s="90">
        <v>2.7530864197530862</v>
      </c>
      <c r="H3" s="90">
        <v>2.6790123456790123</v>
      </c>
      <c r="I3" s="90">
        <v>4.5063291139240507</v>
      </c>
      <c r="J3" s="90">
        <v>4.3125</v>
      </c>
      <c r="K3" s="90">
        <v>2.8</v>
      </c>
      <c r="L3" s="90">
        <v>2.4102564102564101</v>
      </c>
      <c r="M3" s="90">
        <v>3.7922077922077921</v>
      </c>
      <c r="N3" s="100">
        <v>82</v>
      </c>
    </row>
    <row r="4" spans="1:14" x14ac:dyDescent="0.35">
      <c r="A4" t="s">
        <v>46</v>
      </c>
      <c r="B4" s="100">
        <v>2</v>
      </c>
      <c r="C4" s="100">
        <v>82</v>
      </c>
      <c r="D4" s="90">
        <v>4.333333333333333</v>
      </c>
      <c r="E4" s="90">
        <v>3.85</v>
      </c>
      <c r="F4" s="90">
        <v>3.5238095238095237</v>
      </c>
      <c r="G4" s="90">
        <v>3.0952380952380953</v>
      </c>
      <c r="H4" s="90">
        <v>2.8571428571428572</v>
      </c>
      <c r="I4" s="90">
        <v>4.6500000000000004</v>
      </c>
      <c r="J4" s="90">
        <v>4.5</v>
      </c>
      <c r="K4" s="90">
        <v>2.85</v>
      </c>
      <c r="L4" s="90">
        <v>3.0952380952380953</v>
      </c>
      <c r="M4" s="90">
        <v>3.6842105263157894</v>
      </c>
      <c r="N4" s="100">
        <v>21</v>
      </c>
    </row>
    <row r="5" spans="1:14" x14ac:dyDescent="0.35">
      <c r="A5" t="s">
        <v>2</v>
      </c>
      <c r="B5" s="100">
        <v>1</v>
      </c>
      <c r="C5" s="100">
        <v>97</v>
      </c>
      <c r="D5" s="90">
        <v>4.1428571428571432</v>
      </c>
      <c r="E5" s="90">
        <v>3.5714285714285716</v>
      </c>
      <c r="F5" s="90">
        <v>2.2857142857142856</v>
      </c>
      <c r="G5" s="90">
        <v>2.5</v>
      </c>
      <c r="H5" s="90">
        <v>2</v>
      </c>
      <c r="I5" s="90">
        <v>3.8461538461538463</v>
      </c>
      <c r="J5" s="90">
        <v>3.5</v>
      </c>
      <c r="K5" s="90">
        <v>2</v>
      </c>
      <c r="L5" s="90">
        <v>2.6666666666666665</v>
      </c>
      <c r="M5" s="90">
        <v>3.6428571428571428</v>
      </c>
      <c r="N5" s="100">
        <v>14</v>
      </c>
    </row>
    <row r="6" spans="1:14" x14ac:dyDescent="0.35">
      <c r="A6" t="s">
        <v>3</v>
      </c>
      <c r="B6" s="100">
        <v>4</v>
      </c>
      <c r="C6" s="100">
        <v>54</v>
      </c>
      <c r="D6" s="90">
        <v>4.258064516129032</v>
      </c>
      <c r="E6" s="90">
        <v>3.3</v>
      </c>
      <c r="F6" s="90">
        <v>3.4516129032258065</v>
      </c>
      <c r="G6" s="90">
        <v>2.9666666666666668</v>
      </c>
      <c r="H6" s="90">
        <v>3</v>
      </c>
      <c r="I6" s="90">
        <v>4.4000000000000004</v>
      </c>
      <c r="J6" s="90">
        <v>4.3448275862068968</v>
      </c>
      <c r="K6" s="90">
        <v>3.4333333333333331</v>
      </c>
      <c r="L6" s="90">
        <v>2.75</v>
      </c>
      <c r="M6" s="90">
        <v>3.7857142857142856</v>
      </c>
      <c r="N6" s="100">
        <v>31</v>
      </c>
    </row>
    <row r="7" spans="1:14" x14ac:dyDescent="0.35">
      <c r="A7" t="s">
        <v>4</v>
      </c>
      <c r="B7" s="100">
        <v>5</v>
      </c>
      <c r="C7" s="100">
        <v>109</v>
      </c>
      <c r="D7" s="90">
        <v>3.7804878048780486</v>
      </c>
      <c r="E7" s="90">
        <v>3.5249999999999999</v>
      </c>
      <c r="F7" s="90">
        <v>3.1707317073170733</v>
      </c>
      <c r="G7" s="90">
        <v>2.95</v>
      </c>
      <c r="H7" s="90">
        <v>2.6341463414634148</v>
      </c>
      <c r="I7" s="90">
        <v>4.3414634146341466</v>
      </c>
      <c r="J7" s="90">
        <v>4.1219512195121952</v>
      </c>
      <c r="K7" s="90">
        <v>3.0975609756097562</v>
      </c>
      <c r="L7" s="90">
        <v>3.3846153846153846</v>
      </c>
      <c r="M7" s="90">
        <v>4</v>
      </c>
      <c r="N7" s="100">
        <v>41</v>
      </c>
    </row>
    <row r="8" spans="1:14" x14ac:dyDescent="0.35">
      <c r="A8" t="s">
        <v>48</v>
      </c>
      <c r="B8" s="100">
        <v>2</v>
      </c>
      <c r="C8" s="100">
        <v>148</v>
      </c>
      <c r="D8" s="90">
        <v>3.6111111111111112</v>
      </c>
      <c r="E8" s="90">
        <v>2.9444444444444446</v>
      </c>
      <c r="F8" s="90">
        <v>2.6666666666666665</v>
      </c>
      <c r="G8" s="90">
        <v>2.6111111111111112</v>
      </c>
      <c r="H8" s="90">
        <v>2.3888888888888888</v>
      </c>
      <c r="I8" s="90">
        <v>3.7777777777777777</v>
      </c>
      <c r="J8" s="90">
        <v>3.8333333333333335</v>
      </c>
      <c r="K8" s="90">
        <v>2.1666666666666665</v>
      </c>
      <c r="L8" s="90">
        <v>2.3333333333333335</v>
      </c>
      <c r="M8" s="90">
        <v>3.4705882352941178</v>
      </c>
      <c r="N8" s="100">
        <v>18</v>
      </c>
    </row>
    <row r="9" spans="1:14" x14ac:dyDescent="0.35">
      <c r="A9" t="s">
        <v>5</v>
      </c>
      <c r="B9" s="100">
        <v>6</v>
      </c>
      <c r="C9" s="100">
        <v>179</v>
      </c>
      <c r="D9" s="90">
        <v>3.9454545454545453</v>
      </c>
      <c r="E9" s="90">
        <v>3.3214285714285716</v>
      </c>
      <c r="F9" s="90">
        <v>2.8596491228070176</v>
      </c>
      <c r="G9" s="90">
        <v>2.8275862068965516</v>
      </c>
      <c r="H9" s="90">
        <v>2.8363636363636364</v>
      </c>
      <c r="I9" s="90">
        <v>4.4285714285714288</v>
      </c>
      <c r="J9" s="90">
        <v>4.2321428571428568</v>
      </c>
      <c r="K9" s="90">
        <v>3.1052631578947367</v>
      </c>
      <c r="L9" s="90">
        <v>2.9482758620689653</v>
      </c>
      <c r="M9" s="90">
        <v>3.7924528301886791</v>
      </c>
      <c r="N9" s="100">
        <v>59</v>
      </c>
    </row>
    <row r="10" spans="1:14" x14ac:dyDescent="0.35">
      <c r="A10" t="s">
        <v>50</v>
      </c>
      <c r="B10" s="100">
        <v>3</v>
      </c>
      <c r="C10" s="100">
        <v>214</v>
      </c>
      <c r="D10" s="90">
        <v>4.166666666666667</v>
      </c>
      <c r="E10" s="90">
        <v>3.4583333333333335</v>
      </c>
      <c r="F10" s="90">
        <v>3.28</v>
      </c>
      <c r="G10" s="90">
        <v>2.8</v>
      </c>
      <c r="H10" s="90">
        <v>2.76</v>
      </c>
      <c r="I10" s="90">
        <v>4.375</v>
      </c>
      <c r="J10" s="90">
        <v>4</v>
      </c>
      <c r="K10" s="90">
        <v>2.9583333333333335</v>
      </c>
      <c r="L10" s="90">
        <v>2.88</v>
      </c>
      <c r="M10" s="90">
        <v>3.5833333333333335</v>
      </c>
      <c r="N10" s="100">
        <v>25</v>
      </c>
    </row>
    <row r="11" spans="1:14" x14ac:dyDescent="0.35">
      <c r="A11" t="s">
        <v>51</v>
      </c>
      <c r="B11" s="100">
        <v>1</v>
      </c>
      <c r="C11" s="100">
        <v>239</v>
      </c>
      <c r="D11" s="90">
        <v>3.9545454545454546</v>
      </c>
      <c r="E11" s="90">
        <v>2.9047619047619047</v>
      </c>
      <c r="F11" s="90">
        <v>3</v>
      </c>
      <c r="G11" s="90">
        <v>2.8181818181818183</v>
      </c>
      <c r="H11" s="90">
        <v>2.3181818181818183</v>
      </c>
      <c r="I11" s="90">
        <v>4.1818181818181817</v>
      </c>
      <c r="J11" s="90">
        <v>4.2380952380952381</v>
      </c>
      <c r="K11" s="90">
        <v>2.4545454545454546</v>
      </c>
      <c r="L11" s="90">
        <v>2.6363636363636362</v>
      </c>
      <c r="M11" s="90">
        <v>3.75</v>
      </c>
      <c r="N11" s="100">
        <v>22</v>
      </c>
    </row>
    <row r="12" spans="1:14" x14ac:dyDescent="0.35">
      <c r="A12" t="s">
        <v>22</v>
      </c>
      <c r="B12" s="100">
        <v>2</v>
      </c>
      <c r="C12" s="100">
        <v>322</v>
      </c>
      <c r="D12" s="90">
        <v>3.8571428571428572</v>
      </c>
      <c r="E12" s="90">
        <v>3</v>
      </c>
      <c r="F12" s="90">
        <v>2.6785714285714284</v>
      </c>
      <c r="G12" s="90">
        <v>2.9285714285714284</v>
      </c>
      <c r="H12" s="90">
        <v>2.75</v>
      </c>
      <c r="I12" s="90">
        <v>3.8461538461538463</v>
      </c>
      <c r="J12" s="90">
        <v>3.4074074074074074</v>
      </c>
      <c r="K12" s="90">
        <v>2.7857142857142856</v>
      </c>
      <c r="L12" s="90">
        <v>2.9642857142857144</v>
      </c>
      <c r="M12" s="90">
        <v>3.4615384615384617</v>
      </c>
      <c r="N12" s="100">
        <v>28</v>
      </c>
    </row>
    <row r="13" spans="1:14" x14ac:dyDescent="0.35">
      <c r="A13" t="s">
        <v>52</v>
      </c>
      <c r="B13" s="100">
        <v>3</v>
      </c>
      <c r="C13" s="100">
        <v>249</v>
      </c>
      <c r="D13" s="90">
        <v>3.8378378378378377</v>
      </c>
      <c r="E13" s="90">
        <v>3.4054054054054053</v>
      </c>
      <c r="F13" s="90">
        <v>2.5833333333333335</v>
      </c>
      <c r="G13" s="90">
        <v>2.5833333333333335</v>
      </c>
      <c r="H13" s="90">
        <v>2.1944444444444446</v>
      </c>
      <c r="I13" s="90">
        <v>3.9714285714285715</v>
      </c>
      <c r="J13" s="90">
        <v>3.8333333333333335</v>
      </c>
      <c r="K13" s="90">
        <v>2.4324324324324325</v>
      </c>
      <c r="L13" s="90">
        <v>2.8888888888888888</v>
      </c>
      <c r="M13" s="90">
        <v>3.5714285714285716</v>
      </c>
      <c r="N13" s="100">
        <v>37</v>
      </c>
    </row>
    <row r="14" spans="1:14" x14ac:dyDescent="0.35">
      <c r="A14" t="s">
        <v>72</v>
      </c>
      <c r="B14" s="100">
        <v>4</v>
      </c>
      <c r="C14" s="100">
        <v>272</v>
      </c>
      <c r="D14" s="90">
        <v>3.6610169491525424</v>
      </c>
      <c r="E14" s="90">
        <v>3.5762711864406778</v>
      </c>
      <c r="F14" s="90">
        <v>3.1666666666666665</v>
      </c>
      <c r="G14" s="90">
        <v>2.8688524590163933</v>
      </c>
      <c r="H14" s="90">
        <v>2.85</v>
      </c>
      <c r="I14" s="90">
        <v>4.5084745762711869</v>
      </c>
      <c r="J14" s="90">
        <v>4.0535714285714288</v>
      </c>
      <c r="K14" s="90">
        <v>3.3278688524590163</v>
      </c>
      <c r="L14" s="90">
        <v>3.5</v>
      </c>
      <c r="M14" s="90">
        <v>3.4909090909090907</v>
      </c>
      <c r="N14" s="100">
        <v>61</v>
      </c>
    </row>
    <row r="15" spans="1:14" x14ac:dyDescent="0.35">
      <c r="A15" t="s">
        <v>6</v>
      </c>
      <c r="B15" s="100">
        <v>5</v>
      </c>
      <c r="C15" s="100">
        <v>285</v>
      </c>
      <c r="D15" s="90">
        <v>3.893939393939394</v>
      </c>
      <c r="E15" s="90">
        <v>3.5076923076923077</v>
      </c>
      <c r="F15" s="90">
        <v>2.9710144927536231</v>
      </c>
      <c r="G15" s="90">
        <v>2.8823529411764706</v>
      </c>
      <c r="H15" s="90">
        <v>2.9701492537313432</v>
      </c>
      <c r="I15" s="90">
        <v>4.2647058823529411</v>
      </c>
      <c r="J15" s="90">
        <v>4.0147058823529411</v>
      </c>
      <c r="K15" s="90">
        <v>3.3235294117647061</v>
      </c>
      <c r="L15" s="90">
        <v>3.6363636363636362</v>
      </c>
      <c r="M15" s="90">
        <v>3.5901639344262297</v>
      </c>
      <c r="N15" s="100">
        <v>70</v>
      </c>
    </row>
    <row r="16" spans="1:14" x14ac:dyDescent="0.35">
      <c r="A16" t="s">
        <v>73</v>
      </c>
      <c r="B16" s="100">
        <v>3</v>
      </c>
      <c r="C16" s="100">
        <v>301</v>
      </c>
      <c r="D16" s="90">
        <v>4.0285714285714285</v>
      </c>
      <c r="E16" s="90">
        <v>3.7428571428571429</v>
      </c>
      <c r="F16" s="90">
        <v>3.2857142857142856</v>
      </c>
      <c r="G16" s="90">
        <v>3.1944444444444446</v>
      </c>
      <c r="H16" s="90">
        <v>3.3714285714285714</v>
      </c>
      <c r="I16" s="90">
        <v>4.4705882352941178</v>
      </c>
      <c r="J16" s="90">
        <v>4.0606060606060606</v>
      </c>
      <c r="K16" s="90">
        <v>3.4</v>
      </c>
      <c r="L16" s="90">
        <v>2.8611111111111112</v>
      </c>
      <c r="M16" s="90">
        <v>3.6969696969696968</v>
      </c>
      <c r="N16" s="100">
        <v>36</v>
      </c>
    </row>
    <row r="17" spans="1:14" x14ac:dyDescent="0.35">
      <c r="A17" t="s">
        <v>7</v>
      </c>
      <c r="B17" s="100">
        <v>3</v>
      </c>
      <c r="C17" s="100">
        <v>305</v>
      </c>
      <c r="D17" s="90">
        <v>4.032258064516129</v>
      </c>
      <c r="E17" s="90">
        <v>3.4666666666666668</v>
      </c>
      <c r="F17" s="90">
        <v>3.096774193548387</v>
      </c>
      <c r="G17" s="90">
        <v>2.870967741935484</v>
      </c>
      <c r="H17" s="90">
        <v>3.096774193548387</v>
      </c>
      <c r="I17" s="90">
        <v>4.290322580645161</v>
      </c>
      <c r="J17" s="90">
        <v>3.9333333333333331</v>
      </c>
      <c r="K17" s="90">
        <v>3.0333333333333332</v>
      </c>
      <c r="L17" s="90">
        <v>3.2580645161290325</v>
      </c>
      <c r="M17" s="90">
        <v>3.6451612903225805</v>
      </c>
      <c r="N17" s="100">
        <v>31</v>
      </c>
    </row>
    <row r="18" spans="1:14" x14ac:dyDescent="0.35">
      <c r="A18" t="s">
        <v>8</v>
      </c>
      <c r="B18" s="100">
        <v>5</v>
      </c>
      <c r="C18" s="100">
        <v>405</v>
      </c>
      <c r="D18" s="90">
        <v>3.95</v>
      </c>
      <c r="E18" s="90">
        <v>3.5249999999999999</v>
      </c>
      <c r="F18" s="90">
        <v>2.7179487179487181</v>
      </c>
      <c r="G18" s="90">
        <v>2.5</v>
      </c>
      <c r="H18" s="90">
        <v>2.5384615384615383</v>
      </c>
      <c r="I18" s="90">
        <v>4.5128205128205128</v>
      </c>
      <c r="J18" s="90">
        <v>4.333333333333333</v>
      </c>
      <c r="K18" s="90">
        <v>3.05</v>
      </c>
      <c r="L18" s="90">
        <v>3.2749999999999999</v>
      </c>
      <c r="M18" s="90">
        <v>4</v>
      </c>
      <c r="N18" s="100">
        <v>40</v>
      </c>
    </row>
    <row r="19" spans="1:14" x14ac:dyDescent="0.35">
      <c r="A19" t="s">
        <v>9</v>
      </c>
      <c r="B19" s="100">
        <v>4</v>
      </c>
      <c r="C19" s="100">
        <v>418</v>
      </c>
      <c r="D19" s="90">
        <v>4.3499999999999996</v>
      </c>
      <c r="E19" s="90">
        <v>3.9249999999999998</v>
      </c>
      <c r="F19" s="90">
        <v>3.1794871794871793</v>
      </c>
      <c r="G19" s="90">
        <v>2.95</v>
      </c>
      <c r="H19" s="90">
        <v>3.35</v>
      </c>
      <c r="I19" s="90">
        <v>4.5897435897435894</v>
      </c>
      <c r="J19" s="90">
        <v>4.1749999999999998</v>
      </c>
      <c r="K19" s="90">
        <v>3.358974358974359</v>
      </c>
      <c r="L19" s="90">
        <v>3.4054054054054053</v>
      </c>
      <c r="M19" s="90">
        <v>4.25</v>
      </c>
      <c r="N19" s="100">
        <v>40</v>
      </c>
    </row>
    <row r="20" spans="1:14" x14ac:dyDescent="0.35">
      <c r="A20" t="s">
        <v>56</v>
      </c>
      <c r="B20" s="100">
        <v>3</v>
      </c>
      <c r="C20" s="100">
        <v>426</v>
      </c>
      <c r="D20" s="90">
        <v>4</v>
      </c>
      <c r="E20" s="90">
        <v>3.3684210526315788</v>
      </c>
      <c r="F20" s="90">
        <v>3.0789473684210527</v>
      </c>
      <c r="G20" s="90">
        <v>2.9473684210526314</v>
      </c>
      <c r="H20" s="90">
        <v>2.9189189189189189</v>
      </c>
      <c r="I20" s="90">
        <v>4.3684210526315788</v>
      </c>
      <c r="J20" s="90">
        <v>4.1388888888888893</v>
      </c>
      <c r="K20" s="90">
        <v>2.763157894736842</v>
      </c>
      <c r="L20" s="90">
        <v>3.0277777777777777</v>
      </c>
      <c r="M20" s="90">
        <v>3.9393939393939394</v>
      </c>
      <c r="N20" s="100">
        <v>38</v>
      </c>
    </row>
    <row r="21" spans="1:14" x14ac:dyDescent="0.35">
      <c r="A21" t="s">
        <v>74</v>
      </c>
      <c r="B21" s="100">
        <v>5</v>
      </c>
      <c r="C21" s="100">
        <v>491</v>
      </c>
      <c r="D21" s="90">
        <v>3.6956521739130435</v>
      </c>
      <c r="E21" s="90">
        <v>3.3285714285714287</v>
      </c>
      <c r="F21" s="90">
        <v>3.1</v>
      </c>
      <c r="G21" s="90">
        <v>3.1</v>
      </c>
      <c r="H21" s="90">
        <v>2.8857142857142857</v>
      </c>
      <c r="I21" s="90">
        <v>4.628571428571429</v>
      </c>
      <c r="J21" s="90">
        <v>4.333333333333333</v>
      </c>
      <c r="K21" s="90">
        <v>3.0972222222222223</v>
      </c>
      <c r="L21" s="90">
        <v>2.9710144927536231</v>
      </c>
      <c r="M21" s="90">
        <v>3.746031746031746</v>
      </c>
      <c r="N21" s="100">
        <v>72</v>
      </c>
    </row>
    <row r="22" spans="1:14" x14ac:dyDescent="0.35">
      <c r="A22" t="s">
        <v>10</v>
      </c>
      <c r="B22" s="100">
        <v>2.978723404255319</v>
      </c>
      <c r="C22" s="100">
        <v>499</v>
      </c>
      <c r="D22" s="90">
        <v>4.0869565217391308</v>
      </c>
      <c r="E22" s="90">
        <v>3.3404255319148937</v>
      </c>
      <c r="F22" s="90">
        <v>3.1304347826086958</v>
      </c>
      <c r="G22" s="90">
        <v>3.4347826086956523</v>
      </c>
      <c r="H22" s="90">
        <v>2.9565217391304346</v>
      </c>
      <c r="I22" s="90">
        <v>3.3488372093023258</v>
      </c>
      <c r="J22" s="90">
        <v>3.3333333333333335</v>
      </c>
      <c r="K22" s="90">
        <v>3.1304347826086958</v>
      </c>
      <c r="L22" s="90">
        <v>2.847826086956522</v>
      </c>
      <c r="M22" s="90">
        <v>3.5609756097560976</v>
      </c>
      <c r="N22" s="100">
        <v>47</v>
      </c>
    </row>
    <row r="23" spans="1:14" x14ac:dyDescent="0.35">
      <c r="A23" t="s">
        <v>58</v>
      </c>
      <c r="B23" s="100">
        <v>3</v>
      </c>
      <c r="C23" s="100">
        <v>535</v>
      </c>
      <c r="D23" s="90">
        <v>4</v>
      </c>
      <c r="E23" s="90">
        <v>3.1578947368421053</v>
      </c>
      <c r="F23" s="90">
        <v>2.8421052631578947</v>
      </c>
      <c r="G23" s="90">
        <v>2.3157894736842106</v>
      </c>
      <c r="H23" s="90">
        <v>2.6315789473684212</v>
      </c>
      <c r="I23" s="90">
        <v>4.1578947368421053</v>
      </c>
      <c r="J23" s="90">
        <v>4.117647058823529</v>
      </c>
      <c r="K23" s="90">
        <v>2.4736842105263159</v>
      </c>
      <c r="L23" s="90">
        <v>2.6842105263157894</v>
      </c>
      <c r="M23" s="90">
        <v>3.9411764705882355</v>
      </c>
      <c r="N23" s="100">
        <v>19</v>
      </c>
    </row>
    <row r="24" spans="1:14" x14ac:dyDescent="0.35">
      <c r="A24" t="s">
        <v>11</v>
      </c>
      <c r="B24" s="100">
        <v>6</v>
      </c>
      <c r="C24" s="100">
        <v>464</v>
      </c>
      <c r="D24" s="90">
        <v>3.7068965517241379</v>
      </c>
      <c r="E24" s="90">
        <v>3.4137931034482758</v>
      </c>
      <c r="F24" s="90">
        <v>2.6271186440677967</v>
      </c>
      <c r="G24" s="90">
        <v>2.7288135593220337</v>
      </c>
      <c r="H24" s="90">
        <v>2.8103448275862069</v>
      </c>
      <c r="I24" s="90">
        <v>4.4406779661016946</v>
      </c>
      <c r="J24" s="90">
        <v>4.2203389830508478</v>
      </c>
      <c r="K24" s="90">
        <v>3.1355932203389831</v>
      </c>
      <c r="L24" s="90">
        <v>2.8620689655172415</v>
      </c>
      <c r="M24" s="90">
        <v>3.5272727272727273</v>
      </c>
      <c r="N24" s="100">
        <v>59</v>
      </c>
    </row>
    <row r="25" spans="1:14" x14ac:dyDescent="0.35">
      <c r="A25" t="s">
        <v>60</v>
      </c>
      <c r="B25" s="100">
        <v>1</v>
      </c>
      <c r="C25" s="100">
        <v>578</v>
      </c>
      <c r="D25" s="90">
        <v>3.9523809523809526</v>
      </c>
      <c r="E25" s="90">
        <v>3.4285714285714284</v>
      </c>
      <c r="F25" s="90">
        <v>2.9523809523809526</v>
      </c>
      <c r="G25" s="90">
        <v>2.3333333333333335</v>
      </c>
      <c r="H25" s="90">
        <v>2.9047619047619047</v>
      </c>
      <c r="I25" s="90">
        <v>4.4000000000000004</v>
      </c>
      <c r="J25" s="90">
        <v>4</v>
      </c>
      <c r="K25" s="90">
        <v>2.85</v>
      </c>
      <c r="L25" s="90">
        <v>3.1904761904761907</v>
      </c>
      <c r="M25" s="90">
        <v>3.8</v>
      </c>
      <c r="N25" s="100">
        <v>21</v>
      </c>
    </row>
    <row r="26" spans="1:14" x14ac:dyDescent="0.35">
      <c r="A26" t="s">
        <v>61</v>
      </c>
      <c r="B26" s="100">
        <v>2</v>
      </c>
      <c r="C26" s="100">
        <v>581</v>
      </c>
      <c r="D26" s="90">
        <v>3.8928571428571428</v>
      </c>
      <c r="E26" s="90">
        <v>3.2857142857142856</v>
      </c>
      <c r="F26" s="90">
        <v>2.7142857142857144</v>
      </c>
      <c r="G26" s="90">
        <v>2.6785714285714284</v>
      </c>
      <c r="H26" s="90">
        <v>2.5</v>
      </c>
      <c r="I26" s="90">
        <v>4.2307692307692308</v>
      </c>
      <c r="J26" s="90">
        <v>4.0357142857142856</v>
      </c>
      <c r="K26" s="90">
        <v>2.7037037037037037</v>
      </c>
      <c r="L26" s="90">
        <v>2.7777777777777777</v>
      </c>
      <c r="M26" s="90">
        <v>3.5925925925925926</v>
      </c>
      <c r="N26" s="100">
        <v>28</v>
      </c>
    </row>
    <row r="27" spans="1:14" x14ac:dyDescent="0.35">
      <c r="A27" t="s">
        <v>62</v>
      </c>
      <c r="B27" s="100">
        <v>1</v>
      </c>
      <c r="C27" s="100">
        <v>592</v>
      </c>
      <c r="D27" s="90">
        <v>4.5789473684210522</v>
      </c>
      <c r="E27" s="90">
        <v>3.3333333333333335</v>
      </c>
      <c r="F27" s="90">
        <v>2.4210526315789473</v>
      </c>
      <c r="G27" s="90">
        <v>2.3157894736842106</v>
      </c>
      <c r="H27" s="90">
        <v>2.0526315789473686</v>
      </c>
      <c r="I27" s="90">
        <v>4.3157894736842106</v>
      </c>
      <c r="J27" s="90">
        <v>4</v>
      </c>
      <c r="K27" s="90">
        <v>2.263157894736842</v>
      </c>
      <c r="L27" s="90">
        <v>2.1176470588235294</v>
      </c>
      <c r="M27" s="90">
        <v>3.6111111111111112</v>
      </c>
      <c r="N27" s="100">
        <v>19</v>
      </c>
    </row>
    <row r="28" spans="1:14" x14ac:dyDescent="0.35">
      <c r="A28" t="s">
        <v>12</v>
      </c>
      <c r="B28" s="100">
        <v>2</v>
      </c>
      <c r="C28" s="100">
        <v>615</v>
      </c>
      <c r="D28" s="90">
        <v>4.2352941176470589</v>
      </c>
      <c r="E28" s="90">
        <v>3.5625</v>
      </c>
      <c r="F28" s="90">
        <v>2.7647058823529411</v>
      </c>
      <c r="G28" s="90">
        <v>2.4117647058823528</v>
      </c>
      <c r="H28" s="90">
        <v>2.2352941176470589</v>
      </c>
      <c r="I28" s="90">
        <v>4.3529411764705879</v>
      </c>
      <c r="J28" s="90">
        <v>4.117647058823529</v>
      </c>
      <c r="K28" s="90">
        <v>2.5882352941176472</v>
      </c>
      <c r="L28" s="90">
        <v>3</v>
      </c>
      <c r="M28" s="90">
        <v>3.6</v>
      </c>
      <c r="N28" s="100">
        <v>17</v>
      </c>
    </row>
    <row r="29" spans="1:14" x14ac:dyDescent="0.35">
      <c r="A29" t="s">
        <v>23</v>
      </c>
      <c r="B29" s="100">
        <v>4</v>
      </c>
      <c r="C29" s="100">
        <v>710</v>
      </c>
      <c r="D29" s="90">
        <v>4.0465116279069768</v>
      </c>
      <c r="E29" s="90">
        <v>3.1463414634146343</v>
      </c>
      <c r="F29" s="90">
        <v>2.9047619047619047</v>
      </c>
      <c r="G29" s="90">
        <v>2.3571428571428572</v>
      </c>
      <c r="H29" s="90">
        <v>3.3571428571428572</v>
      </c>
      <c r="I29" s="90">
        <v>4.1707317073170733</v>
      </c>
      <c r="J29" s="90">
        <v>4.1627906976744189</v>
      </c>
      <c r="K29" s="90">
        <v>3.4186046511627906</v>
      </c>
      <c r="L29" s="90">
        <v>3.2093023255813953</v>
      </c>
      <c r="M29" s="90">
        <v>3.3947368421052633</v>
      </c>
      <c r="N29" s="100">
        <v>43</v>
      </c>
    </row>
    <row r="30" spans="1:14" x14ac:dyDescent="0.35">
      <c r="A30" t="s">
        <v>64</v>
      </c>
      <c r="B30" s="100">
        <v>4</v>
      </c>
      <c r="C30" s="100">
        <v>680</v>
      </c>
      <c r="D30" s="90">
        <v>3.8863636363636362</v>
      </c>
      <c r="E30" s="90">
        <v>3.0454545454545454</v>
      </c>
      <c r="F30" s="90">
        <v>3</v>
      </c>
      <c r="G30" s="90">
        <v>2.9090909090909092</v>
      </c>
      <c r="H30" s="90">
        <v>2.7209302325581395</v>
      </c>
      <c r="I30" s="90">
        <v>4.3409090909090908</v>
      </c>
      <c r="J30" s="90">
        <v>3.9302325581395348</v>
      </c>
      <c r="K30" s="90">
        <v>2.6136363636363638</v>
      </c>
      <c r="L30" s="90">
        <v>2.5909090909090908</v>
      </c>
      <c r="M30" s="90">
        <v>3.8571428571428572</v>
      </c>
      <c r="N30" s="100">
        <v>44</v>
      </c>
    </row>
    <row r="31" spans="1:14" x14ac:dyDescent="0.35">
      <c r="A31" t="s">
        <v>65</v>
      </c>
      <c r="B31" s="100">
        <v>1</v>
      </c>
      <c r="C31" s="100">
        <v>686</v>
      </c>
      <c r="D31" s="90">
        <v>3.8</v>
      </c>
      <c r="E31" s="90">
        <v>3</v>
      </c>
      <c r="F31" s="90">
        <v>3</v>
      </c>
      <c r="G31" s="90">
        <v>2.7058823529411766</v>
      </c>
      <c r="H31" s="90">
        <v>2.2941176470588234</v>
      </c>
      <c r="I31" s="90">
        <v>4.4117647058823533</v>
      </c>
      <c r="J31" s="90">
        <v>4.4000000000000004</v>
      </c>
      <c r="K31" s="90">
        <v>2.1764705882352939</v>
      </c>
      <c r="L31" s="90">
        <v>3</v>
      </c>
      <c r="M31" s="90">
        <v>3.9285714285714284</v>
      </c>
      <c r="N31" s="100">
        <v>17</v>
      </c>
    </row>
    <row r="32" spans="1:14" x14ac:dyDescent="0.35">
      <c r="A32" t="s">
        <v>13</v>
      </c>
      <c r="B32" s="100">
        <v>5</v>
      </c>
      <c r="C32" s="100">
        <v>734</v>
      </c>
      <c r="D32" s="90">
        <v>3.7037037037037037</v>
      </c>
      <c r="E32" s="90">
        <v>3.6851851851851851</v>
      </c>
      <c r="F32" s="90">
        <v>3.074074074074074</v>
      </c>
      <c r="G32" s="90">
        <v>2.6545454545454548</v>
      </c>
      <c r="H32" s="90">
        <v>2.7962962962962963</v>
      </c>
      <c r="I32" s="90">
        <v>4.5490196078431371</v>
      </c>
      <c r="J32" s="90">
        <v>4.283018867924528</v>
      </c>
      <c r="K32" s="90">
        <v>3.1851851851851851</v>
      </c>
      <c r="L32" s="90">
        <v>3.5098039215686274</v>
      </c>
      <c r="M32" s="90">
        <v>3.7692307692307692</v>
      </c>
      <c r="N32" s="100">
        <v>55</v>
      </c>
    </row>
    <row r="33" spans="1:14" x14ac:dyDescent="0.35">
      <c r="A33" t="s">
        <v>14</v>
      </c>
      <c r="B33" s="100">
        <v>3</v>
      </c>
      <c r="C33" s="100">
        <v>753</v>
      </c>
      <c r="D33" s="90">
        <v>3.7222222222222223</v>
      </c>
      <c r="E33" s="90">
        <v>3.4166666666666665</v>
      </c>
      <c r="F33" s="90">
        <v>3.2777777777777777</v>
      </c>
      <c r="G33" s="90">
        <v>3.0277777777777777</v>
      </c>
      <c r="H33" s="90">
        <v>3</v>
      </c>
      <c r="I33" s="90">
        <v>4.3611111111111107</v>
      </c>
      <c r="J33" s="90">
        <v>4.371428571428571</v>
      </c>
      <c r="K33" s="90">
        <v>3.1666666666666665</v>
      </c>
      <c r="L33" s="90">
        <v>2.8571428571428572</v>
      </c>
      <c r="M33" s="90">
        <v>4</v>
      </c>
      <c r="N33" s="100">
        <v>36</v>
      </c>
    </row>
    <row r="34" spans="1:14" x14ac:dyDescent="0.35">
      <c r="A34" t="s">
        <v>67</v>
      </c>
      <c r="B34" s="100">
        <v>1</v>
      </c>
      <c r="C34" s="100">
        <v>783</v>
      </c>
      <c r="D34" s="90">
        <v>4.4615384615384617</v>
      </c>
      <c r="E34" s="90">
        <v>3.4166666666666665</v>
      </c>
      <c r="F34" s="90">
        <v>3.1923076923076925</v>
      </c>
      <c r="G34" s="90">
        <v>3.4615384615384617</v>
      </c>
      <c r="H34" s="90">
        <v>3.2307692307692308</v>
      </c>
      <c r="I34" s="90">
        <v>4.1538461538461542</v>
      </c>
      <c r="J34" s="90">
        <v>3.72</v>
      </c>
      <c r="K34" s="90">
        <v>2.92</v>
      </c>
      <c r="L34" s="90">
        <v>2.76</v>
      </c>
      <c r="M34" s="90">
        <v>4.08</v>
      </c>
      <c r="N34" s="100">
        <v>26</v>
      </c>
    </row>
    <row r="35" spans="1:14" x14ac:dyDescent="0.35">
      <c r="A35" t="s">
        <v>68</v>
      </c>
      <c r="B35" s="100">
        <v>6</v>
      </c>
      <c r="C35" s="100">
        <v>837</v>
      </c>
      <c r="D35" s="90">
        <v>3.7058823529411766</v>
      </c>
      <c r="E35" s="90">
        <v>3.5961538461538463</v>
      </c>
      <c r="F35" s="90">
        <v>3.04</v>
      </c>
      <c r="G35" s="90">
        <v>3.0384615384615383</v>
      </c>
      <c r="H35" s="90">
        <v>2.6923076923076925</v>
      </c>
      <c r="I35" s="90">
        <v>4.5</v>
      </c>
      <c r="J35" s="90">
        <v>4.1764705882352944</v>
      </c>
      <c r="K35" s="90">
        <v>3.0192307692307692</v>
      </c>
      <c r="L35" s="90">
        <v>2.8979591836734695</v>
      </c>
      <c r="M35" s="90">
        <v>3.8823529411764706</v>
      </c>
      <c r="N35" s="100">
        <v>52</v>
      </c>
    </row>
    <row r="36" spans="1:14" x14ac:dyDescent="0.35">
      <c r="A36" t="s">
        <v>69</v>
      </c>
      <c r="B36" s="100">
        <v>4</v>
      </c>
      <c r="C36" s="100">
        <v>851</v>
      </c>
      <c r="D36" s="90">
        <v>3.641025641025641</v>
      </c>
      <c r="E36" s="90">
        <v>3.4473684210526314</v>
      </c>
      <c r="F36" s="90">
        <v>3.1052631578947367</v>
      </c>
      <c r="G36" s="90">
        <v>3.5641025641025643</v>
      </c>
      <c r="H36" s="90">
        <v>3.2162162162162162</v>
      </c>
      <c r="I36" s="90">
        <v>4.4210526315789478</v>
      </c>
      <c r="J36" s="90">
        <v>4.0526315789473681</v>
      </c>
      <c r="K36" s="90">
        <v>2.9743589743589745</v>
      </c>
      <c r="L36" s="90">
        <v>3.0789473684210527</v>
      </c>
      <c r="M36" s="90">
        <v>3.8684210526315788</v>
      </c>
      <c r="N36" s="100">
        <v>39</v>
      </c>
    </row>
    <row r="37" spans="1:14" x14ac:dyDescent="0.35">
      <c r="A37" t="s">
        <v>15</v>
      </c>
      <c r="B37" s="100">
        <v>6</v>
      </c>
      <c r="C37" s="100">
        <v>853</v>
      </c>
      <c r="D37" s="90">
        <v>3.5625</v>
      </c>
      <c r="E37" s="90">
        <v>3.274193548387097</v>
      </c>
      <c r="F37" s="90">
        <v>3.0317460317460316</v>
      </c>
      <c r="G37" s="90">
        <v>3.0952380952380953</v>
      </c>
      <c r="H37" s="90">
        <v>2.6190476190476191</v>
      </c>
      <c r="I37" s="90">
        <v>4.46875</v>
      </c>
      <c r="J37" s="90">
        <v>4.145161290322581</v>
      </c>
      <c r="K37" s="90">
        <v>2.9344262295081966</v>
      </c>
      <c r="L37" s="90">
        <v>2.9193548387096775</v>
      </c>
      <c r="M37" s="90">
        <v>3.6721311475409837</v>
      </c>
      <c r="N37" s="100">
        <v>65</v>
      </c>
    </row>
    <row r="38" spans="1:14" x14ac:dyDescent="0.35">
      <c r="A38" t="s">
        <v>16</v>
      </c>
      <c r="B38" s="100">
        <v>5</v>
      </c>
      <c r="C38" s="100">
        <v>905</v>
      </c>
      <c r="D38" s="90">
        <v>3.6071428571428572</v>
      </c>
      <c r="E38" s="90">
        <v>3.4</v>
      </c>
      <c r="F38" s="90">
        <v>2.875</v>
      </c>
      <c r="G38" s="90">
        <v>3.3333333333333335</v>
      </c>
      <c r="H38" s="90">
        <v>2.8421052631578947</v>
      </c>
      <c r="I38" s="90">
        <v>4.0714285714285712</v>
      </c>
      <c r="J38" s="90">
        <v>4.1052631578947372</v>
      </c>
      <c r="K38" s="90">
        <v>3.2321428571428572</v>
      </c>
      <c r="L38" s="90">
        <v>3.1607142857142856</v>
      </c>
      <c r="M38" s="90">
        <v>3.7692307692307692</v>
      </c>
      <c r="N38" s="100">
        <v>57</v>
      </c>
    </row>
    <row r="39" spans="1:14" x14ac:dyDescent="0.35">
      <c r="A39" t="s">
        <v>71</v>
      </c>
      <c r="B39" s="100">
        <v>6</v>
      </c>
      <c r="C39" s="100">
        <v>92</v>
      </c>
      <c r="D39" s="90">
        <v>3.7209302325581395</v>
      </c>
      <c r="E39" s="90">
        <v>3.1785714285714284</v>
      </c>
      <c r="F39" s="90">
        <v>2.8488372093023258</v>
      </c>
      <c r="G39" s="90">
        <v>2.7931034482758621</v>
      </c>
      <c r="H39" s="90">
        <v>2.5632183908045976</v>
      </c>
      <c r="I39" s="90">
        <v>4.3488372093023253</v>
      </c>
      <c r="J39" s="90">
        <v>4.3214285714285712</v>
      </c>
      <c r="K39" s="90">
        <v>3.1176470588235294</v>
      </c>
      <c r="L39" s="90">
        <v>2.7619047619047619</v>
      </c>
      <c r="M39" s="90">
        <v>3.6749999999999998</v>
      </c>
      <c r="N39" s="100">
        <v>89</v>
      </c>
    </row>
    <row r="40" spans="1:14" x14ac:dyDescent="0.35">
      <c r="A40" t="s">
        <v>17</v>
      </c>
      <c r="B40" s="100">
        <v>1</v>
      </c>
      <c r="C40" s="100">
        <v>934</v>
      </c>
      <c r="D40" s="90">
        <v>4.4666666666666668</v>
      </c>
      <c r="E40" s="90">
        <v>3.9333333333333331</v>
      </c>
      <c r="F40" s="90">
        <v>3.0666666666666669</v>
      </c>
      <c r="G40" s="90">
        <v>2.9333333333333331</v>
      </c>
      <c r="H40" s="90">
        <v>3.2142857142857144</v>
      </c>
      <c r="I40" s="90">
        <v>4.5333333333333332</v>
      </c>
      <c r="J40" s="90">
        <v>3.8666666666666667</v>
      </c>
      <c r="K40" s="90">
        <v>3.0666666666666669</v>
      </c>
      <c r="L40" s="90">
        <v>3.1428571428571428</v>
      </c>
      <c r="M40" s="90">
        <v>4.0666666666666664</v>
      </c>
      <c r="N40" s="100">
        <v>16</v>
      </c>
    </row>
    <row r="41" spans="1:14" x14ac:dyDescent="0.35">
      <c r="A41" t="s">
        <v>24</v>
      </c>
      <c r="B41" s="100">
        <v>2</v>
      </c>
      <c r="C41" s="100">
        <v>946</v>
      </c>
      <c r="D41" s="90">
        <v>3.7096774193548385</v>
      </c>
      <c r="E41" s="90">
        <v>2.7333333333333334</v>
      </c>
      <c r="F41" s="90">
        <v>3.1</v>
      </c>
      <c r="G41" s="90">
        <v>3.1333333333333333</v>
      </c>
      <c r="H41" s="90">
        <v>2.5</v>
      </c>
      <c r="I41" s="90">
        <v>3.4</v>
      </c>
      <c r="J41" s="90">
        <v>3.5161290322580645</v>
      </c>
      <c r="K41" s="90">
        <v>2.8666666666666667</v>
      </c>
      <c r="L41" s="90">
        <v>3.1</v>
      </c>
      <c r="M41" s="90">
        <v>3.5769230769230771</v>
      </c>
      <c r="N41" s="100">
        <v>31</v>
      </c>
    </row>
    <row r="45" spans="1:14" x14ac:dyDescent="0.35">
      <c r="A45" t="s">
        <v>126</v>
      </c>
      <c r="D45" t="s">
        <v>194</v>
      </c>
      <c r="E45" t="s">
        <v>195</v>
      </c>
      <c r="F45" t="s">
        <v>196</v>
      </c>
      <c r="G45" t="s">
        <v>197</v>
      </c>
      <c r="H45" t="s">
        <v>198</v>
      </c>
      <c r="I45" t="s">
        <v>199</v>
      </c>
      <c r="J45" t="s">
        <v>200</v>
      </c>
      <c r="K45" t="s">
        <v>201</v>
      </c>
      <c r="L45" t="s">
        <v>202</v>
      </c>
      <c r="M45" t="s">
        <v>203</v>
      </c>
      <c r="N45" t="s">
        <v>79</v>
      </c>
    </row>
    <row r="46" spans="1:14" x14ac:dyDescent="0.35">
      <c r="A46" t="s">
        <v>130</v>
      </c>
      <c r="D46" s="90">
        <v>4.2094594594594597</v>
      </c>
      <c r="E46" s="90">
        <v>3.3888888888888888</v>
      </c>
      <c r="F46" s="90">
        <v>2.9530201342281881</v>
      </c>
      <c r="G46" s="90">
        <v>2.8466666666666667</v>
      </c>
      <c r="H46" s="90">
        <v>2.6283783783783785</v>
      </c>
      <c r="I46" s="90">
        <v>4.2905405405405403</v>
      </c>
      <c r="J46" s="90">
        <v>4.0068965517241377</v>
      </c>
      <c r="K46" s="90">
        <v>2.6190476190476191</v>
      </c>
      <c r="L46" s="90">
        <v>2.8028169014084505</v>
      </c>
      <c r="M46" s="90">
        <v>3.8417266187050361</v>
      </c>
      <c r="N46" s="100">
        <v>151</v>
      </c>
    </row>
    <row r="47" spans="1:14" x14ac:dyDescent="0.35">
      <c r="A47" t="s">
        <v>131</v>
      </c>
      <c r="D47" s="90">
        <v>3.9097222222222223</v>
      </c>
      <c r="E47" s="90">
        <v>3.1785714285714284</v>
      </c>
      <c r="F47" s="90">
        <v>2.9090909090909092</v>
      </c>
      <c r="G47" s="90">
        <v>2.8461538461538463</v>
      </c>
      <c r="H47" s="90">
        <v>2.5454545454545454</v>
      </c>
      <c r="I47" s="90">
        <v>3.9855072463768115</v>
      </c>
      <c r="J47" s="90">
        <v>3.8357142857142859</v>
      </c>
      <c r="K47" s="90">
        <v>2.6808510638297873</v>
      </c>
      <c r="L47" s="90">
        <v>2.8936170212765959</v>
      </c>
      <c r="M47" s="90">
        <v>3.5572519083969465</v>
      </c>
      <c r="N47" s="100">
        <v>144</v>
      </c>
    </row>
    <row r="48" spans="1:14" x14ac:dyDescent="0.35">
      <c r="A48" t="s">
        <v>132</v>
      </c>
      <c r="D48" s="90">
        <v>3.9811320754716979</v>
      </c>
      <c r="E48" s="90">
        <v>3.4301886792452829</v>
      </c>
      <c r="F48" s="90">
        <v>3.0792452830188681</v>
      </c>
      <c r="G48" s="90">
        <v>2.9586466165413534</v>
      </c>
      <c r="H48" s="90">
        <v>2.8897338403041823</v>
      </c>
      <c r="I48" s="90">
        <v>4.1389961389961387</v>
      </c>
      <c r="J48" s="90">
        <v>3.9409448818897639</v>
      </c>
      <c r="K48" s="90">
        <v>2.9545454545454546</v>
      </c>
      <c r="L48" s="90">
        <v>2.9239543726235739</v>
      </c>
      <c r="M48" s="90">
        <v>3.7327935222672064</v>
      </c>
      <c r="N48" s="100">
        <v>268</v>
      </c>
    </row>
    <row r="49" spans="1:14" x14ac:dyDescent="0.35">
      <c r="A49" t="s">
        <v>133</v>
      </c>
      <c r="D49" s="90">
        <v>3.94140625</v>
      </c>
      <c r="E49" s="90">
        <v>3.4166666666666665</v>
      </c>
      <c r="F49" s="90">
        <v>3.123015873015873</v>
      </c>
      <c r="G49" s="90">
        <v>2.921875</v>
      </c>
      <c r="H49" s="90">
        <v>3.0640000000000001</v>
      </c>
      <c r="I49" s="90">
        <v>4.4103585657370514</v>
      </c>
      <c r="J49" s="90">
        <v>4.1044176706827313</v>
      </c>
      <c r="K49" s="90">
        <v>3.18359375</v>
      </c>
      <c r="L49" s="90">
        <v>3.1280000000000001</v>
      </c>
      <c r="M49" s="90">
        <v>3.7593360995850622</v>
      </c>
      <c r="N49" s="100">
        <v>258</v>
      </c>
    </row>
    <row r="50" spans="1:14" x14ac:dyDescent="0.35">
      <c r="A50" t="s">
        <v>134</v>
      </c>
      <c r="D50" s="90">
        <v>3.7638036809815949</v>
      </c>
      <c r="E50" s="90">
        <v>3.4845679012345681</v>
      </c>
      <c r="F50" s="90">
        <v>2.9939209726443767</v>
      </c>
      <c r="G50" s="90">
        <v>2.9303030303030302</v>
      </c>
      <c r="H50" s="90">
        <v>2.8079268292682928</v>
      </c>
      <c r="I50" s="90">
        <v>4.3938461538461535</v>
      </c>
      <c r="J50" s="90">
        <v>4.192660550458716</v>
      </c>
      <c r="K50" s="90">
        <v>3.1752265861027191</v>
      </c>
      <c r="L50" s="90">
        <v>3.3146417445482865</v>
      </c>
      <c r="M50" s="90">
        <v>3.7889610389610389</v>
      </c>
      <c r="N50" s="100">
        <v>335</v>
      </c>
    </row>
    <row r="51" spans="1:14" x14ac:dyDescent="0.35">
      <c r="A51" t="s">
        <v>135</v>
      </c>
      <c r="D51" s="90">
        <v>3.718274111675127</v>
      </c>
      <c r="E51" s="90">
        <v>3.3239795918367347</v>
      </c>
      <c r="F51" s="90">
        <v>2.8434343434343434</v>
      </c>
      <c r="G51" s="90">
        <v>2.86</v>
      </c>
      <c r="H51" s="90">
        <v>2.6868686868686869</v>
      </c>
      <c r="I51" s="90">
        <v>4.4444444444444446</v>
      </c>
      <c r="J51" s="90">
        <v>4.2448979591836737</v>
      </c>
      <c r="K51" s="90">
        <v>3.0126903553299491</v>
      </c>
      <c r="L51" s="90">
        <v>2.7763496143958868</v>
      </c>
      <c r="M51" s="90">
        <v>3.7214854111405837</v>
      </c>
      <c r="N51" s="100">
        <v>406</v>
      </c>
    </row>
    <row r="53" spans="1:14" x14ac:dyDescent="0.35">
      <c r="D53" t="s">
        <v>194</v>
      </c>
      <c r="E53" t="s">
        <v>195</v>
      </c>
      <c r="F53" t="s">
        <v>196</v>
      </c>
      <c r="G53" t="s">
        <v>197</v>
      </c>
      <c r="H53" t="s">
        <v>198</v>
      </c>
      <c r="I53" t="s">
        <v>199</v>
      </c>
      <c r="J53" t="s">
        <v>200</v>
      </c>
      <c r="K53" t="s">
        <v>201</v>
      </c>
      <c r="L53" t="s">
        <v>202</v>
      </c>
      <c r="M53" t="s">
        <v>203</v>
      </c>
      <c r="N53" t="s">
        <v>79</v>
      </c>
    </row>
    <row r="54" spans="1:14" x14ac:dyDescent="0.35">
      <c r="A54" t="s">
        <v>127</v>
      </c>
      <c r="D54" s="90">
        <v>3.8760600130463145</v>
      </c>
      <c r="E54" s="90">
        <v>3.3849703361898484</v>
      </c>
      <c r="F54" s="90">
        <v>2.9791395045632334</v>
      </c>
      <c r="G54" s="90">
        <v>2.8996763754045309</v>
      </c>
      <c r="H54" s="90">
        <v>2.7905759162303663</v>
      </c>
      <c r="I54" s="90">
        <v>4.3190507580751483</v>
      </c>
      <c r="J54" s="90">
        <v>4.0982083609820839</v>
      </c>
      <c r="K54" s="90">
        <v>2.9980430528375734</v>
      </c>
      <c r="L54" s="90">
        <v>2.9887118193891102</v>
      </c>
      <c r="M54" s="90">
        <v>3.7408177408177408</v>
      </c>
      <c r="N54" s="100">
        <v>1562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D22" workbookViewId="0">
      <selection activeCell="A69" sqref="A69:L69"/>
    </sheetView>
  </sheetViews>
  <sheetFormatPr defaultRowHeight="14.6" x14ac:dyDescent="0.35"/>
  <sheetData>
    <row r="1" spans="1:21" x14ac:dyDescent="0.35">
      <c r="A1" t="s">
        <v>122</v>
      </c>
      <c r="B1" t="s">
        <v>123</v>
      </c>
      <c r="C1" t="s">
        <v>124</v>
      </c>
      <c r="D1" t="s">
        <v>204</v>
      </c>
      <c r="E1" t="s">
        <v>205</v>
      </c>
      <c r="F1" t="s">
        <v>206</v>
      </c>
      <c r="G1" t="s">
        <v>207</v>
      </c>
      <c r="H1" t="s">
        <v>208</v>
      </c>
      <c r="I1" t="s">
        <v>209</v>
      </c>
      <c r="J1" t="s">
        <v>210</v>
      </c>
      <c r="K1" t="s">
        <v>211</v>
      </c>
      <c r="L1" t="s">
        <v>212</v>
      </c>
      <c r="M1" t="s">
        <v>213</v>
      </c>
      <c r="N1" t="s">
        <v>214</v>
      </c>
      <c r="O1" t="s">
        <v>215</v>
      </c>
      <c r="P1" t="s">
        <v>216</v>
      </c>
      <c r="Q1" t="s">
        <v>217</v>
      </c>
      <c r="R1" t="s">
        <v>218</v>
      </c>
      <c r="S1" t="s">
        <v>219</v>
      </c>
      <c r="T1" t="s">
        <v>220</v>
      </c>
      <c r="U1" t="s">
        <v>79</v>
      </c>
    </row>
    <row r="2" spans="1:21" x14ac:dyDescent="0.35">
      <c r="A2" t="s">
        <v>44</v>
      </c>
      <c r="B2" s="100">
        <v>1</v>
      </c>
      <c r="C2" s="100">
        <v>18</v>
      </c>
      <c r="D2" s="90">
        <v>3.3125</v>
      </c>
      <c r="E2" s="90">
        <v>3.25</v>
      </c>
      <c r="F2" s="90">
        <v>3.125</v>
      </c>
      <c r="G2" s="90">
        <v>3.125</v>
      </c>
      <c r="H2" s="90">
        <v>2.6875</v>
      </c>
      <c r="I2" s="90">
        <v>2.875</v>
      </c>
      <c r="J2" s="90">
        <v>2.6666666666666665</v>
      </c>
      <c r="K2" s="90">
        <v>3.0625</v>
      </c>
      <c r="L2" s="90">
        <v>2.6875</v>
      </c>
      <c r="M2" s="90">
        <v>2.6875</v>
      </c>
      <c r="N2" s="90">
        <v>2.1875</v>
      </c>
      <c r="O2" s="90">
        <v>2.375</v>
      </c>
      <c r="P2" s="90">
        <v>2.25</v>
      </c>
      <c r="Q2" s="90">
        <v>2.5</v>
      </c>
      <c r="R2" s="90">
        <v>2.5625</v>
      </c>
      <c r="S2" s="90">
        <v>2.6875</v>
      </c>
      <c r="T2" s="90">
        <v>2.75</v>
      </c>
      <c r="U2" s="100">
        <v>16</v>
      </c>
    </row>
    <row r="3" spans="1:21" x14ac:dyDescent="0.35">
      <c r="A3" t="s">
        <v>45</v>
      </c>
      <c r="B3" s="100">
        <v>6</v>
      </c>
      <c r="C3" s="100">
        <v>49</v>
      </c>
      <c r="D3" s="90">
        <v>3.0375000000000001</v>
      </c>
      <c r="E3" s="90">
        <v>2.7374999999999998</v>
      </c>
      <c r="F3" s="90">
        <v>2.6625000000000001</v>
      </c>
      <c r="G3" s="90">
        <v>2.6124999999999998</v>
      </c>
      <c r="H3" s="90">
        <v>2.8125</v>
      </c>
      <c r="I3" s="90">
        <v>2.5499999999999998</v>
      </c>
      <c r="J3" s="90">
        <v>2.1538461538461537</v>
      </c>
      <c r="K3" s="90">
        <v>2.4177215189873418</v>
      </c>
      <c r="L3" s="90">
        <v>2.125</v>
      </c>
      <c r="M3" s="90">
        <v>2.35</v>
      </c>
      <c r="N3" s="90">
        <v>1.860759493670886</v>
      </c>
      <c r="O3" s="90">
        <v>2.0625</v>
      </c>
      <c r="P3" s="90">
        <v>1.9358974358974359</v>
      </c>
      <c r="Q3" s="90">
        <v>2.1923076923076925</v>
      </c>
      <c r="R3" s="90">
        <v>2.1392405063291138</v>
      </c>
      <c r="S3" s="90">
        <v>2.2531645569620253</v>
      </c>
      <c r="T3" s="90">
        <v>2.9610389610389611</v>
      </c>
      <c r="U3" s="100">
        <v>82</v>
      </c>
    </row>
    <row r="4" spans="1:21" x14ac:dyDescent="0.35">
      <c r="A4" t="s">
        <v>46</v>
      </c>
      <c r="B4" s="100">
        <v>2</v>
      </c>
      <c r="C4" s="100">
        <v>82</v>
      </c>
      <c r="D4" s="90">
        <v>3.6666666666666665</v>
      </c>
      <c r="E4" s="90">
        <v>3.3333333333333335</v>
      </c>
      <c r="F4" s="90">
        <v>3.6666666666666665</v>
      </c>
      <c r="G4" s="90">
        <v>3.1904761904761907</v>
      </c>
      <c r="H4" s="90">
        <v>3.3809523809523809</v>
      </c>
      <c r="I4" s="90">
        <v>3.1428571428571428</v>
      </c>
      <c r="J4" s="90">
        <v>2.8571428571428572</v>
      </c>
      <c r="K4" s="90">
        <v>3.3333333333333335</v>
      </c>
      <c r="L4" s="90">
        <v>3.5714285714285716</v>
      </c>
      <c r="M4" s="90">
        <v>2.9523809523809526</v>
      </c>
      <c r="N4" s="90">
        <v>2.5238095238095237</v>
      </c>
      <c r="O4" s="90">
        <v>3.15</v>
      </c>
      <c r="P4" s="90">
        <v>2.7142857142857144</v>
      </c>
      <c r="Q4" s="90">
        <v>2.8571428571428572</v>
      </c>
      <c r="R4" s="90">
        <v>2.6190476190476191</v>
      </c>
      <c r="S4" s="90">
        <v>3.2380952380952381</v>
      </c>
      <c r="T4" s="90">
        <v>2.85</v>
      </c>
      <c r="U4" s="100">
        <v>21</v>
      </c>
    </row>
    <row r="5" spans="1:21" x14ac:dyDescent="0.35">
      <c r="A5" t="s">
        <v>2</v>
      </c>
      <c r="B5" s="100">
        <v>1</v>
      </c>
      <c r="C5" s="100">
        <v>97</v>
      </c>
      <c r="D5" s="90">
        <v>3.7142857142857144</v>
      </c>
      <c r="E5" s="90">
        <v>3.5</v>
      </c>
      <c r="F5" s="90">
        <v>3.2857142857142856</v>
      </c>
      <c r="G5" s="90">
        <v>3.3571428571428572</v>
      </c>
      <c r="H5" s="90">
        <v>2.9285714285714284</v>
      </c>
      <c r="I5" s="90">
        <v>3.1428571428571428</v>
      </c>
      <c r="J5" s="90">
        <v>3</v>
      </c>
      <c r="K5" s="90">
        <v>3.3571428571428572</v>
      </c>
      <c r="L5" s="90">
        <v>3.2142857142857144</v>
      </c>
      <c r="M5" s="90">
        <v>2.7142857142857144</v>
      </c>
      <c r="N5" s="90">
        <v>2.1428571428571428</v>
      </c>
      <c r="O5" s="90">
        <v>2.7857142857142856</v>
      </c>
      <c r="P5" s="90">
        <v>2.8571428571428572</v>
      </c>
      <c r="Q5" s="90">
        <v>2.9285714285714284</v>
      </c>
      <c r="R5" s="90">
        <v>3.0714285714285716</v>
      </c>
      <c r="S5" s="90">
        <v>2.5714285714285716</v>
      </c>
      <c r="T5" s="90">
        <v>3.1428571428571428</v>
      </c>
      <c r="U5" s="100">
        <v>14</v>
      </c>
    </row>
    <row r="6" spans="1:21" x14ac:dyDescent="0.35">
      <c r="A6" t="s">
        <v>3</v>
      </c>
      <c r="B6" s="100">
        <v>4</v>
      </c>
      <c r="C6" s="100">
        <v>54</v>
      </c>
      <c r="D6" s="90">
        <v>3.7419354838709675</v>
      </c>
      <c r="E6" s="90">
        <v>3.225806451612903</v>
      </c>
      <c r="F6" s="90">
        <v>3.0666666666666669</v>
      </c>
      <c r="G6" s="90">
        <v>3.2903225806451615</v>
      </c>
      <c r="H6" s="90">
        <v>2.870967741935484</v>
      </c>
      <c r="I6" s="90">
        <v>3.032258064516129</v>
      </c>
      <c r="J6" s="90">
        <v>2.5483870967741935</v>
      </c>
      <c r="K6" s="90">
        <v>3.1666666666666665</v>
      </c>
      <c r="L6" s="90">
        <v>2.935483870967742</v>
      </c>
      <c r="M6" s="90">
        <v>2.4838709677419355</v>
      </c>
      <c r="N6" s="90">
        <v>2.193548387096774</v>
      </c>
      <c r="O6" s="90">
        <v>2.6451612903225805</v>
      </c>
      <c r="P6" s="90">
        <v>2.6129032258064515</v>
      </c>
      <c r="Q6" s="90">
        <v>2.6774193548387095</v>
      </c>
      <c r="R6" s="90">
        <v>2.3225806451612905</v>
      </c>
      <c r="S6" s="90">
        <v>2.870967741935484</v>
      </c>
      <c r="T6" s="90">
        <v>2.967741935483871</v>
      </c>
      <c r="U6" s="100">
        <v>31</v>
      </c>
    </row>
    <row r="7" spans="1:21" x14ac:dyDescent="0.35">
      <c r="A7" t="s">
        <v>4</v>
      </c>
      <c r="B7" s="100">
        <v>5</v>
      </c>
      <c r="C7" s="100">
        <v>109</v>
      </c>
      <c r="D7" s="90">
        <v>3.4634146341463414</v>
      </c>
      <c r="E7" s="90">
        <v>3.0487804878048781</v>
      </c>
      <c r="F7" s="90">
        <v>2.8780487804878048</v>
      </c>
      <c r="G7" s="90">
        <v>2.8780487804878048</v>
      </c>
      <c r="H7" s="90">
        <v>2.8048780487804876</v>
      </c>
      <c r="I7" s="90">
        <v>2.8048780487804876</v>
      </c>
      <c r="J7" s="90">
        <v>2.4146341463414633</v>
      </c>
      <c r="K7" s="90">
        <v>2.7804878048780486</v>
      </c>
      <c r="L7" s="90">
        <v>2.5853658536585367</v>
      </c>
      <c r="M7" s="90">
        <v>2.4634146341463414</v>
      </c>
      <c r="N7" s="90">
        <v>2.2195121951219514</v>
      </c>
      <c r="O7" s="90">
        <v>2.5853658536585367</v>
      </c>
      <c r="P7" s="90">
        <v>2.5121951219512195</v>
      </c>
      <c r="Q7" s="90">
        <v>2.7250000000000001</v>
      </c>
      <c r="R7" s="90">
        <v>2.7073170731707319</v>
      </c>
      <c r="S7" s="90">
        <v>2.6829268292682928</v>
      </c>
      <c r="T7" s="90">
        <v>2.7560975609756095</v>
      </c>
      <c r="U7" s="100">
        <v>41</v>
      </c>
    </row>
    <row r="8" spans="1:21" x14ac:dyDescent="0.35">
      <c r="A8" t="s">
        <v>48</v>
      </c>
      <c r="B8" s="100">
        <v>2</v>
      </c>
      <c r="C8" s="100">
        <v>148</v>
      </c>
      <c r="D8" s="90">
        <v>3.3888888888888888</v>
      </c>
      <c r="E8" s="90">
        <v>3.4444444444444446</v>
      </c>
      <c r="F8" s="90">
        <v>3.3888888888888888</v>
      </c>
      <c r="G8" s="90">
        <v>3.1111111111111112</v>
      </c>
      <c r="H8" s="90">
        <v>2.7777777777777777</v>
      </c>
      <c r="I8" s="90">
        <v>2.8888888888888888</v>
      </c>
      <c r="J8" s="90">
        <v>2.5</v>
      </c>
      <c r="K8" s="90">
        <v>2.8823529411764706</v>
      </c>
      <c r="L8" s="90">
        <v>2.7777777777777777</v>
      </c>
      <c r="M8" s="90">
        <v>3</v>
      </c>
      <c r="N8" s="90">
        <v>2.7777777777777777</v>
      </c>
      <c r="O8" s="90">
        <v>2.6666666666666665</v>
      </c>
      <c r="P8" s="90">
        <v>2.5</v>
      </c>
      <c r="Q8" s="90">
        <v>2.8333333333333335</v>
      </c>
      <c r="R8" s="90">
        <v>2.9444444444444446</v>
      </c>
      <c r="S8" s="90">
        <v>2.7777777777777777</v>
      </c>
      <c r="T8" s="90">
        <v>2.9444444444444446</v>
      </c>
      <c r="U8" s="100">
        <v>18</v>
      </c>
    </row>
    <row r="9" spans="1:21" x14ac:dyDescent="0.35">
      <c r="A9" t="s">
        <v>5</v>
      </c>
      <c r="B9" s="100">
        <v>6</v>
      </c>
      <c r="C9" s="100">
        <v>179</v>
      </c>
      <c r="D9" s="90">
        <v>3.3333333333333335</v>
      </c>
      <c r="E9" s="90">
        <v>3.3333333333333335</v>
      </c>
      <c r="F9" s="90">
        <v>3.0892857142857144</v>
      </c>
      <c r="G9" s="90">
        <v>2.8771929824561404</v>
      </c>
      <c r="H9" s="90">
        <v>2.8596491228070176</v>
      </c>
      <c r="I9" s="90">
        <v>3.0526315789473686</v>
      </c>
      <c r="J9" s="90">
        <v>2.581818181818182</v>
      </c>
      <c r="K9" s="90">
        <v>2.8245614035087718</v>
      </c>
      <c r="L9" s="90">
        <v>2.6491228070175437</v>
      </c>
      <c r="M9" s="90">
        <v>2.5535714285714284</v>
      </c>
      <c r="N9" s="90">
        <v>2.2280701754385963</v>
      </c>
      <c r="O9" s="90">
        <v>2.6785714285714284</v>
      </c>
      <c r="P9" s="90">
        <v>2.6785714285714284</v>
      </c>
      <c r="Q9" s="90">
        <v>2.736842105263158</v>
      </c>
      <c r="R9" s="90">
        <v>2.6428571428571428</v>
      </c>
      <c r="S9" s="90">
        <v>2.6666666666666665</v>
      </c>
      <c r="T9" s="90">
        <v>2.7272727272727271</v>
      </c>
      <c r="U9" s="100">
        <v>59</v>
      </c>
    </row>
    <row r="10" spans="1:21" x14ac:dyDescent="0.35">
      <c r="A10" t="s">
        <v>50</v>
      </c>
      <c r="B10" s="100">
        <v>3</v>
      </c>
      <c r="C10" s="100">
        <v>214</v>
      </c>
      <c r="D10" s="90">
        <v>3.28</v>
      </c>
      <c r="E10" s="90">
        <v>3.24</v>
      </c>
      <c r="F10" s="90">
        <v>3.2</v>
      </c>
      <c r="G10" s="90">
        <v>3.2</v>
      </c>
      <c r="H10" s="90">
        <v>2.75</v>
      </c>
      <c r="I10" s="90">
        <v>2.76</v>
      </c>
      <c r="J10" s="90">
        <v>2.48</v>
      </c>
      <c r="K10" s="90">
        <v>3</v>
      </c>
      <c r="L10" s="90">
        <v>2.76</v>
      </c>
      <c r="M10" s="90">
        <v>2.5</v>
      </c>
      <c r="N10" s="90">
        <v>2.04</v>
      </c>
      <c r="O10" s="90">
        <v>2.68</v>
      </c>
      <c r="P10" s="90">
        <v>2.3199999999999998</v>
      </c>
      <c r="Q10" s="90">
        <v>2.375</v>
      </c>
      <c r="R10" s="90">
        <v>2.16</v>
      </c>
      <c r="S10" s="90">
        <v>2.76</v>
      </c>
      <c r="T10" s="90">
        <v>3.2083333333333335</v>
      </c>
      <c r="U10" s="100">
        <v>25</v>
      </c>
    </row>
    <row r="11" spans="1:21" x14ac:dyDescent="0.35">
      <c r="A11" t="s">
        <v>51</v>
      </c>
      <c r="B11" s="100">
        <v>1</v>
      </c>
      <c r="C11" s="100">
        <v>239</v>
      </c>
      <c r="D11" s="90">
        <v>3.5</v>
      </c>
      <c r="E11" s="90">
        <v>3.5454545454545454</v>
      </c>
      <c r="F11" s="90">
        <v>3.3636363636363638</v>
      </c>
      <c r="G11" s="90">
        <v>3.2272727272727271</v>
      </c>
      <c r="H11" s="90">
        <v>2.9545454545454546</v>
      </c>
      <c r="I11" s="90">
        <v>3.2380952380952381</v>
      </c>
      <c r="J11" s="90">
        <v>2.5909090909090908</v>
      </c>
      <c r="K11" s="90">
        <v>3.3636363636363638</v>
      </c>
      <c r="L11" s="90">
        <v>3.0909090909090908</v>
      </c>
      <c r="M11" s="90">
        <v>2.7727272727272729</v>
      </c>
      <c r="N11" s="90">
        <v>2.3636363636363638</v>
      </c>
      <c r="O11" s="90">
        <v>2.6363636363636362</v>
      </c>
      <c r="P11" s="90">
        <v>2.4090909090909092</v>
      </c>
      <c r="Q11" s="90">
        <v>2.6818181818181817</v>
      </c>
      <c r="R11" s="90">
        <v>2.9090909090909092</v>
      </c>
      <c r="S11" s="90">
        <v>3.0454545454545454</v>
      </c>
      <c r="T11" s="90">
        <v>2.9090909090909092</v>
      </c>
      <c r="U11" s="100">
        <v>22</v>
      </c>
    </row>
    <row r="12" spans="1:21" x14ac:dyDescent="0.35">
      <c r="A12" t="s">
        <v>22</v>
      </c>
      <c r="B12" s="100">
        <v>2</v>
      </c>
      <c r="C12" s="100">
        <v>322</v>
      </c>
      <c r="D12" s="90">
        <v>3.1428571428571428</v>
      </c>
      <c r="E12" s="90">
        <v>3.0714285714285716</v>
      </c>
      <c r="F12" s="90">
        <v>3.0357142857142856</v>
      </c>
      <c r="G12" s="90">
        <v>2.9285714285714284</v>
      </c>
      <c r="H12" s="90">
        <v>2.8148148148148149</v>
      </c>
      <c r="I12" s="90">
        <v>2.6785714285714284</v>
      </c>
      <c r="J12" s="90">
        <v>2.1428571428571428</v>
      </c>
      <c r="K12" s="90">
        <v>2.4642857142857144</v>
      </c>
      <c r="L12" s="90">
        <v>2.4285714285714284</v>
      </c>
      <c r="M12" s="90">
        <v>2.2962962962962963</v>
      </c>
      <c r="N12" s="90">
        <v>2.1071428571428572</v>
      </c>
      <c r="O12" s="90">
        <v>1.9230769230769231</v>
      </c>
      <c r="P12" s="90">
        <v>1.8571428571428572</v>
      </c>
      <c r="Q12" s="90">
        <v>2.3928571428571428</v>
      </c>
      <c r="R12" s="90">
        <v>2.3214285714285716</v>
      </c>
      <c r="S12" s="90">
        <v>2.5714285714285716</v>
      </c>
      <c r="T12" s="90">
        <v>2.5555555555555554</v>
      </c>
      <c r="U12" s="100">
        <v>28</v>
      </c>
    </row>
    <row r="13" spans="1:21" x14ac:dyDescent="0.35">
      <c r="A13" t="s">
        <v>52</v>
      </c>
      <c r="B13" s="100">
        <v>3</v>
      </c>
      <c r="C13" s="100">
        <v>249</v>
      </c>
      <c r="D13" s="90">
        <v>2.8055555555555554</v>
      </c>
      <c r="E13" s="90">
        <v>2.6111111111111112</v>
      </c>
      <c r="F13" s="90">
        <v>2.75</v>
      </c>
      <c r="G13" s="90">
        <v>2.9166666666666665</v>
      </c>
      <c r="H13" s="90">
        <v>2.8571428571428572</v>
      </c>
      <c r="I13" s="90">
        <v>2.7837837837837838</v>
      </c>
      <c r="J13" s="90">
        <v>2.5945945945945947</v>
      </c>
      <c r="K13" s="90">
        <v>2.9444444444444446</v>
      </c>
      <c r="L13" s="90">
        <v>2.6111111111111112</v>
      </c>
      <c r="M13" s="90">
        <v>2.4722222222222223</v>
      </c>
      <c r="N13" s="90">
        <v>2.1666666666666665</v>
      </c>
      <c r="O13" s="90">
        <v>2.6216216216216215</v>
      </c>
      <c r="P13" s="90">
        <v>2.4722222222222223</v>
      </c>
      <c r="Q13" s="90">
        <v>2.25</v>
      </c>
      <c r="R13" s="90">
        <v>2.2222222222222223</v>
      </c>
      <c r="S13" s="90">
        <v>2.3513513513513513</v>
      </c>
      <c r="T13" s="90">
        <v>2.6486486486486487</v>
      </c>
      <c r="U13" s="100">
        <v>37</v>
      </c>
    </row>
    <row r="14" spans="1:21" x14ac:dyDescent="0.35">
      <c r="A14" t="s">
        <v>72</v>
      </c>
      <c r="B14" s="100">
        <v>4</v>
      </c>
      <c r="C14" s="100">
        <v>272</v>
      </c>
      <c r="D14" s="90">
        <v>3.0333333333333332</v>
      </c>
      <c r="E14" s="90">
        <v>2.7796610169491527</v>
      </c>
      <c r="F14" s="90">
        <v>2.5</v>
      </c>
      <c r="G14" s="90">
        <v>2.6779661016949152</v>
      </c>
      <c r="H14" s="90">
        <v>2.3728813559322033</v>
      </c>
      <c r="I14" s="90">
        <v>2.5</v>
      </c>
      <c r="J14" s="90">
        <v>2.35</v>
      </c>
      <c r="K14" s="90">
        <v>2.7</v>
      </c>
      <c r="L14" s="90">
        <v>2.3728813559322033</v>
      </c>
      <c r="M14" s="90">
        <v>2.2711864406779663</v>
      </c>
      <c r="N14" s="90">
        <v>2.0666666666666669</v>
      </c>
      <c r="O14" s="90">
        <v>2.4500000000000002</v>
      </c>
      <c r="P14" s="90">
        <v>2.4745762711864407</v>
      </c>
      <c r="Q14" s="90">
        <v>2.4576271186440679</v>
      </c>
      <c r="R14" s="90">
        <v>2.25</v>
      </c>
      <c r="S14" s="90">
        <v>2.2982456140350878</v>
      </c>
      <c r="T14" s="90">
        <v>2.4406779661016951</v>
      </c>
      <c r="U14" s="100">
        <v>61</v>
      </c>
    </row>
    <row r="15" spans="1:21" x14ac:dyDescent="0.35">
      <c r="A15" t="s">
        <v>6</v>
      </c>
      <c r="B15" s="100">
        <v>5</v>
      </c>
      <c r="C15" s="100">
        <v>285</v>
      </c>
      <c r="D15" s="90">
        <v>2.8030303030303032</v>
      </c>
      <c r="E15" s="90">
        <v>2.6923076923076925</v>
      </c>
      <c r="F15" s="90">
        <v>2.5846153846153848</v>
      </c>
      <c r="G15" s="90">
        <v>2.53125</v>
      </c>
      <c r="H15" s="90">
        <v>2.25</v>
      </c>
      <c r="I15" s="90">
        <v>2.6615384615384614</v>
      </c>
      <c r="J15" s="90">
        <v>2.1076923076923078</v>
      </c>
      <c r="K15" s="90">
        <v>2.4242424242424243</v>
      </c>
      <c r="L15" s="90">
        <v>2.3333333333333335</v>
      </c>
      <c r="M15" s="90">
        <v>2.1230769230769231</v>
      </c>
      <c r="N15" s="90">
        <v>1.9375</v>
      </c>
      <c r="O15" s="90">
        <v>2.1818181818181817</v>
      </c>
      <c r="P15" s="90">
        <v>2.0634920634920637</v>
      </c>
      <c r="Q15" s="90">
        <v>2.0615384615384613</v>
      </c>
      <c r="R15" s="90">
        <v>2.0615384615384613</v>
      </c>
      <c r="S15" s="90">
        <v>2</v>
      </c>
      <c r="T15" s="90">
        <v>2.4307692307692306</v>
      </c>
      <c r="U15" s="100">
        <v>70</v>
      </c>
    </row>
    <row r="16" spans="1:21" x14ac:dyDescent="0.35">
      <c r="A16" t="s">
        <v>73</v>
      </c>
      <c r="B16" s="100">
        <v>3</v>
      </c>
      <c r="C16" s="100">
        <v>301</v>
      </c>
      <c r="D16" s="90">
        <v>3.3333333333333335</v>
      </c>
      <c r="E16" s="90">
        <v>3.1666666666666665</v>
      </c>
      <c r="F16" s="90">
        <v>3.0277777777777777</v>
      </c>
      <c r="G16" s="90">
        <v>3.1111111111111112</v>
      </c>
      <c r="H16" s="90">
        <v>2.6666666666666665</v>
      </c>
      <c r="I16" s="90">
        <v>2.9444444444444446</v>
      </c>
      <c r="J16" s="90">
        <v>2.4444444444444446</v>
      </c>
      <c r="K16" s="90">
        <v>2.5277777777777777</v>
      </c>
      <c r="L16" s="90">
        <v>2.6666666666666665</v>
      </c>
      <c r="M16" s="90">
        <v>2.6666666666666665</v>
      </c>
      <c r="N16" s="90">
        <v>2.1388888888888888</v>
      </c>
      <c r="O16" s="90">
        <v>2.4444444444444446</v>
      </c>
      <c r="P16" s="90">
        <v>2.4857142857142858</v>
      </c>
      <c r="Q16" s="90">
        <v>2.5555555555555554</v>
      </c>
      <c r="R16" s="90">
        <v>2.3611111111111112</v>
      </c>
      <c r="S16" s="90">
        <v>2.6111111111111112</v>
      </c>
      <c r="T16" s="90">
        <v>2.9166666666666665</v>
      </c>
      <c r="U16" s="100">
        <v>36</v>
      </c>
    </row>
    <row r="17" spans="1:21" x14ac:dyDescent="0.35">
      <c r="A17" t="s">
        <v>7</v>
      </c>
      <c r="B17" s="100">
        <v>3</v>
      </c>
      <c r="C17" s="100">
        <v>305</v>
      </c>
      <c r="D17" s="90">
        <v>3.3225806451612905</v>
      </c>
      <c r="E17" s="90">
        <v>2.935483870967742</v>
      </c>
      <c r="F17" s="90">
        <v>3.0666666666666669</v>
      </c>
      <c r="G17" s="90">
        <v>2.935483870967742</v>
      </c>
      <c r="H17" s="90">
        <v>2.838709677419355</v>
      </c>
      <c r="I17" s="90">
        <v>3</v>
      </c>
      <c r="J17" s="90">
        <v>2.5333333333333332</v>
      </c>
      <c r="K17" s="90">
        <v>2.774193548387097</v>
      </c>
      <c r="L17" s="90">
        <v>2.838709677419355</v>
      </c>
      <c r="M17" s="90">
        <v>2.6451612903225805</v>
      </c>
      <c r="N17" s="90">
        <v>2.193548387096774</v>
      </c>
      <c r="O17" s="90">
        <v>2.4193548387096775</v>
      </c>
      <c r="P17" s="90">
        <v>2.3225806451612905</v>
      </c>
      <c r="Q17" s="90">
        <v>2.870967741935484</v>
      </c>
      <c r="R17" s="90">
        <v>2.6666666666666665</v>
      </c>
      <c r="S17" s="90">
        <v>2.806451612903226</v>
      </c>
      <c r="T17" s="90">
        <v>2.6451612903225805</v>
      </c>
      <c r="U17" s="100">
        <v>31</v>
      </c>
    </row>
    <row r="18" spans="1:21" x14ac:dyDescent="0.35">
      <c r="A18" t="s">
        <v>8</v>
      </c>
      <c r="B18" s="100">
        <v>5</v>
      </c>
      <c r="C18" s="100">
        <v>405</v>
      </c>
      <c r="D18" s="90">
        <v>3.2051282051282053</v>
      </c>
      <c r="E18" s="90">
        <v>2.7948717948717947</v>
      </c>
      <c r="F18" s="90">
        <v>3</v>
      </c>
      <c r="G18" s="90">
        <v>2.7435897435897436</v>
      </c>
      <c r="H18" s="90">
        <v>2.641025641025641</v>
      </c>
      <c r="I18" s="90">
        <v>2.6923076923076925</v>
      </c>
      <c r="J18" s="90">
        <v>2.5384615384615383</v>
      </c>
      <c r="K18" s="90">
        <v>2.641025641025641</v>
      </c>
      <c r="L18" s="90">
        <v>2.3333333333333335</v>
      </c>
      <c r="M18" s="90">
        <v>2.358974358974359</v>
      </c>
      <c r="N18" s="90">
        <v>2.1538461538461537</v>
      </c>
      <c r="O18" s="90">
        <v>2.4102564102564101</v>
      </c>
      <c r="P18" s="90">
        <v>2.3947368421052633</v>
      </c>
      <c r="Q18" s="90">
        <v>2.641025641025641</v>
      </c>
      <c r="R18" s="90">
        <v>2.3250000000000002</v>
      </c>
      <c r="S18" s="90">
        <v>2.3076923076923075</v>
      </c>
      <c r="T18" s="90">
        <v>2.5249999999999999</v>
      </c>
      <c r="U18" s="100">
        <v>40</v>
      </c>
    </row>
    <row r="19" spans="1:21" x14ac:dyDescent="0.35">
      <c r="A19" t="s">
        <v>9</v>
      </c>
      <c r="B19" s="100">
        <v>4</v>
      </c>
      <c r="C19" s="100">
        <v>418</v>
      </c>
      <c r="D19" s="90">
        <v>3.6</v>
      </c>
      <c r="E19" s="90">
        <v>3.25</v>
      </c>
      <c r="F19" s="90">
        <v>3.1052631578947367</v>
      </c>
      <c r="G19" s="90">
        <v>3.15</v>
      </c>
      <c r="H19" s="90">
        <v>2.9</v>
      </c>
      <c r="I19" s="90">
        <v>3.05</v>
      </c>
      <c r="J19" s="90">
        <v>2.5750000000000002</v>
      </c>
      <c r="K19" s="90">
        <v>2.9</v>
      </c>
      <c r="L19" s="90">
        <v>2.8</v>
      </c>
      <c r="M19" s="90">
        <v>2.8</v>
      </c>
      <c r="N19" s="90">
        <v>2.0769230769230771</v>
      </c>
      <c r="O19" s="90">
        <v>2.5249999999999999</v>
      </c>
      <c r="P19" s="90">
        <v>2.3250000000000002</v>
      </c>
      <c r="Q19" s="90">
        <v>2.8250000000000002</v>
      </c>
      <c r="R19" s="90">
        <v>2.7749999999999999</v>
      </c>
      <c r="S19" s="90">
        <v>3.0249999999999999</v>
      </c>
      <c r="T19" s="90">
        <v>3.125</v>
      </c>
      <c r="U19" s="100">
        <v>40</v>
      </c>
    </row>
    <row r="20" spans="1:21" x14ac:dyDescent="0.35">
      <c r="A20" t="s">
        <v>56</v>
      </c>
      <c r="B20" s="100">
        <v>3</v>
      </c>
      <c r="C20" s="100">
        <v>426</v>
      </c>
      <c r="D20" s="90">
        <v>3.4210526315789473</v>
      </c>
      <c r="E20" s="90">
        <v>3.1578947368421053</v>
      </c>
      <c r="F20" s="90">
        <v>3.236842105263158</v>
      </c>
      <c r="G20" s="90">
        <v>2.9736842105263159</v>
      </c>
      <c r="H20" s="90">
        <v>2.736842105263158</v>
      </c>
      <c r="I20" s="90">
        <v>2.9729729729729728</v>
      </c>
      <c r="J20" s="90">
        <v>2.5263157894736841</v>
      </c>
      <c r="K20" s="90">
        <v>2.9736842105263159</v>
      </c>
      <c r="L20" s="90">
        <v>3.236842105263158</v>
      </c>
      <c r="M20" s="90">
        <v>2.6578947368421053</v>
      </c>
      <c r="N20" s="90">
        <v>2.1315789473684212</v>
      </c>
      <c r="O20" s="90">
        <v>2.5945945945945947</v>
      </c>
      <c r="P20" s="90">
        <v>2.5</v>
      </c>
      <c r="Q20" s="90">
        <v>2.6315789473684212</v>
      </c>
      <c r="R20" s="90">
        <v>2.5789473684210527</v>
      </c>
      <c r="S20" s="90">
        <v>2.8378378378378377</v>
      </c>
      <c r="T20" s="90">
        <v>3.0789473684210527</v>
      </c>
      <c r="U20" s="100">
        <v>38</v>
      </c>
    </row>
    <row r="21" spans="1:21" x14ac:dyDescent="0.35">
      <c r="A21" t="s">
        <v>74</v>
      </c>
      <c r="B21" s="100">
        <v>5</v>
      </c>
      <c r="C21" s="100">
        <v>491</v>
      </c>
      <c r="D21" s="90">
        <v>3.2638888888888888</v>
      </c>
      <c r="E21" s="90">
        <v>2.8732394366197185</v>
      </c>
      <c r="F21" s="90">
        <v>2.7083333333333335</v>
      </c>
      <c r="G21" s="90">
        <v>2.9583333333333335</v>
      </c>
      <c r="H21" s="90">
        <v>2.7222222222222223</v>
      </c>
      <c r="I21" s="90">
        <v>2.7361111111111112</v>
      </c>
      <c r="J21" s="90">
        <v>2.408450704225352</v>
      </c>
      <c r="K21" s="90">
        <v>2.5277777777777777</v>
      </c>
      <c r="L21" s="90">
        <v>2.4861111111111112</v>
      </c>
      <c r="M21" s="90">
        <v>2.5694444444444446</v>
      </c>
      <c r="N21" s="90">
        <v>2.2638888888888888</v>
      </c>
      <c r="O21" s="90">
        <v>2.4583333333333335</v>
      </c>
      <c r="P21" s="90">
        <v>2.6285714285714286</v>
      </c>
      <c r="Q21" s="90">
        <v>2.5555555555555554</v>
      </c>
      <c r="R21" s="90">
        <v>2.6527777777777777</v>
      </c>
      <c r="S21" s="90">
        <v>2.7183098591549295</v>
      </c>
      <c r="T21" s="90">
        <v>2.9444444444444446</v>
      </c>
      <c r="U21" s="100">
        <v>72</v>
      </c>
    </row>
    <row r="22" spans="1:21" x14ac:dyDescent="0.35">
      <c r="A22" t="s">
        <v>10</v>
      </c>
      <c r="B22" s="100">
        <v>2.978723404255319</v>
      </c>
      <c r="C22" s="100">
        <v>499</v>
      </c>
      <c r="D22" s="90">
        <v>3.1276595744680851</v>
      </c>
      <c r="E22" s="90">
        <v>2.9148936170212765</v>
      </c>
      <c r="F22" s="90">
        <v>2.6956521739130435</v>
      </c>
      <c r="G22" s="90">
        <v>2.8936170212765959</v>
      </c>
      <c r="H22" s="90">
        <v>2.8085106382978724</v>
      </c>
      <c r="I22" s="90">
        <v>2.7446808510638299</v>
      </c>
      <c r="J22" s="90">
        <v>2.347826086956522</v>
      </c>
      <c r="K22" s="90">
        <v>2.6382978723404253</v>
      </c>
      <c r="L22" s="90">
        <v>2.3829787234042552</v>
      </c>
      <c r="M22" s="90">
        <v>2.5217391304347827</v>
      </c>
      <c r="N22" s="90">
        <v>1.7659574468085106</v>
      </c>
      <c r="O22" s="90">
        <v>2.0851063829787235</v>
      </c>
      <c r="P22" s="90">
        <v>2.0851063829787235</v>
      </c>
      <c r="Q22" s="90">
        <v>2.152173913043478</v>
      </c>
      <c r="R22" s="90">
        <v>2.1739130434782608</v>
      </c>
      <c r="S22" s="90">
        <v>2.4468085106382977</v>
      </c>
      <c r="T22" s="90">
        <v>3.021276595744681</v>
      </c>
      <c r="U22" s="100">
        <v>47</v>
      </c>
    </row>
    <row r="23" spans="1:21" x14ac:dyDescent="0.35">
      <c r="A23" t="s">
        <v>58</v>
      </c>
      <c r="B23" s="100">
        <v>3</v>
      </c>
      <c r="C23" s="100">
        <v>535</v>
      </c>
      <c r="D23" s="90">
        <v>3.2105263157894739</v>
      </c>
      <c r="E23" s="90">
        <v>2.8947368421052633</v>
      </c>
      <c r="F23" s="90">
        <v>2.7894736842105261</v>
      </c>
      <c r="G23" s="90">
        <v>2.8947368421052633</v>
      </c>
      <c r="H23" s="90">
        <v>2.7894736842105261</v>
      </c>
      <c r="I23" s="90">
        <v>2.8421052631578947</v>
      </c>
      <c r="J23" s="90">
        <v>2.7894736842105261</v>
      </c>
      <c r="K23" s="90">
        <v>3</v>
      </c>
      <c r="L23" s="90">
        <v>3.1052631578947367</v>
      </c>
      <c r="M23" s="90">
        <v>2.4736842105263159</v>
      </c>
      <c r="N23" s="90">
        <v>2.1111111111111112</v>
      </c>
      <c r="O23" s="90">
        <v>2.6315789473684212</v>
      </c>
      <c r="P23" s="90">
        <v>2.3684210526315788</v>
      </c>
      <c r="Q23" s="90">
        <v>3.263157894736842</v>
      </c>
      <c r="R23" s="90">
        <v>3.1052631578947367</v>
      </c>
      <c r="S23" s="90">
        <v>3</v>
      </c>
      <c r="T23" s="90">
        <v>2.9473684210526314</v>
      </c>
      <c r="U23" s="100">
        <v>19</v>
      </c>
    </row>
    <row r="24" spans="1:21" x14ac:dyDescent="0.35">
      <c r="A24" t="s">
        <v>11</v>
      </c>
      <c r="B24" s="100">
        <v>6</v>
      </c>
      <c r="C24" s="100">
        <v>464</v>
      </c>
      <c r="D24" s="90">
        <v>3.1016949152542375</v>
      </c>
      <c r="E24" s="90">
        <v>2.7627118644067798</v>
      </c>
      <c r="F24" s="90">
        <v>2.593220338983051</v>
      </c>
      <c r="G24" s="90">
        <v>2.8644067796610169</v>
      </c>
      <c r="H24" s="90">
        <v>2.7966101694915255</v>
      </c>
      <c r="I24" s="90">
        <v>2.847457627118644</v>
      </c>
      <c r="J24" s="90">
        <v>2.2280701754385963</v>
      </c>
      <c r="K24" s="90">
        <v>2.5862068965517242</v>
      </c>
      <c r="L24" s="90">
        <v>2.5263157894736841</v>
      </c>
      <c r="M24" s="90">
        <v>2.3103448275862069</v>
      </c>
      <c r="N24" s="90">
        <v>2.1896551724137931</v>
      </c>
      <c r="O24" s="90">
        <v>2.3333333333333335</v>
      </c>
      <c r="P24" s="90">
        <v>2.3157894736842106</v>
      </c>
      <c r="Q24" s="90">
        <v>2.7586206896551726</v>
      </c>
      <c r="R24" s="90">
        <v>2.6896551724137931</v>
      </c>
      <c r="S24" s="90">
        <v>2.5</v>
      </c>
      <c r="T24" s="90">
        <v>2.6491228070175437</v>
      </c>
      <c r="U24" s="100">
        <v>59</v>
      </c>
    </row>
    <row r="25" spans="1:21" x14ac:dyDescent="0.35">
      <c r="A25" t="s">
        <v>60</v>
      </c>
      <c r="B25" s="100">
        <v>1</v>
      </c>
      <c r="C25" s="100">
        <v>578</v>
      </c>
      <c r="D25" s="90">
        <v>3.65</v>
      </c>
      <c r="E25" s="90">
        <v>3.25</v>
      </c>
      <c r="F25" s="90">
        <v>3.2</v>
      </c>
      <c r="G25" s="90">
        <v>3.35</v>
      </c>
      <c r="H25" s="90">
        <v>3.4210526315789473</v>
      </c>
      <c r="I25" s="90">
        <v>3.2</v>
      </c>
      <c r="J25" s="90">
        <v>2.8</v>
      </c>
      <c r="K25" s="90">
        <v>2.95</v>
      </c>
      <c r="L25" s="90">
        <v>3.1</v>
      </c>
      <c r="M25" s="90">
        <v>3.05</v>
      </c>
      <c r="N25" s="90">
        <v>2.35</v>
      </c>
      <c r="O25" s="90">
        <v>2.7</v>
      </c>
      <c r="P25" s="90">
        <v>2.85</v>
      </c>
      <c r="Q25" s="90">
        <v>3.3</v>
      </c>
      <c r="R25" s="90">
        <v>3.3</v>
      </c>
      <c r="S25" s="90">
        <v>3.2</v>
      </c>
      <c r="T25" s="90">
        <v>3.4</v>
      </c>
      <c r="U25" s="100">
        <v>21</v>
      </c>
    </row>
    <row r="26" spans="1:21" x14ac:dyDescent="0.35">
      <c r="A26" t="s">
        <v>61</v>
      </c>
      <c r="B26" s="100">
        <v>2</v>
      </c>
      <c r="C26" s="100">
        <v>581</v>
      </c>
      <c r="D26" s="90">
        <v>2.7407407407407409</v>
      </c>
      <c r="E26" s="90">
        <v>2.3571428571428572</v>
      </c>
      <c r="F26" s="90">
        <v>2.5555555555555554</v>
      </c>
      <c r="G26" s="90">
        <v>2.4642857142857144</v>
      </c>
      <c r="H26" s="90">
        <v>2.7857142857142856</v>
      </c>
      <c r="I26" s="90">
        <v>2.7142857142857144</v>
      </c>
      <c r="J26" s="90">
        <v>2.1851851851851851</v>
      </c>
      <c r="K26" s="90">
        <v>2.5357142857142856</v>
      </c>
      <c r="L26" s="90">
        <v>2.1785714285714284</v>
      </c>
      <c r="M26" s="90">
        <v>2.0714285714285716</v>
      </c>
      <c r="N26" s="90">
        <v>2.0714285714285716</v>
      </c>
      <c r="O26" s="90">
        <v>1.9285714285714286</v>
      </c>
      <c r="P26" s="90">
        <v>1.9642857142857142</v>
      </c>
      <c r="Q26" s="90">
        <v>1.8928571428571428</v>
      </c>
      <c r="R26" s="90">
        <v>1.7692307692307692</v>
      </c>
      <c r="S26" s="90">
        <v>2.2857142857142856</v>
      </c>
      <c r="T26" s="90">
        <v>2.3703703703703702</v>
      </c>
      <c r="U26" s="100">
        <v>28</v>
      </c>
    </row>
    <row r="27" spans="1:21" x14ac:dyDescent="0.35">
      <c r="A27" t="s">
        <v>62</v>
      </c>
      <c r="B27" s="100">
        <v>1</v>
      </c>
      <c r="C27" s="100">
        <v>592</v>
      </c>
      <c r="D27" s="90">
        <v>3.6666666666666665</v>
      </c>
      <c r="E27" s="90">
        <v>3.0526315789473686</v>
      </c>
      <c r="F27" s="90">
        <v>3.1052631578947367</v>
      </c>
      <c r="G27" s="90">
        <v>2.9473684210526314</v>
      </c>
      <c r="H27" s="90">
        <v>2.8947368421052633</v>
      </c>
      <c r="I27" s="90">
        <v>2.736842105263158</v>
      </c>
      <c r="J27" s="90">
        <v>2.4210526315789473</v>
      </c>
      <c r="K27" s="90">
        <v>2.736842105263158</v>
      </c>
      <c r="L27" s="90">
        <v>2.6315789473684212</v>
      </c>
      <c r="M27" s="90">
        <v>2.4736842105263159</v>
      </c>
      <c r="N27" s="90">
        <v>1.8947368421052631</v>
      </c>
      <c r="O27" s="90">
        <v>2.4210526315789473</v>
      </c>
      <c r="P27" s="90">
        <v>2.2105263157894739</v>
      </c>
      <c r="Q27" s="90">
        <v>2.5789473684210527</v>
      </c>
      <c r="R27" s="90">
        <v>2.3684210526315788</v>
      </c>
      <c r="S27" s="90">
        <v>2.4736842105263159</v>
      </c>
      <c r="T27" s="90">
        <v>2.736842105263158</v>
      </c>
      <c r="U27" s="100">
        <v>19</v>
      </c>
    </row>
    <row r="28" spans="1:21" x14ac:dyDescent="0.35">
      <c r="A28" t="s">
        <v>12</v>
      </c>
      <c r="B28" s="100">
        <v>2</v>
      </c>
      <c r="C28" s="100">
        <v>615</v>
      </c>
      <c r="D28" s="90">
        <v>3.5294117647058822</v>
      </c>
      <c r="E28" s="90">
        <v>3.125</v>
      </c>
      <c r="F28" s="90">
        <v>3.2941176470588234</v>
      </c>
      <c r="G28" s="90">
        <v>3.1764705882352939</v>
      </c>
      <c r="H28" s="90">
        <v>3.1764705882352939</v>
      </c>
      <c r="I28" s="90">
        <v>3</v>
      </c>
      <c r="J28" s="90">
        <v>3</v>
      </c>
      <c r="K28" s="90">
        <v>3.0588235294117645</v>
      </c>
      <c r="L28" s="90">
        <v>2.6470588235294117</v>
      </c>
      <c r="M28" s="90">
        <v>2.4117647058823528</v>
      </c>
      <c r="N28" s="90">
        <v>2.8125</v>
      </c>
      <c r="O28" s="90">
        <v>2.7647058823529411</v>
      </c>
      <c r="P28" s="90">
        <v>2.6470588235294117</v>
      </c>
      <c r="Q28" s="90">
        <v>3.1176470588235294</v>
      </c>
      <c r="R28" s="90">
        <v>2.8235294117647061</v>
      </c>
      <c r="S28" s="90">
        <v>3</v>
      </c>
      <c r="T28" s="90">
        <v>3.0666666666666669</v>
      </c>
      <c r="U28" s="100">
        <v>17</v>
      </c>
    </row>
    <row r="29" spans="1:21" x14ac:dyDescent="0.35">
      <c r="A29" t="s">
        <v>23</v>
      </c>
      <c r="B29" s="100">
        <v>4</v>
      </c>
      <c r="C29" s="100">
        <v>710</v>
      </c>
      <c r="D29" s="90">
        <v>3.0238095238095237</v>
      </c>
      <c r="E29" s="90">
        <v>2.7380952380952381</v>
      </c>
      <c r="F29" s="90">
        <v>2.5609756097560976</v>
      </c>
      <c r="G29" s="90">
        <v>2.8571428571428572</v>
      </c>
      <c r="H29" s="90">
        <v>2.5750000000000002</v>
      </c>
      <c r="I29" s="90">
        <v>2.7857142857142856</v>
      </c>
      <c r="J29" s="90">
        <v>2.3333333333333335</v>
      </c>
      <c r="K29" s="90">
        <v>2.4878048780487805</v>
      </c>
      <c r="L29" s="90">
        <v>2.6190476190476191</v>
      </c>
      <c r="M29" s="90">
        <v>2.2142857142857144</v>
      </c>
      <c r="N29" s="90">
        <v>1.6904761904761905</v>
      </c>
      <c r="O29" s="90">
        <v>1.9512195121951219</v>
      </c>
      <c r="P29" s="90">
        <v>1.9047619047619047</v>
      </c>
      <c r="Q29" s="90">
        <v>2.4871794871794872</v>
      </c>
      <c r="R29" s="90">
        <v>2.1666666666666665</v>
      </c>
      <c r="S29" s="90">
        <v>2.6190476190476191</v>
      </c>
      <c r="T29" s="90">
        <v>2.8292682926829267</v>
      </c>
      <c r="U29" s="100">
        <v>43</v>
      </c>
    </row>
    <row r="30" spans="1:21" x14ac:dyDescent="0.35">
      <c r="A30" t="s">
        <v>64</v>
      </c>
      <c r="B30" s="100">
        <v>4</v>
      </c>
      <c r="C30" s="100">
        <v>680</v>
      </c>
      <c r="D30" s="90">
        <v>3.3636363636363638</v>
      </c>
      <c r="E30" s="90">
        <v>3.2272727272727271</v>
      </c>
      <c r="F30" s="90">
        <v>2.8409090909090908</v>
      </c>
      <c r="G30" s="90">
        <v>2.8372093023255816</v>
      </c>
      <c r="H30" s="90">
        <v>2.5</v>
      </c>
      <c r="I30" s="90">
        <v>3.0227272727272729</v>
      </c>
      <c r="J30" s="90">
        <v>2.4772727272727271</v>
      </c>
      <c r="K30" s="90">
        <v>2.7209302325581395</v>
      </c>
      <c r="L30" s="90">
        <v>2.5681818181818183</v>
      </c>
      <c r="M30" s="90">
        <v>2.3409090909090908</v>
      </c>
      <c r="N30" s="90">
        <v>2</v>
      </c>
      <c r="O30" s="90">
        <v>2.2954545454545454</v>
      </c>
      <c r="P30" s="90">
        <v>2.2619047619047619</v>
      </c>
      <c r="Q30" s="90">
        <v>2.5348837209302326</v>
      </c>
      <c r="R30" s="90">
        <v>2.1363636363636362</v>
      </c>
      <c r="S30" s="90">
        <v>2.4318181818181817</v>
      </c>
      <c r="T30" s="90">
        <v>2.7209302325581395</v>
      </c>
      <c r="U30" s="100">
        <v>44</v>
      </c>
    </row>
    <row r="31" spans="1:21" x14ac:dyDescent="0.35">
      <c r="A31" t="s">
        <v>65</v>
      </c>
      <c r="B31" s="100">
        <v>1</v>
      </c>
      <c r="C31" s="100">
        <v>686</v>
      </c>
      <c r="D31" s="90">
        <v>3.1176470588235294</v>
      </c>
      <c r="E31" s="90">
        <v>3</v>
      </c>
      <c r="F31" s="90">
        <v>2.8235294117647061</v>
      </c>
      <c r="G31" s="90">
        <v>2.7647058823529411</v>
      </c>
      <c r="H31" s="90">
        <v>2.3529411764705883</v>
      </c>
      <c r="I31" s="90">
        <v>3.0588235294117645</v>
      </c>
      <c r="J31" s="90">
        <v>2.6470588235294117</v>
      </c>
      <c r="K31" s="90">
        <v>2.7058823529411766</v>
      </c>
      <c r="L31" s="90">
        <v>2.4705882352941178</v>
      </c>
      <c r="M31" s="90">
        <v>2.2941176470588234</v>
      </c>
      <c r="N31" s="90">
        <v>2.2941176470588234</v>
      </c>
      <c r="O31" s="90">
        <v>2.5882352941176472</v>
      </c>
      <c r="P31" s="90">
        <v>2.0588235294117645</v>
      </c>
      <c r="Q31" s="90">
        <v>2.4705882352941178</v>
      </c>
      <c r="R31" s="90">
        <v>2.5294117647058822</v>
      </c>
      <c r="S31" s="90">
        <v>2.8823529411764706</v>
      </c>
      <c r="T31" s="90">
        <v>2.5294117647058822</v>
      </c>
      <c r="U31" s="100">
        <v>17</v>
      </c>
    </row>
    <row r="32" spans="1:21" x14ac:dyDescent="0.35">
      <c r="A32" t="s">
        <v>13</v>
      </c>
      <c r="B32" s="100">
        <v>5</v>
      </c>
      <c r="C32" s="100">
        <v>734</v>
      </c>
      <c r="D32" s="90">
        <v>3.2363636363636363</v>
      </c>
      <c r="E32" s="90">
        <v>2.8363636363636364</v>
      </c>
      <c r="F32" s="90">
        <v>2.7272727272727271</v>
      </c>
      <c r="G32" s="90">
        <v>2.8909090909090911</v>
      </c>
      <c r="H32" s="90">
        <v>2.7454545454545456</v>
      </c>
      <c r="I32" s="90">
        <v>2.7592592592592591</v>
      </c>
      <c r="J32" s="90">
        <v>2.3272727272727272</v>
      </c>
      <c r="K32" s="90">
        <v>2.5370370370370372</v>
      </c>
      <c r="L32" s="90">
        <v>2.3333333333333335</v>
      </c>
      <c r="M32" s="90">
        <v>2.4727272727272727</v>
      </c>
      <c r="N32" s="90">
        <v>2.0909090909090908</v>
      </c>
      <c r="O32" s="90">
        <v>2.3636363636363638</v>
      </c>
      <c r="P32" s="90">
        <v>2.3333333333333335</v>
      </c>
      <c r="Q32" s="90">
        <v>2.425925925925926</v>
      </c>
      <c r="R32" s="90">
        <v>2.2181818181818183</v>
      </c>
      <c r="S32" s="90">
        <v>2.5636363636363635</v>
      </c>
      <c r="T32" s="90">
        <v>2.8727272727272726</v>
      </c>
      <c r="U32" s="100">
        <v>55</v>
      </c>
    </row>
    <row r="33" spans="1:21" x14ac:dyDescent="0.35">
      <c r="A33" t="s">
        <v>14</v>
      </c>
      <c r="B33" s="100">
        <v>3</v>
      </c>
      <c r="C33" s="100">
        <v>753</v>
      </c>
      <c r="D33" s="90">
        <v>3.5555555555555554</v>
      </c>
      <c r="E33" s="90">
        <v>3.3333333333333335</v>
      </c>
      <c r="F33" s="90">
        <v>3.1944444444444446</v>
      </c>
      <c r="G33" s="90">
        <v>3.3055555555555554</v>
      </c>
      <c r="H33" s="90">
        <v>3.2571428571428571</v>
      </c>
      <c r="I33" s="90">
        <v>3.0277777777777777</v>
      </c>
      <c r="J33" s="90">
        <v>2.5</v>
      </c>
      <c r="K33" s="90">
        <v>2.8611111111111112</v>
      </c>
      <c r="L33" s="90">
        <v>2.6111111111111112</v>
      </c>
      <c r="M33" s="90">
        <v>2.7777777777777777</v>
      </c>
      <c r="N33" s="90">
        <v>2.0555555555555554</v>
      </c>
      <c r="O33" s="90">
        <v>2.2222222222222223</v>
      </c>
      <c r="P33" s="90">
        <v>2.0555555555555554</v>
      </c>
      <c r="Q33" s="90">
        <v>2.8888888888888888</v>
      </c>
      <c r="R33" s="90">
        <v>2.7222222222222223</v>
      </c>
      <c r="S33" s="90">
        <v>2.9714285714285715</v>
      </c>
      <c r="T33" s="90">
        <v>3.2571428571428571</v>
      </c>
      <c r="U33" s="100">
        <v>36</v>
      </c>
    </row>
    <row r="34" spans="1:21" x14ac:dyDescent="0.35">
      <c r="A34" t="s">
        <v>67</v>
      </c>
      <c r="B34" s="100">
        <v>1</v>
      </c>
      <c r="C34" s="100">
        <v>783</v>
      </c>
      <c r="D34" s="90">
        <v>2.9615384615384617</v>
      </c>
      <c r="E34" s="90">
        <v>3.1923076923076925</v>
      </c>
      <c r="F34" s="90">
        <v>3.12</v>
      </c>
      <c r="G34" s="90">
        <v>3.1153846153846154</v>
      </c>
      <c r="H34" s="90">
        <v>2.6538461538461537</v>
      </c>
      <c r="I34" s="90">
        <v>2.9615384615384617</v>
      </c>
      <c r="J34" s="90">
        <v>2.6923076923076925</v>
      </c>
      <c r="K34" s="90">
        <v>3.1538461538461537</v>
      </c>
      <c r="L34" s="90">
        <v>2.6923076923076925</v>
      </c>
      <c r="M34" s="90">
        <v>2.5</v>
      </c>
      <c r="N34" s="90">
        <v>2.0769230769230771</v>
      </c>
      <c r="O34" s="90">
        <v>2.4615384615384617</v>
      </c>
      <c r="P34" s="90">
        <v>2.4</v>
      </c>
      <c r="Q34" s="90">
        <v>2.5</v>
      </c>
      <c r="R34" s="90">
        <v>2.3076923076923075</v>
      </c>
      <c r="S34" s="90">
        <v>2.7307692307692308</v>
      </c>
      <c r="T34" s="90">
        <v>2.7692307692307692</v>
      </c>
      <c r="U34" s="100">
        <v>26</v>
      </c>
    </row>
    <row r="35" spans="1:21" x14ac:dyDescent="0.35">
      <c r="A35" t="s">
        <v>68</v>
      </c>
      <c r="B35" s="100">
        <v>6</v>
      </c>
      <c r="C35" s="100">
        <v>837</v>
      </c>
      <c r="D35" s="90">
        <v>3.3846153846153846</v>
      </c>
      <c r="E35" s="90">
        <v>2.9807692307692308</v>
      </c>
      <c r="F35" s="90">
        <v>2.7647058823529411</v>
      </c>
      <c r="G35" s="90">
        <v>2.7307692307692308</v>
      </c>
      <c r="H35" s="90">
        <v>2.9230769230769229</v>
      </c>
      <c r="I35" s="90">
        <v>2.784313725490196</v>
      </c>
      <c r="J35" s="90">
        <v>2.5961538461538463</v>
      </c>
      <c r="K35" s="90">
        <v>2.6153846153846154</v>
      </c>
      <c r="L35" s="90">
        <v>2.3269230769230771</v>
      </c>
      <c r="M35" s="90">
        <v>2.4615384615384617</v>
      </c>
      <c r="N35" s="90">
        <v>2.3846153846153846</v>
      </c>
      <c r="O35" s="90">
        <v>2.4509803921568629</v>
      </c>
      <c r="P35" s="90">
        <v>2.3725490196078431</v>
      </c>
      <c r="Q35" s="90">
        <v>2.7115384615384617</v>
      </c>
      <c r="R35" s="90">
        <v>2.8076923076923075</v>
      </c>
      <c r="S35" s="90">
        <v>2.5490196078431371</v>
      </c>
      <c r="T35" s="90">
        <v>2.7450980392156863</v>
      </c>
      <c r="U35" s="100">
        <v>52</v>
      </c>
    </row>
    <row r="36" spans="1:21" x14ac:dyDescent="0.35">
      <c r="A36" t="s">
        <v>69</v>
      </c>
      <c r="B36" s="100">
        <v>4</v>
      </c>
      <c r="C36" s="100">
        <v>851</v>
      </c>
      <c r="D36" s="90">
        <v>3.358974358974359</v>
      </c>
      <c r="E36" s="90">
        <v>3.0263157894736841</v>
      </c>
      <c r="F36" s="90">
        <v>2.9743589743589745</v>
      </c>
      <c r="G36" s="90">
        <v>2.9473684210526314</v>
      </c>
      <c r="H36" s="90">
        <v>2.7435897435897436</v>
      </c>
      <c r="I36" s="90">
        <v>2.8421052631578947</v>
      </c>
      <c r="J36" s="90">
        <v>2.4615384615384617</v>
      </c>
      <c r="K36" s="90">
        <v>2.8205128205128207</v>
      </c>
      <c r="L36" s="90">
        <v>2.7692307692307692</v>
      </c>
      <c r="M36" s="90">
        <v>2.358974358974359</v>
      </c>
      <c r="N36" s="90">
        <v>1.972972972972973</v>
      </c>
      <c r="O36" s="90">
        <v>2.6315789473684212</v>
      </c>
      <c r="P36" s="90">
        <v>2.2894736842105261</v>
      </c>
      <c r="Q36" s="90">
        <v>2.5526315789473686</v>
      </c>
      <c r="R36" s="90">
        <v>2.5128205128205128</v>
      </c>
      <c r="S36" s="90">
        <v>2.4615384615384617</v>
      </c>
      <c r="T36" s="90">
        <v>2.7894736842105261</v>
      </c>
      <c r="U36" s="100">
        <v>39</v>
      </c>
    </row>
    <row r="37" spans="1:21" x14ac:dyDescent="0.35">
      <c r="A37" t="s">
        <v>15</v>
      </c>
      <c r="B37" s="100">
        <v>6</v>
      </c>
      <c r="C37" s="100">
        <v>853</v>
      </c>
      <c r="D37" s="90">
        <v>3.0923076923076924</v>
      </c>
      <c r="E37" s="90">
        <v>2.6307692307692307</v>
      </c>
      <c r="F37" s="90">
        <v>2.5384615384615383</v>
      </c>
      <c r="G37" s="90">
        <v>2.523076923076923</v>
      </c>
      <c r="H37" s="90">
        <v>2.4615384615384617</v>
      </c>
      <c r="I37" s="90">
        <v>2.6615384615384614</v>
      </c>
      <c r="J37" s="90">
        <v>2.2461538461538462</v>
      </c>
      <c r="K37" s="90">
        <v>2.4615384615384617</v>
      </c>
      <c r="L37" s="90">
        <v>2.3538461538461539</v>
      </c>
      <c r="M37" s="90">
        <v>2.2615384615384615</v>
      </c>
      <c r="N37" s="90">
        <v>2.2000000000000002</v>
      </c>
      <c r="O37" s="90">
        <v>2.2769230769230768</v>
      </c>
      <c r="P37" s="90">
        <v>2.1692307692307691</v>
      </c>
      <c r="Q37" s="90">
        <v>2.4</v>
      </c>
      <c r="R37" s="90">
        <v>2.2769230769230768</v>
      </c>
      <c r="S37" s="90">
        <v>2.3538461538461539</v>
      </c>
      <c r="T37" s="90">
        <v>2.484375</v>
      </c>
      <c r="U37" s="100">
        <v>65</v>
      </c>
    </row>
    <row r="38" spans="1:21" x14ac:dyDescent="0.35">
      <c r="A38" t="s">
        <v>16</v>
      </c>
      <c r="B38" s="100">
        <v>5</v>
      </c>
      <c r="C38" s="100">
        <v>905</v>
      </c>
      <c r="D38" s="90">
        <v>3.0175438596491229</v>
      </c>
      <c r="E38" s="90">
        <v>2.7543859649122808</v>
      </c>
      <c r="F38" s="90">
        <v>2.6666666666666665</v>
      </c>
      <c r="G38" s="90">
        <v>2.6785714285714284</v>
      </c>
      <c r="H38" s="90">
        <v>2.5964912280701755</v>
      </c>
      <c r="I38" s="90">
        <v>2.736842105263158</v>
      </c>
      <c r="J38" s="90">
        <v>2.2105263157894739</v>
      </c>
      <c r="K38" s="90">
        <v>2.4210526315789473</v>
      </c>
      <c r="L38" s="90">
        <v>2.4561403508771931</v>
      </c>
      <c r="M38" s="90">
        <v>2.4912280701754388</v>
      </c>
      <c r="N38" s="90">
        <v>1.9824561403508771</v>
      </c>
      <c r="O38" s="90">
        <v>2.1964285714285716</v>
      </c>
      <c r="P38" s="90">
        <v>2.1071428571428572</v>
      </c>
      <c r="Q38" s="90">
        <v>2.2807017543859649</v>
      </c>
      <c r="R38" s="90">
        <v>2.2105263157894739</v>
      </c>
      <c r="S38" s="90">
        <v>2.1754385964912282</v>
      </c>
      <c r="T38" s="90">
        <v>2.4736842105263159</v>
      </c>
      <c r="U38" s="100">
        <v>57</v>
      </c>
    </row>
    <row r="39" spans="1:21" x14ac:dyDescent="0.35">
      <c r="A39" t="s">
        <v>71</v>
      </c>
      <c r="B39" s="100">
        <v>6</v>
      </c>
      <c r="C39" s="100">
        <v>92</v>
      </c>
      <c r="D39" s="90">
        <v>3.0795454545454546</v>
      </c>
      <c r="E39" s="90">
        <v>2.797752808988764</v>
      </c>
      <c r="F39" s="90">
        <v>2.8314606741573032</v>
      </c>
      <c r="G39" s="90">
        <v>2.797752808988764</v>
      </c>
      <c r="H39" s="90">
        <v>2.8651685393258428</v>
      </c>
      <c r="I39" s="90">
        <v>2.8235294117647061</v>
      </c>
      <c r="J39" s="90">
        <v>2.2696629213483148</v>
      </c>
      <c r="K39" s="90">
        <v>2.4606741573033708</v>
      </c>
      <c r="L39" s="90">
        <v>2.4719101123595504</v>
      </c>
      <c r="M39" s="90">
        <v>2.50561797752809</v>
      </c>
      <c r="N39" s="90">
        <v>2.2808988764044944</v>
      </c>
      <c r="O39" s="90">
        <v>2.303370786516854</v>
      </c>
      <c r="P39" s="90">
        <v>2.202247191011236</v>
      </c>
      <c r="Q39" s="90">
        <v>2.3820224719101124</v>
      </c>
      <c r="R39" s="90">
        <v>2.3820224719101124</v>
      </c>
      <c r="S39" s="90">
        <v>2.6404494382022472</v>
      </c>
      <c r="T39" s="90">
        <v>2.898876404494382</v>
      </c>
      <c r="U39" s="100">
        <v>89</v>
      </c>
    </row>
    <row r="40" spans="1:21" x14ac:dyDescent="0.35">
      <c r="A40" t="s">
        <v>17</v>
      </c>
      <c r="B40" s="100">
        <v>1</v>
      </c>
      <c r="C40" s="100">
        <v>934</v>
      </c>
      <c r="D40" s="90">
        <v>2.8666666666666667</v>
      </c>
      <c r="E40" s="90">
        <v>2.2666666666666666</v>
      </c>
      <c r="F40" s="90">
        <v>2.0714285714285716</v>
      </c>
      <c r="G40" s="90">
        <v>2.5333333333333332</v>
      </c>
      <c r="H40" s="90">
        <v>2.3571428571428572</v>
      </c>
      <c r="I40" s="90">
        <v>2.2666666666666666</v>
      </c>
      <c r="J40" s="90">
        <v>2.1333333333333333</v>
      </c>
      <c r="K40" s="90">
        <v>2.6666666666666665</v>
      </c>
      <c r="L40" s="90">
        <v>2.0666666666666669</v>
      </c>
      <c r="M40" s="90">
        <v>1.8</v>
      </c>
      <c r="N40" s="90">
        <v>1.5333333333333334</v>
      </c>
      <c r="O40" s="90">
        <v>2</v>
      </c>
      <c r="P40" s="90">
        <v>1.5333333333333334</v>
      </c>
      <c r="Q40" s="90">
        <v>1.7333333333333334</v>
      </c>
      <c r="R40" s="90">
        <v>1.9333333333333333</v>
      </c>
      <c r="S40" s="90">
        <v>1.8571428571428572</v>
      </c>
      <c r="T40" s="90">
        <v>2.0666666666666669</v>
      </c>
      <c r="U40" s="100">
        <v>16</v>
      </c>
    </row>
    <row r="41" spans="1:21" x14ac:dyDescent="0.35">
      <c r="A41" t="s">
        <v>24</v>
      </c>
      <c r="B41" s="100">
        <v>2</v>
      </c>
      <c r="C41" s="100">
        <v>946</v>
      </c>
      <c r="D41" s="90">
        <v>3.2903225806451615</v>
      </c>
      <c r="E41" s="90">
        <v>3.064516129032258</v>
      </c>
      <c r="F41" s="90">
        <v>3</v>
      </c>
      <c r="G41" s="90">
        <v>2.870967741935484</v>
      </c>
      <c r="H41" s="90">
        <v>2.806451612903226</v>
      </c>
      <c r="I41" s="90">
        <v>3</v>
      </c>
      <c r="J41" s="90">
        <v>2.3666666666666667</v>
      </c>
      <c r="K41" s="90">
        <v>2.7096774193548385</v>
      </c>
      <c r="L41" s="90">
        <v>2.870967741935484</v>
      </c>
      <c r="M41" s="90">
        <v>2.5483870967741935</v>
      </c>
      <c r="N41" s="90">
        <v>1.7096774193548387</v>
      </c>
      <c r="O41" s="90">
        <v>2.193548387096774</v>
      </c>
      <c r="P41" s="90">
        <v>1.903225806451613</v>
      </c>
      <c r="Q41" s="90">
        <v>2.3548387096774195</v>
      </c>
      <c r="R41" s="90">
        <v>2.2580645161290325</v>
      </c>
      <c r="S41" s="90">
        <v>2.5806451612903225</v>
      </c>
      <c r="T41" s="90">
        <v>2.9</v>
      </c>
      <c r="U41" s="100">
        <v>31</v>
      </c>
    </row>
    <row r="44" spans="1:21" x14ac:dyDescent="0.35">
      <c r="A44" t="s">
        <v>126</v>
      </c>
      <c r="D44" t="s">
        <v>204</v>
      </c>
      <c r="E44" t="s">
        <v>205</v>
      </c>
      <c r="F44" t="s">
        <v>206</v>
      </c>
      <c r="G44" t="s">
        <v>207</v>
      </c>
      <c r="H44" t="s">
        <v>208</v>
      </c>
      <c r="I44" t="s">
        <v>209</v>
      </c>
      <c r="J44" t="s">
        <v>210</v>
      </c>
      <c r="K44" t="s">
        <v>211</v>
      </c>
      <c r="L44" t="s">
        <v>212</v>
      </c>
      <c r="M44" t="s">
        <v>213</v>
      </c>
      <c r="N44" t="s">
        <v>214</v>
      </c>
      <c r="O44" t="s">
        <v>215</v>
      </c>
      <c r="P44" t="s">
        <v>216</v>
      </c>
      <c r="Q44" t="s">
        <v>217</v>
      </c>
      <c r="R44" t="s">
        <v>218</v>
      </c>
      <c r="S44" t="s">
        <v>219</v>
      </c>
      <c r="T44" t="s">
        <v>220</v>
      </c>
      <c r="U44" t="s">
        <v>79</v>
      </c>
    </row>
    <row r="45" spans="1:21" x14ac:dyDescent="0.35">
      <c r="A45" t="s">
        <v>130</v>
      </c>
      <c r="D45" s="90">
        <v>3.3378378378378377</v>
      </c>
      <c r="E45" s="90">
        <v>3.1543624161073827</v>
      </c>
      <c r="F45" s="90">
        <v>3.0476190476190474</v>
      </c>
      <c r="G45" s="90">
        <v>3.0671140939597317</v>
      </c>
      <c r="H45" s="90">
        <v>2.795918367346939</v>
      </c>
      <c r="I45" s="90">
        <v>2.9527027027027026</v>
      </c>
      <c r="J45" s="90">
        <v>2.6216216216216215</v>
      </c>
      <c r="K45" s="90">
        <v>3.0134228187919465</v>
      </c>
      <c r="L45" s="90">
        <v>2.7583892617449663</v>
      </c>
      <c r="M45" s="90">
        <v>2.5570469798657718</v>
      </c>
      <c r="N45" s="90">
        <v>2.1208053691275168</v>
      </c>
      <c r="O45" s="90">
        <v>2.5033557046979866</v>
      </c>
      <c r="P45" s="90">
        <v>2.3378378378378377</v>
      </c>
      <c r="Q45" s="90">
        <v>2.6040268456375837</v>
      </c>
      <c r="R45" s="90">
        <v>2.6241610738255035</v>
      </c>
      <c r="S45" s="90">
        <v>2.7229729729729728</v>
      </c>
      <c r="T45" s="90">
        <v>2.8053691275167787</v>
      </c>
      <c r="U45" s="100">
        <v>151</v>
      </c>
    </row>
    <row r="46" spans="1:21" x14ac:dyDescent="0.35">
      <c r="A46" t="s">
        <v>131</v>
      </c>
      <c r="D46" s="90">
        <v>3.2517482517482517</v>
      </c>
      <c r="E46" s="90">
        <v>3.0209790209790208</v>
      </c>
      <c r="F46" s="90">
        <v>3.104895104895105</v>
      </c>
      <c r="G46" s="90">
        <v>2.9166666666666665</v>
      </c>
      <c r="H46" s="90">
        <v>2.93006993006993</v>
      </c>
      <c r="I46" s="90">
        <v>2.8888888888888888</v>
      </c>
      <c r="J46" s="90">
        <v>2.4577464788732395</v>
      </c>
      <c r="K46" s="90">
        <v>2.7902097902097904</v>
      </c>
      <c r="L46" s="90">
        <v>2.7152777777777777</v>
      </c>
      <c r="M46" s="90">
        <v>2.5104895104895104</v>
      </c>
      <c r="N46" s="90">
        <v>2.2377622377622379</v>
      </c>
      <c r="O46" s="90">
        <v>2.3617021276595747</v>
      </c>
      <c r="P46" s="90">
        <v>2.1944444444444446</v>
      </c>
      <c r="Q46" s="90">
        <v>2.5</v>
      </c>
      <c r="R46" s="90">
        <v>2.3943661971830985</v>
      </c>
      <c r="S46" s="90">
        <v>2.6944444444444446</v>
      </c>
      <c r="T46" s="90">
        <v>2.7463768115942031</v>
      </c>
      <c r="U46" s="100">
        <v>144</v>
      </c>
    </row>
    <row r="47" spans="1:21" x14ac:dyDescent="0.35">
      <c r="A47" t="s">
        <v>132</v>
      </c>
      <c r="D47" s="90">
        <v>3.2546816479400751</v>
      </c>
      <c r="E47" s="90">
        <v>3.0299625468164795</v>
      </c>
      <c r="F47" s="90">
        <v>2.9886792452830186</v>
      </c>
      <c r="G47" s="90">
        <v>3.0262172284644193</v>
      </c>
      <c r="H47" s="90">
        <v>2.8409090909090908</v>
      </c>
      <c r="I47" s="90">
        <v>2.8838951310861423</v>
      </c>
      <c r="J47" s="90">
        <v>2.5037593984962405</v>
      </c>
      <c r="K47" s="90">
        <v>2.8127340823970037</v>
      </c>
      <c r="L47" s="90">
        <v>2.7415730337078652</v>
      </c>
      <c r="M47" s="90">
        <v>2.5962264150943395</v>
      </c>
      <c r="N47" s="90">
        <v>2.0601503759398496</v>
      </c>
      <c r="O47" s="90">
        <v>2.4269662921348316</v>
      </c>
      <c r="P47" s="90">
        <v>2.3120300751879701</v>
      </c>
      <c r="Q47" s="90">
        <v>2.5698113207547171</v>
      </c>
      <c r="R47" s="90">
        <v>2.4566037735849058</v>
      </c>
      <c r="S47" s="90">
        <v>2.6879699248120299</v>
      </c>
      <c r="T47" s="90">
        <v>2.9624060150375939</v>
      </c>
      <c r="U47" s="100">
        <v>268</v>
      </c>
    </row>
    <row r="48" spans="1:21" x14ac:dyDescent="0.35">
      <c r="A48" t="s">
        <v>133</v>
      </c>
      <c r="D48" s="90">
        <v>3.3125</v>
      </c>
      <c r="E48" s="90">
        <v>3.015748031496063</v>
      </c>
      <c r="F48" s="90">
        <v>2.8015873015873014</v>
      </c>
      <c r="G48" s="90">
        <v>2.924901185770751</v>
      </c>
      <c r="H48" s="90">
        <v>2.6284584980237153</v>
      </c>
      <c r="I48" s="90">
        <v>2.8392156862745099</v>
      </c>
      <c r="J48" s="90">
        <v>2.4453125</v>
      </c>
      <c r="K48" s="90">
        <v>2.7747035573122529</v>
      </c>
      <c r="L48" s="90">
        <v>2.6431372549019607</v>
      </c>
      <c r="M48" s="90">
        <v>2.3960784313725489</v>
      </c>
      <c r="N48" s="90">
        <v>1.9960474308300395</v>
      </c>
      <c r="O48" s="90">
        <v>2.4055118110236222</v>
      </c>
      <c r="P48" s="90">
        <v>2.3095238095238093</v>
      </c>
      <c r="Q48" s="90">
        <v>2.5760000000000001</v>
      </c>
      <c r="R48" s="90">
        <v>2.34765625</v>
      </c>
      <c r="S48" s="90">
        <v>2.5849802371541504</v>
      </c>
      <c r="T48" s="90">
        <v>2.7777777777777777</v>
      </c>
      <c r="U48" s="100">
        <v>258</v>
      </c>
    </row>
    <row r="49" spans="1:21" x14ac:dyDescent="0.35">
      <c r="A49" t="s">
        <v>134</v>
      </c>
      <c r="D49" s="90">
        <v>3.1424242424242426</v>
      </c>
      <c r="E49" s="90">
        <v>2.8231707317073171</v>
      </c>
      <c r="F49" s="90">
        <v>2.735562310030395</v>
      </c>
      <c r="G49" s="90">
        <v>2.7798165137614679</v>
      </c>
      <c r="H49" s="90">
        <v>2.6128048780487805</v>
      </c>
      <c r="I49" s="90">
        <v>2.7286585365853657</v>
      </c>
      <c r="J49" s="90">
        <v>2.3170731707317072</v>
      </c>
      <c r="K49" s="90">
        <v>2.5349544072948329</v>
      </c>
      <c r="L49" s="90">
        <v>2.4194528875379939</v>
      </c>
      <c r="M49" s="90">
        <v>2.4133738601823707</v>
      </c>
      <c r="N49" s="90">
        <v>2.1036585365853657</v>
      </c>
      <c r="O49" s="90">
        <v>2.3525835866261398</v>
      </c>
      <c r="P49" s="90">
        <v>2.3354037267080745</v>
      </c>
      <c r="Q49" s="90">
        <v>2.4189602446483178</v>
      </c>
      <c r="R49" s="90">
        <v>2.3545454545454545</v>
      </c>
      <c r="S49" s="90">
        <v>2.403669724770642</v>
      </c>
      <c r="T49" s="90">
        <v>2.6757575757575758</v>
      </c>
      <c r="U49" s="100">
        <v>335</v>
      </c>
    </row>
    <row r="50" spans="1:21" x14ac:dyDescent="0.35">
      <c r="A50" t="s">
        <v>135</v>
      </c>
      <c r="D50" s="90">
        <v>3.1521197007481296</v>
      </c>
      <c r="E50" s="90">
        <v>2.8532338308457712</v>
      </c>
      <c r="F50" s="90">
        <v>2.7425000000000002</v>
      </c>
      <c r="G50" s="90">
        <v>2.7288557213930349</v>
      </c>
      <c r="H50" s="90">
        <v>2.7860696517412937</v>
      </c>
      <c r="I50" s="90">
        <v>2.7732997481108312</v>
      </c>
      <c r="J50" s="90">
        <v>2.3232323232323231</v>
      </c>
      <c r="K50" s="90">
        <v>2.5425</v>
      </c>
      <c r="L50" s="90">
        <v>2.3975</v>
      </c>
      <c r="M50" s="90">
        <v>2.4075000000000002</v>
      </c>
      <c r="N50" s="90">
        <v>2.1775000000000002</v>
      </c>
      <c r="O50" s="90">
        <v>2.3266331658291457</v>
      </c>
      <c r="P50" s="90">
        <v>2.25</v>
      </c>
      <c r="Q50" s="90">
        <v>2.4962406015037595</v>
      </c>
      <c r="R50" s="90">
        <v>2.4536340852130327</v>
      </c>
      <c r="S50" s="90">
        <v>2.488721804511278</v>
      </c>
      <c r="T50" s="90">
        <v>2.7633587786259541</v>
      </c>
      <c r="U50" s="100">
        <v>406</v>
      </c>
    </row>
    <row r="52" spans="1:21" x14ac:dyDescent="0.35">
      <c r="D52" t="s">
        <v>204</v>
      </c>
      <c r="E52" t="s">
        <v>205</v>
      </c>
      <c r="F52" t="s">
        <v>206</v>
      </c>
      <c r="G52" t="s">
        <v>207</v>
      </c>
      <c r="H52" t="s">
        <v>208</v>
      </c>
      <c r="I52" t="s">
        <v>209</v>
      </c>
      <c r="J52" t="s">
        <v>210</v>
      </c>
      <c r="K52" t="s">
        <v>211</v>
      </c>
      <c r="L52" t="s">
        <v>212</v>
      </c>
      <c r="M52" t="s">
        <v>213</v>
      </c>
      <c r="N52" t="s">
        <v>214</v>
      </c>
      <c r="O52" t="s">
        <v>215</v>
      </c>
      <c r="P52" t="s">
        <v>216</v>
      </c>
      <c r="Q52" t="s">
        <v>217</v>
      </c>
      <c r="R52" t="s">
        <v>218</v>
      </c>
      <c r="S52" t="s">
        <v>219</v>
      </c>
      <c r="T52" t="s">
        <v>220</v>
      </c>
      <c r="U52" t="s">
        <v>79</v>
      </c>
    </row>
    <row r="53" spans="1:21" x14ac:dyDescent="0.35">
      <c r="A53" t="s">
        <v>127</v>
      </c>
      <c r="D53" s="90">
        <v>3.2213592233009707</v>
      </c>
      <c r="E53" s="90">
        <v>2.948801036941024</v>
      </c>
      <c r="F53" s="90">
        <v>2.8561197916666665</v>
      </c>
      <c r="G53" s="90">
        <v>2.8735408560311284</v>
      </c>
      <c r="H53" s="90">
        <v>2.7469095640858816</v>
      </c>
      <c r="I53" s="90">
        <v>2.8219623131903835</v>
      </c>
      <c r="J53" s="90">
        <v>2.4147135416666665</v>
      </c>
      <c r="K53" s="90">
        <v>2.6943543153796234</v>
      </c>
      <c r="L53" s="90">
        <v>2.5667098445595853</v>
      </c>
      <c r="M53" s="90">
        <v>2.4633354964308891</v>
      </c>
      <c r="N53" s="90">
        <v>2.1117608836907085</v>
      </c>
      <c r="O53" s="90">
        <v>2.38296488946684</v>
      </c>
      <c r="P53" s="90">
        <v>2.2918848167539267</v>
      </c>
      <c r="Q53" s="90">
        <v>2.5162972620599739</v>
      </c>
      <c r="R53" s="90">
        <v>2.4263465282284229</v>
      </c>
      <c r="S53" s="90">
        <v>2.5627846454131427</v>
      </c>
      <c r="T53" s="90">
        <v>2.7840314136125652</v>
      </c>
      <c r="U53" s="100">
        <v>1562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22" workbookViewId="0">
      <selection activeCell="A69" sqref="A69:L69"/>
    </sheetView>
  </sheetViews>
  <sheetFormatPr defaultRowHeight="14.6" x14ac:dyDescent="0.35"/>
  <sheetData>
    <row r="1" spans="1:19" x14ac:dyDescent="0.35">
      <c r="A1" t="s">
        <v>122</v>
      </c>
      <c r="B1" t="s">
        <v>123</v>
      </c>
      <c r="C1" t="s">
        <v>124</v>
      </c>
      <c r="D1" t="s">
        <v>221</v>
      </c>
      <c r="E1" t="s">
        <v>222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231</v>
      </c>
      <c r="O1" t="s">
        <v>232</v>
      </c>
      <c r="P1" t="s">
        <v>233</v>
      </c>
      <c r="Q1" t="s">
        <v>234</v>
      </c>
      <c r="R1" t="s">
        <v>235</v>
      </c>
      <c r="S1" t="s">
        <v>79</v>
      </c>
    </row>
    <row r="2" spans="1:19" x14ac:dyDescent="0.35">
      <c r="A2" t="s">
        <v>44</v>
      </c>
      <c r="B2" s="100">
        <v>1</v>
      </c>
      <c r="C2" s="100">
        <v>18</v>
      </c>
      <c r="D2" s="90">
        <v>4.5</v>
      </c>
      <c r="E2" s="90">
        <v>4.4375</v>
      </c>
      <c r="F2" s="90">
        <v>3.3125</v>
      </c>
      <c r="G2" s="90">
        <v>3.625</v>
      </c>
      <c r="H2" s="90">
        <v>3.625</v>
      </c>
      <c r="I2" s="90">
        <v>4</v>
      </c>
      <c r="J2" s="90">
        <v>3.5625</v>
      </c>
      <c r="K2" s="90">
        <v>2.5</v>
      </c>
      <c r="L2" s="90">
        <v>2.25</v>
      </c>
      <c r="M2" s="90">
        <v>3.6875</v>
      </c>
      <c r="N2" s="90">
        <v>3.0625</v>
      </c>
      <c r="O2" s="90">
        <v>2.875</v>
      </c>
      <c r="P2" s="90">
        <v>2.125</v>
      </c>
      <c r="Q2" s="90">
        <v>2.2666666666666666</v>
      </c>
      <c r="R2" s="90">
        <v>2.9375</v>
      </c>
      <c r="S2" s="100">
        <v>16</v>
      </c>
    </row>
    <row r="3" spans="1:19" x14ac:dyDescent="0.35">
      <c r="A3" t="s">
        <v>45</v>
      </c>
      <c r="B3" s="100">
        <v>6</v>
      </c>
      <c r="C3" s="100">
        <v>49</v>
      </c>
      <c r="D3" s="90">
        <v>3.6219512195121952</v>
      </c>
      <c r="E3" s="90">
        <v>4.333333333333333</v>
      </c>
      <c r="F3" s="90">
        <v>3.2560975609756095</v>
      </c>
      <c r="G3" s="90">
        <v>3.2926829268292681</v>
      </c>
      <c r="H3" s="90">
        <v>4.2439024390243905</v>
      </c>
      <c r="I3" s="90">
        <v>4.7901234567901234</v>
      </c>
      <c r="J3" s="90">
        <v>4.2804878048780486</v>
      </c>
      <c r="K3" s="90">
        <v>2.5853658536585367</v>
      </c>
      <c r="L3" s="90">
        <v>2.3125</v>
      </c>
      <c r="M3" s="90">
        <v>3.5853658536585367</v>
      </c>
      <c r="N3" s="90">
        <v>3.0609756097560976</v>
      </c>
      <c r="O3" s="90">
        <v>3.2345679012345681</v>
      </c>
      <c r="P3" s="90">
        <v>2.4074074074074074</v>
      </c>
      <c r="Q3" s="90">
        <v>2</v>
      </c>
      <c r="R3" s="90">
        <v>2.9135802469135803</v>
      </c>
      <c r="S3" s="100">
        <v>82</v>
      </c>
    </row>
    <row r="4" spans="1:19" x14ac:dyDescent="0.35">
      <c r="A4" t="s">
        <v>46</v>
      </c>
      <c r="B4" s="100">
        <v>2</v>
      </c>
      <c r="C4" s="100">
        <v>82</v>
      </c>
      <c r="D4" s="90">
        <v>4.0952380952380949</v>
      </c>
      <c r="E4" s="90">
        <v>4.666666666666667</v>
      </c>
      <c r="F4" s="90">
        <v>3.3333333333333335</v>
      </c>
      <c r="G4" s="90">
        <v>3.5238095238095237</v>
      </c>
      <c r="H4" s="90">
        <v>4.4285714285714288</v>
      </c>
      <c r="I4" s="90">
        <v>4.5714285714285712</v>
      </c>
      <c r="J4" s="90">
        <v>3.8095238095238093</v>
      </c>
      <c r="K4" s="90">
        <v>2.9523809523809526</v>
      </c>
      <c r="L4" s="90">
        <v>2.5238095238095237</v>
      </c>
      <c r="M4" s="90">
        <v>3.7142857142857144</v>
      </c>
      <c r="N4" s="90">
        <v>3.2</v>
      </c>
      <c r="O4" s="90">
        <v>2.8571428571428572</v>
      </c>
      <c r="P4" s="90">
        <v>2.4</v>
      </c>
      <c r="Q4" s="90">
        <v>2.4</v>
      </c>
      <c r="R4" s="90">
        <v>3.1578947368421053</v>
      </c>
      <c r="S4" s="100">
        <v>21</v>
      </c>
    </row>
    <row r="5" spans="1:19" x14ac:dyDescent="0.35">
      <c r="A5" t="s">
        <v>2</v>
      </c>
      <c r="B5" s="100">
        <v>1</v>
      </c>
      <c r="C5" s="100">
        <v>97</v>
      </c>
      <c r="D5" s="90">
        <v>3.0714285714285716</v>
      </c>
      <c r="E5" s="90">
        <v>3.9285714285714284</v>
      </c>
      <c r="F5" s="90">
        <v>3</v>
      </c>
      <c r="G5" s="90">
        <v>2.7857142857142856</v>
      </c>
      <c r="H5" s="90">
        <v>3.2857142857142856</v>
      </c>
      <c r="I5" s="90">
        <v>4.6428571428571432</v>
      </c>
      <c r="J5" s="90">
        <v>3.9285714285714284</v>
      </c>
      <c r="K5" s="90">
        <v>3.0714285714285716</v>
      </c>
      <c r="L5" s="90">
        <v>3.0714285714285716</v>
      </c>
      <c r="M5" s="90">
        <v>3.2307692307692308</v>
      </c>
      <c r="N5" s="90">
        <v>2.5714285714285716</v>
      </c>
      <c r="O5" s="90">
        <v>3.1428571428571428</v>
      </c>
      <c r="P5" s="90">
        <v>2.5</v>
      </c>
      <c r="Q5" s="90">
        <v>1.9285714285714286</v>
      </c>
      <c r="R5" s="90">
        <v>3.3571428571428572</v>
      </c>
      <c r="S5" s="100">
        <v>14</v>
      </c>
    </row>
    <row r="6" spans="1:19" x14ac:dyDescent="0.35">
      <c r="A6" t="s">
        <v>3</v>
      </c>
      <c r="B6" s="100">
        <v>4</v>
      </c>
      <c r="C6" s="100">
        <v>54</v>
      </c>
      <c r="D6" s="90">
        <v>4.193548387096774</v>
      </c>
      <c r="E6" s="90">
        <v>4.5483870967741939</v>
      </c>
      <c r="F6" s="90">
        <v>3.7</v>
      </c>
      <c r="G6" s="90">
        <v>3.5483870967741935</v>
      </c>
      <c r="H6" s="90">
        <v>3.903225806451613</v>
      </c>
      <c r="I6" s="90">
        <v>4.290322580645161</v>
      </c>
      <c r="J6" s="90">
        <v>3.7419354838709675</v>
      </c>
      <c r="K6" s="90">
        <v>2.6129032258064515</v>
      </c>
      <c r="L6" s="90">
        <v>2.5806451612903225</v>
      </c>
      <c r="M6" s="90">
        <v>3.4516129032258065</v>
      </c>
      <c r="N6" s="90">
        <v>2.838709677419355</v>
      </c>
      <c r="O6" s="90">
        <v>2.806451612903226</v>
      </c>
      <c r="P6" s="90">
        <v>2.5483870967741935</v>
      </c>
      <c r="Q6" s="90">
        <v>2.225806451612903</v>
      </c>
      <c r="R6" s="90">
        <v>3.193548387096774</v>
      </c>
      <c r="S6" s="100">
        <v>31</v>
      </c>
    </row>
    <row r="7" spans="1:19" x14ac:dyDescent="0.35">
      <c r="A7" t="s">
        <v>4</v>
      </c>
      <c r="B7" s="100">
        <v>5</v>
      </c>
      <c r="C7" s="100">
        <v>109</v>
      </c>
      <c r="D7" s="90">
        <v>3.9512195121951219</v>
      </c>
      <c r="E7" s="90">
        <v>4.6097560975609753</v>
      </c>
      <c r="F7" s="90">
        <v>3.7435897435897436</v>
      </c>
      <c r="G7" s="90">
        <v>4.0731707317073171</v>
      </c>
      <c r="H7" s="90">
        <v>4.3658536585365857</v>
      </c>
      <c r="I7" s="90">
        <v>4.3170731707317076</v>
      </c>
      <c r="J7" s="90">
        <v>4</v>
      </c>
      <c r="K7" s="90">
        <v>2.8780487804878048</v>
      </c>
      <c r="L7" s="90">
        <v>2.6097560975609757</v>
      </c>
      <c r="M7" s="90">
        <v>3.6829268292682928</v>
      </c>
      <c r="N7" s="90">
        <v>3.1749999999999998</v>
      </c>
      <c r="O7" s="90">
        <v>3.5121951219512195</v>
      </c>
      <c r="P7" s="90">
        <v>2.6829268292682928</v>
      </c>
      <c r="Q7" s="90">
        <v>2.125</v>
      </c>
      <c r="R7" s="90">
        <v>3.1463414634146343</v>
      </c>
      <c r="S7" s="100">
        <v>41</v>
      </c>
    </row>
    <row r="8" spans="1:19" x14ac:dyDescent="0.35">
      <c r="A8" t="s">
        <v>48</v>
      </c>
      <c r="B8" s="100">
        <v>2</v>
      </c>
      <c r="C8" s="100">
        <v>148</v>
      </c>
      <c r="D8" s="90">
        <v>3.6666666666666665</v>
      </c>
      <c r="E8" s="90">
        <v>4.6111111111111107</v>
      </c>
      <c r="F8" s="90">
        <v>3.6666666666666665</v>
      </c>
      <c r="G8" s="90">
        <v>3.2777777777777777</v>
      </c>
      <c r="H8" s="90">
        <v>4.1111111111111107</v>
      </c>
      <c r="I8" s="90">
        <v>4.4117647058823533</v>
      </c>
      <c r="J8" s="90">
        <v>3.8333333333333335</v>
      </c>
      <c r="K8" s="90">
        <v>2.6111111111111112</v>
      </c>
      <c r="L8" s="90">
        <v>2.7222222222222223</v>
      </c>
      <c r="M8" s="90">
        <v>4.2222222222222223</v>
      </c>
      <c r="N8" s="90">
        <v>3.3333333333333335</v>
      </c>
      <c r="O8" s="90">
        <v>3.1111111111111112</v>
      </c>
      <c r="P8" s="90">
        <v>2.6111111111111112</v>
      </c>
      <c r="Q8" s="90">
        <v>2.3333333333333335</v>
      </c>
      <c r="R8" s="90">
        <v>3.3888888888888888</v>
      </c>
      <c r="S8" s="100">
        <v>18</v>
      </c>
    </row>
    <row r="9" spans="1:19" x14ac:dyDescent="0.35">
      <c r="A9" t="s">
        <v>5</v>
      </c>
      <c r="B9" s="100">
        <v>6</v>
      </c>
      <c r="C9" s="100">
        <v>179</v>
      </c>
      <c r="D9" s="90">
        <v>3.7192982456140351</v>
      </c>
      <c r="E9" s="90">
        <v>4.5263157894736841</v>
      </c>
      <c r="F9" s="90">
        <v>3.736842105263158</v>
      </c>
      <c r="G9" s="90">
        <v>3.3859649122807016</v>
      </c>
      <c r="H9" s="90">
        <v>3.9464285714285716</v>
      </c>
      <c r="I9" s="90">
        <v>4.5263157894736841</v>
      </c>
      <c r="J9" s="90">
        <v>3.8771929824561404</v>
      </c>
      <c r="K9" s="90">
        <v>2.736842105263158</v>
      </c>
      <c r="L9" s="90">
        <v>2.5</v>
      </c>
      <c r="M9" s="90">
        <v>3.4912280701754388</v>
      </c>
      <c r="N9" s="90">
        <v>3.2280701754385963</v>
      </c>
      <c r="O9" s="90">
        <v>3.4561403508771931</v>
      </c>
      <c r="P9" s="90">
        <v>2.5789473684210527</v>
      </c>
      <c r="Q9" s="90">
        <v>2.0350877192982457</v>
      </c>
      <c r="R9" s="90">
        <v>3.0175438596491229</v>
      </c>
      <c r="S9" s="100">
        <v>59</v>
      </c>
    </row>
    <row r="10" spans="1:19" x14ac:dyDescent="0.35">
      <c r="A10" t="s">
        <v>50</v>
      </c>
      <c r="B10" s="100">
        <v>3</v>
      </c>
      <c r="C10" s="100">
        <v>214</v>
      </c>
      <c r="D10" s="90">
        <v>3.88</v>
      </c>
      <c r="E10" s="90">
        <v>4.4800000000000004</v>
      </c>
      <c r="F10" s="90">
        <v>3.16</v>
      </c>
      <c r="G10" s="90">
        <v>4.2</v>
      </c>
      <c r="H10" s="90">
        <v>3.92</v>
      </c>
      <c r="I10" s="90">
        <v>4.28</v>
      </c>
      <c r="J10" s="90">
        <v>3.88</v>
      </c>
      <c r="K10" s="90">
        <v>2.64</v>
      </c>
      <c r="L10" s="90">
        <v>2.3199999999999998</v>
      </c>
      <c r="M10" s="90">
        <v>4</v>
      </c>
      <c r="N10" s="90">
        <v>3.28</v>
      </c>
      <c r="O10" s="90">
        <v>2.96</v>
      </c>
      <c r="P10" s="90">
        <v>2.6</v>
      </c>
      <c r="Q10" s="90">
        <v>2.3199999999999998</v>
      </c>
      <c r="R10" s="90">
        <v>3.12</v>
      </c>
      <c r="S10" s="100">
        <v>25</v>
      </c>
    </row>
    <row r="11" spans="1:19" x14ac:dyDescent="0.35">
      <c r="A11" t="s">
        <v>51</v>
      </c>
      <c r="B11" s="100">
        <v>1</v>
      </c>
      <c r="C11" s="100">
        <v>239</v>
      </c>
      <c r="D11" s="90">
        <v>4.2727272727272725</v>
      </c>
      <c r="E11" s="90">
        <v>4.6363636363636367</v>
      </c>
      <c r="F11" s="90">
        <v>3.8636363636363638</v>
      </c>
      <c r="G11" s="90">
        <v>4.0909090909090908</v>
      </c>
      <c r="H11" s="90">
        <v>4.0454545454545459</v>
      </c>
      <c r="I11" s="90">
        <v>4.5909090909090908</v>
      </c>
      <c r="J11" s="90">
        <v>3.6363636363636362</v>
      </c>
      <c r="K11" s="90">
        <v>2.9090909090909092</v>
      </c>
      <c r="L11" s="90">
        <v>3.0454545454545454</v>
      </c>
      <c r="M11" s="90">
        <v>3.8181818181818183</v>
      </c>
      <c r="N11" s="90">
        <v>3.8571428571428572</v>
      </c>
      <c r="O11" s="90">
        <v>2.5909090909090908</v>
      </c>
      <c r="P11" s="90">
        <v>2.9545454545454546</v>
      </c>
      <c r="Q11" s="90">
        <v>2.4545454545454546</v>
      </c>
      <c r="R11" s="90">
        <v>3.2272727272727271</v>
      </c>
      <c r="S11" s="100">
        <v>22</v>
      </c>
    </row>
    <row r="12" spans="1:19" x14ac:dyDescent="0.35">
      <c r="A12" t="s">
        <v>22</v>
      </c>
      <c r="B12" s="100">
        <v>2</v>
      </c>
      <c r="C12" s="100">
        <v>322</v>
      </c>
      <c r="D12" s="90">
        <v>4.0357142857142856</v>
      </c>
      <c r="E12" s="90">
        <v>4.1071428571428568</v>
      </c>
      <c r="F12" s="90">
        <v>3.3571428571428572</v>
      </c>
      <c r="G12" s="90">
        <v>3.3214285714285716</v>
      </c>
      <c r="H12" s="90">
        <v>3.75</v>
      </c>
      <c r="I12" s="90">
        <v>4.25</v>
      </c>
      <c r="J12" s="90">
        <v>3.6785714285714284</v>
      </c>
      <c r="K12" s="90">
        <v>2.2142857142857144</v>
      </c>
      <c r="L12" s="90">
        <v>1.9642857142857142</v>
      </c>
      <c r="M12" s="90">
        <v>3.5925925925925926</v>
      </c>
      <c r="N12" s="90">
        <v>2.8571428571428572</v>
      </c>
      <c r="O12" s="90">
        <v>2.9285714285714284</v>
      </c>
      <c r="P12" s="90">
        <v>2.4074074074074074</v>
      </c>
      <c r="Q12" s="90">
        <v>1.962962962962963</v>
      </c>
      <c r="R12" s="90">
        <v>2.9285714285714284</v>
      </c>
      <c r="S12" s="100">
        <v>28</v>
      </c>
    </row>
    <row r="13" spans="1:19" x14ac:dyDescent="0.35">
      <c r="A13" t="s">
        <v>52</v>
      </c>
      <c r="B13" s="100">
        <v>3</v>
      </c>
      <c r="C13" s="100">
        <v>249</v>
      </c>
      <c r="D13" s="90">
        <v>3.9729729729729728</v>
      </c>
      <c r="E13" s="90">
        <v>4.2162162162162158</v>
      </c>
      <c r="F13" s="90">
        <v>3.6111111111111112</v>
      </c>
      <c r="G13" s="90">
        <v>3.2702702702702702</v>
      </c>
      <c r="H13" s="90">
        <v>3.5135135135135136</v>
      </c>
      <c r="I13" s="90">
        <v>4.243243243243243</v>
      </c>
      <c r="J13" s="90">
        <v>4.0810810810810807</v>
      </c>
      <c r="K13" s="90">
        <v>2.9166666666666665</v>
      </c>
      <c r="L13" s="90">
        <v>2.5555555555555554</v>
      </c>
      <c r="M13" s="90">
        <v>3.8918918918918921</v>
      </c>
      <c r="N13" s="90">
        <v>3.2972972972972974</v>
      </c>
      <c r="O13" s="90">
        <v>3.4444444444444446</v>
      </c>
      <c r="P13" s="90">
        <v>2.7297297297297298</v>
      </c>
      <c r="Q13" s="90">
        <v>2.2702702702702702</v>
      </c>
      <c r="R13" s="90">
        <v>3</v>
      </c>
      <c r="S13" s="100">
        <v>37</v>
      </c>
    </row>
    <row r="14" spans="1:19" x14ac:dyDescent="0.35">
      <c r="A14" t="s">
        <v>72</v>
      </c>
      <c r="B14" s="100">
        <v>4</v>
      </c>
      <c r="C14" s="100">
        <v>272</v>
      </c>
      <c r="D14" s="90">
        <v>3.459016393442623</v>
      </c>
      <c r="E14" s="90">
        <v>4.3833333333333337</v>
      </c>
      <c r="F14" s="90">
        <v>3.1147540983606556</v>
      </c>
      <c r="G14" s="90">
        <v>3.4745762711864407</v>
      </c>
      <c r="H14" s="90">
        <v>4.0983606557377046</v>
      </c>
      <c r="I14" s="90">
        <v>4.0327868852459012</v>
      </c>
      <c r="J14" s="90">
        <v>3.7704918032786887</v>
      </c>
      <c r="K14" s="90">
        <v>2.6721311475409837</v>
      </c>
      <c r="L14" s="90">
        <v>2.1333333333333333</v>
      </c>
      <c r="M14" s="90">
        <v>3.5084745762711864</v>
      </c>
      <c r="N14" s="90">
        <v>3.1166666666666667</v>
      </c>
      <c r="O14" s="90">
        <v>3.1</v>
      </c>
      <c r="P14" s="90">
        <v>2.4666666666666668</v>
      </c>
      <c r="Q14" s="90">
        <v>2.3333333333333335</v>
      </c>
      <c r="R14" s="90">
        <v>2.8035714285714284</v>
      </c>
      <c r="S14" s="100">
        <v>61</v>
      </c>
    </row>
    <row r="15" spans="1:19" x14ac:dyDescent="0.35">
      <c r="A15" t="s">
        <v>6</v>
      </c>
      <c r="B15" s="100">
        <v>5</v>
      </c>
      <c r="C15" s="100">
        <v>285</v>
      </c>
      <c r="D15" s="90">
        <v>3.8181818181818183</v>
      </c>
      <c r="E15" s="90">
        <v>4.1791044776119399</v>
      </c>
      <c r="F15" s="90">
        <v>2.9230769230769229</v>
      </c>
      <c r="G15" s="90">
        <v>3.5606060606060606</v>
      </c>
      <c r="H15" s="90">
        <v>3.9545454545454546</v>
      </c>
      <c r="I15" s="90">
        <v>4.2424242424242422</v>
      </c>
      <c r="J15" s="90">
        <v>3.9692307692307693</v>
      </c>
      <c r="K15" s="90">
        <v>2.476923076923077</v>
      </c>
      <c r="L15" s="90">
        <v>2.3333333333333335</v>
      </c>
      <c r="M15" s="90">
        <v>3.5909090909090908</v>
      </c>
      <c r="N15" s="90">
        <v>2.8787878787878789</v>
      </c>
      <c r="O15" s="90">
        <v>3.3181818181818183</v>
      </c>
      <c r="P15" s="90">
        <v>2.4545454545454546</v>
      </c>
      <c r="Q15" s="90">
        <v>2.2878787878787881</v>
      </c>
      <c r="R15" s="90">
        <v>2.5909090909090908</v>
      </c>
      <c r="S15" s="100">
        <v>70</v>
      </c>
    </row>
    <row r="16" spans="1:19" x14ac:dyDescent="0.35">
      <c r="A16" t="s">
        <v>73</v>
      </c>
      <c r="B16" s="100">
        <v>3</v>
      </c>
      <c r="C16" s="100">
        <v>301</v>
      </c>
      <c r="D16" s="90">
        <v>4.0277777777777777</v>
      </c>
      <c r="E16" s="90">
        <v>4.416666666666667</v>
      </c>
      <c r="F16" s="90">
        <v>3.4166666666666665</v>
      </c>
      <c r="G16" s="90">
        <v>3.3611111111111112</v>
      </c>
      <c r="H16" s="90">
        <v>4.166666666666667</v>
      </c>
      <c r="I16" s="90">
        <v>3.8333333333333335</v>
      </c>
      <c r="J16" s="90">
        <v>3.5555555555555554</v>
      </c>
      <c r="K16" s="90">
        <v>2.7222222222222223</v>
      </c>
      <c r="L16" s="90">
        <v>2.4857142857142858</v>
      </c>
      <c r="M16" s="90">
        <v>3.6857142857142855</v>
      </c>
      <c r="N16" s="90">
        <v>3.1388888888888888</v>
      </c>
      <c r="O16" s="90">
        <v>3.2</v>
      </c>
      <c r="P16" s="90">
        <v>2.5833333333333335</v>
      </c>
      <c r="Q16" s="90">
        <v>2.0555555555555554</v>
      </c>
      <c r="R16" s="90">
        <v>3.1388888888888888</v>
      </c>
      <c r="S16" s="100">
        <v>36</v>
      </c>
    </row>
    <row r="17" spans="1:19" x14ac:dyDescent="0.35">
      <c r="A17" t="s">
        <v>7</v>
      </c>
      <c r="B17" s="100">
        <v>3</v>
      </c>
      <c r="C17" s="100">
        <v>305</v>
      </c>
      <c r="D17" s="90">
        <v>3.967741935483871</v>
      </c>
      <c r="E17" s="90">
        <v>4.4516129032258061</v>
      </c>
      <c r="F17" s="90">
        <v>3.7419354838709675</v>
      </c>
      <c r="G17" s="90">
        <v>3.5806451612903225</v>
      </c>
      <c r="H17" s="90">
        <v>3.774193548387097</v>
      </c>
      <c r="I17" s="90">
        <v>4.096774193548387</v>
      </c>
      <c r="J17" s="90">
        <v>3.903225806451613</v>
      </c>
      <c r="K17" s="90">
        <v>2.774193548387097</v>
      </c>
      <c r="L17" s="90">
        <v>2.5483870967741935</v>
      </c>
      <c r="M17" s="90">
        <v>3.5806451612903225</v>
      </c>
      <c r="N17" s="90">
        <v>3.193548387096774</v>
      </c>
      <c r="O17" s="90">
        <v>2.870967741935484</v>
      </c>
      <c r="P17" s="90">
        <v>2.5161290322580645</v>
      </c>
      <c r="Q17" s="90">
        <v>2</v>
      </c>
      <c r="R17" s="90">
        <v>3.129032258064516</v>
      </c>
      <c r="S17" s="100">
        <v>31</v>
      </c>
    </row>
    <row r="18" spans="1:19" x14ac:dyDescent="0.35">
      <c r="A18" t="s">
        <v>8</v>
      </c>
      <c r="B18" s="100">
        <v>5</v>
      </c>
      <c r="C18" s="100">
        <v>405</v>
      </c>
      <c r="D18" s="90">
        <v>3.85</v>
      </c>
      <c r="E18" s="90">
        <v>4.4000000000000004</v>
      </c>
      <c r="F18" s="90">
        <v>3.5</v>
      </c>
      <c r="G18" s="90">
        <v>3.7250000000000001</v>
      </c>
      <c r="H18" s="90">
        <v>3.875</v>
      </c>
      <c r="I18" s="90">
        <v>4.2750000000000004</v>
      </c>
      <c r="J18" s="90">
        <v>4.2564102564102564</v>
      </c>
      <c r="K18" s="90">
        <v>2.8974358974358974</v>
      </c>
      <c r="L18" s="90">
        <v>2.3846153846153846</v>
      </c>
      <c r="M18" s="90">
        <v>3.7250000000000001</v>
      </c>
      <c r="N18" s="90">
        <v>3.1842105263157894</v>
      </c>
      <c r="O18" s="90">
        <v>3.45</v>
      </c>
      <c r="P18" s="90">
        <v>2.5384615384615383</v>
      </c>
      <c r="Q18" s="90">
        <v>2.4615384615384617</v>
      </c>
      <c r="R18" s="90">
        <v>2.9</v>
      </c>
      <c r="S18" s="100">
        <v>40</v>
      </c>
    </row>
    <row r="19" spans="1:19" x14ac:dyDescent="0.35">
      <c r="A19" t="s">
        <v>9</v>
      </c>
      <c r="B19" s="100">
        <v>4</v>
      </c>
      <c r="C19" s="100">
        <v>418</v>
      </c>
      <c r="D19" s="90">
        <v>3.7250000000000001</v>
      </c>
      <c r="E19" s="90">
        <v>4.5250000000000004</v>
      </c>
      <c r="F19" s="90">
        <v>3.3076923076923075</v>
      </c>
      <c r="G19" s="90">
        <v>3.7179487179487181</v>
      </c>
      <c r="H19" s="90">
        <v>4.2750000000000004</v>
      </c>
      <c r="I19" s="90">
        <v>4.6923076923076925</v>
      </c>
      <c r="J19" s="90">
        <v>4.1500000000000004</v>
      </c>
      <c r="K19" s="90">
        <v>2.7692307692307692</v>
      </c>
      <c r="L19" s="90">
        <v>2.3846153846153846</v>
      </c>
      <c r="M19" s="90">
        <v>3.7749999999999999</v>
      </c>
      <c r="N19" s="90">
        <v>3.25</v>
      </c>
      <c r="O19" s="90">
        <v>2.7</v>
      </c>
      <c r="P19" s="90">
        <v>2.65</v>
      </c>
      <c r="Q19" s="90">
        <v>2.1282051282051282</v>
      </c>
      <c r="R19" s="90">
        <v>3.1282051282051282</v>
      </c>
      <c r="S19" s="100">
        <v>40</v>
      </c>
    </row>
    <row r="20" spans="1:19" x14ac:dyDescent="0.35">
      <c r="A20" t="s">
        <v>56</v>
      </c>
      <c r="B20" s="100">
        <v>3</v>
      </c>
      <c r="C20" s="100">
        <v>426</v>
      </c>
      <c r="D20" s="90">
        <v>4.1315789473684212</v>
      </c>
      <c r="E20" s="90">
        <v>4.4736842105263159</v>
      </c>
      <c r="F20" s="90">
        <v>3.8684210526315788</v>
      </c>
      <c r="G20" s="90">
        <v>4.0789473684210522</v>
      </c>
      <c r="H20" s="90">
        <v>4.1052631578947372</v>
      </c>
      <c r="I20" s="90">
        <v>4.0789473684210522</v>
      </c>
      <c r="J20" s="90">
        <v>3.4594594594594597</v>
      </c>
      <c r="K20" s="90">
        <v>2.6486486486486487</v>
      </c>
      <c r="L20" s="90">
        <v>2.5526315789473686</v>
      </c>
      <c r="M20" s="90">
        <v>3.5526315789473686</v>
      </c>
      <c r="N20" s="90">
        <v>2.8888888888888888</v>
      </c>
      <c r="O20" s="90">
        <v>2.7105263157894739</v>
      </c>
      <c r="P20" s="90">
        <v>2.6315789473684212</v>
      </c>
      <c r="Q20" s="90">
        <v>2.0270270270270272</v>
      </c>
      <c r="R20" s="90">
        <v>2.9736842105263159</v>
      </c>
      <c r="S20" s="100">
        <v>38</v>
      </c>
    </row>
    <row r="21" spans="1:19" x14ac:dyDescent="0.35">
      <c r="A21" t="s">
        <v>74</v>
      </c>
      <c r="B21" s="100">
        <v>5</v>
      </c>
      <c r="C21" s="100">
        <v>491</v>
      </c>
      <c r="D21" s="90">
        <v>3.8333333333333335</v>
      </c>
      <c r="E21" s="90">
        <v>4.3888888888888893</v>
      </c>
      <c r="F21" s="90">
        <v>3.140845070422535</v>
      </c>
      <c r="G21" s="90">
        <v>3.4444444444444446</v>
      </c>
      <c r="H21" s="90">
        <v>4.0277777777777777</v>
      </c>
      <c r="I21" s="90">
        <v>4.375</v>
      </c>
      <c r="J21" s="90">
        <v>3.8888888888888888</v>
      </c>
      <c r="K21" s="90">
        <v>2.7638888888888888</v>
      </c>
      <c r="L21" s="90">
        <v>2.4305555555555554</v>
      </c>
      <c r="M21" s="90">
        <v>3.5774647887323945</v>
      </c>
      <c r="N21" s="90">
        <v>3.3194444444444446</v>
      </c>
      <c r="O21" s="90">
        <v>3.267605633802817</v>
      </c>
      <c r="P21" s="90">
        <v>2.507042253521127</v>
      </c>
      <c r="Q21" s="90">
        <v>2.1527777777777777</v>
      </c>
      <c r="R21" s="90">
        <v>2.9027777777777777</v>
      </c>
      <c r="S21" s="100">
        <v>72</v>
      </c>
    </row>
    <row r="22" spans="1:19" x14ac:dyDescent="0.35">
      <c r="A22" t="s">
        <v>10</v>
      </c>
      <c r="B22" s="100">
        <v>2.978723404255319</v>
      </c>
      <c r="C22" s="100">
        <v>499</v>
      </c>
      <c r="D22" s="90">
        <v>3.7234042553191489</v>
      </c>
      <c r="E22" s="90">
        <v>4.7021276595744679</v>
      </c>
      <c r="F22" s="90">
        <v>3.3404255319148937</v>
      </c>
      <c r="G22" s="90">
        <v>3.1489361702127661</v>
      </c>
      <c r="H22" s="90">
        <v>4.3695652173913047</v>
      </c>
      <c r="I22" s="90">
        <v>3.7608695652173911</v>
      </c>
      <c r="J22" s="90">
        <v>3.5434782608695654</v>
      </c>
      <c r="K22" s="90">
        <v>2.5319148936170213</v>
      </c>
      <c r="L22" s="90">
        <v>2.2127659574468086</v>
      </c>
      <c r="M22" s="90">
        <v>3.5957446808510638</v>
      </c>
      <c r="N22" s="90">
        <v>2.7173913043478262</v>
      </c>
      <c r="O22" s="90">
        <v>2.8260869565217392</v>
      </c>
      <c r="P22" s="90">
        <v>2.2727272727272729</v>
      </c>
      <c r="Q22" s="90">
        <v>2.1489361702127661</v>
      </c>
      <c r="R22" s="90">
        <v>2.847826086956522</v>
      </c>
      <c r="S22" s="100">
        <v>47</v>
      </c>
    </row>
    <row r="23" spans="1:19" x14ac:dyDescent="0.35">
      <c r="A23" t="s">
        <v>58</v>
      </c>
      <c r="B23" s="100">
        <v>3</v>
      </c>
      <c r="C23" s="100">
        <v>535</v>
      </c>
      <c r="D23" s="90">
        <v>3.736842105263158</v>
      </c>
      <c r="E23" s="90">
        <v>4.4736842105263159</v>
      </c>
      <c r="F23" s="90">
        <v>3.6111111111111112</v>
      </c>
      <c r="G23" s="90">
        <v>3.5789473684210527</v>
      </c>
      <c r="H23" s="90">
        <v>4.3157894736842106</v>
      </c>
      <c r="I23" s="90">
        <v>4.5263157894736841</v>
      </c>
      <c r="J23" s="90">
        <v>3.8421052631578947</v>
      </c>
      <c r="K23" s="90">
        <v>2.6842105263157894</v>
      </c>
      <c r="L23" s="90">
        <v>2.2105263157894739</v>
      </c>
      <c r="M23" s="90">
        <v>3.8888888888888888</v>
      </c>
      <c r="N23" s="90">
        <v>3.1578947368421053</v>
      </c>
      <c r="O23" s="90">
        <v>2.8421052631578947</v>
      </c>
      <c r="P23" s="90">
        <v>2.5263157894736841</v>
      </c>
      <c r="Q23" s="90">
        <v>2</v>
      </c>
      <c r="R23" s="90">
        <v>3.263157894736842</v>
      </c>
      <c r="S23" s="100">
        <v>19</v>
      </c>
    </row>
    <row r="24" spans="1:19" x14ac:dyDescent="0.35">
      <c r="A24" t="s">
        <v>11</v>
      </c>
      <c r="B24" s="100">
        <v>6</v>
      </c>
      <c r="C24" s="100">
        <v>464</v>
      </c>
      <c r="D24" s="90">
        <v>3.5423728813559321</v>
      </c>
      <c r="E24" s="90">
        <v>4.406779661016949</v>
      </c>
      <c r="F24" s="90">
        <v>3.4310344827586206</v>
      </c>
      <c r="G24" s="90">
        <v>3.0862068965517242</v>
      </c>
      <c r="H24" s="90">
        <v>3.9137931034482758</v>
      </c>
      <c r="I24" s="90">
        <v>4.3103448275862073</v>
      </c>
      <c r="J24" s="90">
        <v>3.7413793103448274</v>
      </c>
      <c r="K24" s="90">
        <v>2.5</v>
      </c>
      <c r="L24" s="90">
        <v>2.1754385964912282</v>
      </c>
      <c r="M24" s="90">
        <v>3.7068965517241379</v>
      </c>
      <c r="N24" s="90">
        <v>3.0689655172413794</v>
      </c>
      <c r="O24" s="90">
        <v>3.3620689655172415</v>
      </c>
      <c r="P24" s="90">
        <v>2.2931034482758621</v>
      </c>
      <c r="Q24" s="90">
        <v>1.8448275862068966</v>
      </c>
      <c r="R24" s="90">
        <v>2.7543859649122808</v>
      </c>
      <c r="S24" s="100">
        <v>59</v>
      </c>
    </row>
    <row r="25" spans="1:19" x14ac:dyDescent="0.35">
      <c r="A25" t="s">
        <v>60</v>
      </c>
      <c r="B25" s="100">
        <v>1</v>
      </c>
      <c r="C25" s="100">
        <v>578</v>
      </c>
      <c r="D25" s="90">
        <v>3.6190476190476191</v>
      </c>
      <c r="E25" s="90">
        <v>4.6190476190476186</v>
      </c>
      <c r="F25" s="90">
        <v>2.9047619047619047</v>
      </c>
      <c r="G25" s="90">
        <v>3.8571428571428572</v>
      </c>
      <c r="H25" s="90">
        <v>4.333333333333333</v>
      </c>
      <c r="I25" s="90">
        <v>4.1904761904761907</v>
      </c>
      <c r="J25" s="90">
        <v>3.6666666666666665</v>
      </c>
      <c r="K25" s="90">
        <v>2.8095238095238093</v>
      </c>
      <c r="L25" s="90">
        <v>2.6190476190476191</v>
      </c>
      <c r="M25" s="90">
        <v>4</v>
      </c>
      <c r="N25" s="90">
        <v>2.9047619047619047</v>
      </c>
      <c r="O25" s="90">
        <v>2.8095238095238093</v>
      </c>
      <c r="P25" s="90">
        <v>2.75</v>
      </c>
      <c r="Q25" s="90">
        <v>2.2857142857142856</v>
      </c>
      <c r="R25" s="90">
        <v>3.4285714285714284</v>
      </c>
      <c r="S25" s="100">
        <v>21</v>
      </c>
    </row>
    <row r="26" spans="1:19" x14ac:dyDescent="0.35">
      <c r="A26" t="s">
        <v>61</v>
      </c>
      <c r="B26" s="100">
        <v>2</v>
      </c>
      <c r="C26" s="100">
        <v>581</v>
      </c>
      <c r="D26" s="90">
        <v>3.6428571428571428</v>
      </c>
      <c r="E26" s="90">
        <v>4.3571428571428568</v>
      </c>
      <c r="F26" s="90">
        <v>2.9642857142857144</v>
      </c>
      <c r="G26" s="90">
        <v>3.6785714285714284</v>
      </c>
      <c r="H26" s="90">
        <v>4.2142857142857144</v>
      </c>
      <c r="I26" s="90">
        <v>4.0357142857142856</v>
      </c>
      <c r="J26" s="90">
        <v>3.6428571428571428</v>
      </c>
      <c r="K26" s="90">
        <v>2.6428571428571428</v>
      </c>
      <c r="L26" s="90">
        <v>2.3214285714285716</v>
      </c>
      <c r="M26" s="90">
        <v>3.5714285714285716</v>
      </c>
      <c r="N26" s="90">
        <v>3.25</v>
      </c>
      <c r="O26" s="90">
        <v>2.8214285714285716</v>
      </c>
      <c r="P26" s="90">
        <v>2.5</v>
      </c>
      <c r="Q26" s="90">
        <v>2.0714285714285716</v>
      </c>
      <c r="R26" s="90">
        <v>2.8928571428571428</v>
      </c>
      <c r="S26" s="100">
        <v>28</v>
      </c>
    </row>
    <row r="27" spans="1:19" x14ac:dyDescent="0.35">
      <c r="A27" t="s">
        <v>62</v>
      </c>
      <c r="B27" s="100">
        <v>1</v>
      </c>
      <c r="C27" s="100">
        <v>592</v>
      </c>
      <c r="D27" s="90">
        <v>4.1052631578947372</v>
      </c>
      <c r="E27" s="90">
        <v>3.9444444444444446</v>
      </c>
      <c r="F27" s="90">
        <v>3.263157894736842</v>
      </c>
      <c r="G27" s="90">
        <v>3.1052631578947367</v>
      </c>
      <c r="H27" s="90">
        <v>3.5</v>
      </c>
      <c r="I27" s="90">
        <v>3.736842105263158</v>
      </c>
      <c r="J27" s="90">
        <v>3.5263157894736841</v>
      </c>
      <c r="K27" s="90">
        <v>2.4736842105263159</v>
      </c>
      <c r="L27" s="90">
        <v>2.0526315789473686</v>
      </c>
      <c r="M27" s="90">
        <v>3.4210526315789473</v>
      </c>
      <c r="N27" s="90">
        <v>2.7777777777777777</v>
      </c>
      <c r="O27" s="90">
        <v>2.7894736842105261</v>
      </c>
      <c r="P27" s="90">
        <v>2.4210526315789473</v>
      </c>
      <c r="Q27" s="90">
        <v>2.1052631578947367</v>
      </c>
      <c r="R27" s="90">
        <v>3.6315789473684212</v>
      </c>
      <c r="S27" s="100">
        <v>19</v>
      </c>
    </row>
    <row r="28" spans="1:19" x14ac:dyDescent="0.35">
      <c r="A28" t="s">
        <v>12</v>
      </c>
      <c r="B28" s="100">
        <v>2</v>
      </c>
      <c r="C28" s="100">
        <v>615</v>
      </c>
      <c r="D28" s="90">
        <v>3.7647058823529411</v>
      </c>
      <c r="E28" s="90">
        <v>4.7647058823529411</v>
      </c>
      <c r="F28" s="90">
        <v>3.1176470588235294</v>
      </c>
      <c r="G28" s="90">
        <v>4.2352941176470589</v>
      </c>
      <c r="H28" s="90">
        <v>4.5294117647058822</v>
      </c>
      <c r="I28" s="90">
        <v>4.3529411764705879</v>
      </c>
      <c r="J28" s="90">
        <v>4.0588235294117645</v>
      </c>
      <c r="K28" s="90">
        <v>3.1176470588235294</v>
      </c>
      <c r="L28" s="90">
        <v>2.5294117647058822</v>
      </c>
      <c r="M28" s="90">
        <v>3.7058823529411766</v>
      </c>
      <c r="N28" s="90">
        <v>3.2352941176470589</v>
      </c>
      <c r="O28" s="90">
        <v>3.2941176470588234</v>
      </c>
      <c r="P28" s="90">
        <v>3.0588235294117645</v>
      </c>
      <c r="Q28" s="90">
        <v>2.5882352941176472</v>
      </c>
      <c r="R28" s="90">
        <v>3.0625</v>
      </c>
      <c r="S28" s="100">
        <v>17</v>
      </c>
    </row>
    <row r="29" spans="1:19" x14ac:dyDescent="0.35">
      <c r="A29" t="s">
        <v>23</v>
      </c>
      <c r="B29" s="100">
        <v>4</v>
      </c>
      <c r="C29" s="100">
        <v>710</v>
      </c>
      <c r="D29" s="90">
        <v>3.6744186046511627</v>
      </c>
      <c r="E29" s="90">
        <v>4.7619047619047619</v>
      </c>
      <c r="F29" s="90">
        <v>3.5348837209302326</v>
      </c>
      <c r="G29" s="90">
        <v>3.8095238095238093</v>
      </c>
      <c r="H29" s="90">
        <v>4.1904761904761907</v>
      </c>
      <c r="I29" s="90">
        <v>4.4285714285714288</v>
      </c>
      <c r="J29" s="90">
        <v>3.7619047619047619</v>
      </c>
      <c r="K29" s="90">
        <v>2.5</v>
      </c>
      <c r="L29" s="90">
        <v>2.4047619047619047</v>
      </c>
      <c r="M29" s="90">
        <v>3.6341463414634148</v>
      </c>
      <c r="N29" s="90">
        <v>3.0238095238095237</v>
      </c>
      <c r="O29" s="90">
        <v>3.3095238095238093</v>
      </c>
      <c r="P29" s="90">
        <v>2.3809523809523809</v>
      </c>
      <c r="Q29" s="90">
        <v>1.9523809523809523</v>
      </c>
      <c r="R29" s="90">
        <v>2.8333333333333335</v>
      </c>
      <c r="S29" s="100">
        <v>43</v>
      </c>
    </row>
    <row r="30" spans="1:19" x14ac:dyDescent="0.35">
      <c r="A30" t="s">
        <v>64</v>
      </c>
      <c r="B30" s="100">
        <v>4</v>
      </c>
      <c r="C30" s="100">
        <v>680</v>
      </c>
      <c r="D30" s="90">
        <v>3.4318181818181817</v>
      </c>
      <c r="E30" s="90">
        <v>4.4772727272727275</v>
      </c>
      <c r="F30" s="90">
        <v>3.4090909090909092</v>
      </c>
      <c r="G30" s="90">
        <v>3.0227272727272729</v>
      </c>
      <c r="H30" s="90">
        <v>4.0681818181818183</v>
      </c>
      <c r="I30" s="90">
        <v>4.5454545454545459</v>
      </c>
      <c r="J30" s="90">
        <v>3.9090909090909092</v>
      </c>
      <c r="K30" s="90">
        <v>2.6590909090909092</v>
      </c>
      <c r="L30" s="90">
        <v>2.4090909090909092</v>
      </c>
      <c r="M30" s="90">
        <v>3.558139534883721</v>
      </c>
      <c r="N30" s="90">
        <v>3.0909090909090908</v>
      </c>
      <c r="O30" s="90">
        <v>2.9772727272727271</v>
      </c>
      <c r="P30" s="90">
        <v>2.5116279069767442</v>
      </c>
      <c r="Q30" s="90">
        <v>2.1136363636363638</v>
      </c>
      <c r="R30" s="90">
        <v>2.8139534883720931</v>
      </c>
      <c r="S30" s="100">
        <v>44</v>
      </c>
    </row>
    <row r="31" spans="1:19" x14ac:dyDescent="0.35">
      <c r="A31" t="s">
        <v>65</v>
      </c>
      <c r="B31" s="100">
        <v>1</v>
      </c>
      <c r="C31" s="100">
        <v>686</v>
      </c>
      <c r="D31" s="90">
        <v>4.1764705882352944</v>
      </c>
      <c r="E31" s="90">
        <v>4.8235294117647056</v>
      </c>
      <c r="F31" s="90">
        <v>3.3333333333333335</v>
      </c>
      <c r="G31" s="90">
        <v>3.9411764705882355</v>
      </c>
      <c r="H31" s="90">
        <v>3.8823529411764706</v>
      </c>
      <c r="I31" s="90">
        <v>4.6470588235294121</v>
      </c>
      <c r="J31" s="90">
        <v>3.4705882352941178</v>
      </c>
      <c r="K31" s="90">
        <v>2.4705882352941178</v>
      </c>
      <c r="L31" s="90">
        <v>2.4705882352941178</v>
      </c>
      <c r="M31" s="90">
        <v>4.117647058823529</v>
      </c>
      <c r="N31" s="90">
        <v>3.7647058823529411</v>
      </c>
      <c r="O31" s="90">
        <v>3.2352941176470589</v>
      </c>
      <c r="P31" s="90">
        <v>3</v>
      </c>
      <c r="Q31" s="90">
        <v>2.1764705882352939</v>
      </c>
      <c r="R31" s="90">
        <v>3.2941176470588234</v>
      </c>
      <c r="S31" s="100">
        <v>17</v>
      </c>
    </row>
    <row r="32" spans="1:19" x14ac:dyDescent="0.35">
      <c r="A32" t="s">
        <v>13</v>
      </c>
      <c r="B32" s="100">
        <v>5</v>
      </c>
      <c r="C32" s="100">
        <v>734</v>
      </c>
      <c r="D32" s="90">
        <v>3.5185185185185186</v>
      </c>
      <c r="E32" s="90">
        <v>4.3018867924528301</v>
      </c>
      <c r="F32" s="90">
        <v>3.074074074074074</v>
      </c>
      <c r="G32" s="90">
        <v>2.7222222222222223</v>
      </c>
      <c r="H32" s="90">
        <v>3.4629629629629628</v>
      </c>
      <c r="I32" s="90">
        <v>4.0909090909090908</v>
      </c>
      <c r="J32" s="90">
        <v>3.8181818181818183</v>
      </c>
      <c r="K32" s="90">
        <v>2.5272727272727273</v>
      </c>
      <c r="L32" s="90">
        <v>2.3818181818181818</v>
      </c>
      <c r="M32" s="90">
        <v>3.5636363636363635</v>
      </c>
      <c r="N32" s="90">
        <v>3.2222222222222223</v>
      </c>
      <c r="O32" s="90">
        <v>3.2592592592592591</v>
      </c>
      <c r="P32" s="90">
        <v>2.6037735849056602</v>
      </c>
      <c r="Q32" s="90">
        <v>1.8148148148148149</v>
      </c>
      <c r="R32" s="90">
        <v>2.8867924528301887</v>
      </c>
      <c r="S32" s="100">
        <v>55</v>
      </c>
    </row>
    <row r="33" spans="1:19" x14ac:dyDescent="0.35">
      <c r="A33" t="s">
        <v>14</v>
      </c>
      <c r="B33" s="100">
        <v>3</v>
      </c>
      <c r="C33" s="100">
        <v>753</v>
      </c>
      <c r="D33" s="90">
        <v>4.0277777777777777</v>
      </c>
      <c r="E33" s="90">
        <v>4.6944444444444446</v>
      </c>
      <c r="F33" s="90">
        <v>3.8</v>
      </c>
      <c r="G33" s="90">
        <v>4.083333333333333</v>
      </c>
      <c r="H33" s="90">
        <v>4.2285714285714286</v>
      </c>
      <c r="I33" s="90">
        <v>4.75</v>
      </c>
      <c r="J33" s="90">
        <v>3.9714285714285715</v>
      </c>
      <c r="K33" s="90">
        <v>3.0277777777777777</v>
      </c>
      <c r="L33" s="90">
        <v>2.5277777777777777</v>
      </c>
      <c r="M33" s="90">
        <v>3.4722222222222223</v>
      </c>
      <c r="N33" s="90">
        <v>2.9444444444444446</v>
      </c>
      <c r="O33" s="90">
        <v>2.8333333333333335</v>
      </c>
      <c r="P33" s="90">
        <v>2.6</v>
      </c>
      <c r="Q33" s="90">
        <v>1.9722222222222223</v>
      </c>
      <c r="R33" s="90">
        <v>3.3055555555555554</v>
      </c>
      <c r="S33" s="100">
        <v>36</v>
      </c>
    </row>
    <row r="34" spans="1:19" x14ac:dyDescent="0.35">
      <c r="A34" t="s">
        <v>67</v>
      </c>
      <c r="B34" s="100">
        <v>1</v>
      </c>
      <c r="C34" s="100">
        <v>783</v>
      </c>
      <c r="D34" s="90">
        <v>3.3076923076923075</v>
      </c>
      <c r="E34" s="90">
        <v>4.5384615384615383</v>
      </c>
      <c r="F34" s="90">
        <v>3.44</v>
      </c>
      <c r="G34" s="90">
        <v>3.4615384615384617</v>
      </c>
      <c r="H34" s="90">
        <v>4.0769230769230766</v>
      </c>
      <c r="I34" s="90">
        <v>4.5384615384615383</v>
      </c>
      <c r="J34" s="90">
        <v>4.0384615384615383</v>
      </c>
      <c r="K34" s="90">
        <v>2.6153846153846154</v>
      </c>
      <c r="L34" s="90">
        <v>2.3461538461538463</v>
      </c>
      <c r="M34" s="90">
        <v>3.7307692307692308</v>
      </c>
      <c r="N34" s="90">
        <v>2.9615384615384617</v>
      </c>
      <c r="O34" s="90">
        <v>2.5384615384615383</v>
      </c>
      <c r="P34" s="90">
        <v>2.6538461538461537</v>
      </c>
      <c r="Q34" s="90">
        <v>2.1153846153846154</v>
      </c>
      <c r="R34" s="90">
        <v>3.1538461538461537</v>
      </c>
      <c r="S34" s="100">
        <v>26</v>
      </c>
    </row>
    <row r="35" spans="1:19" x14ac:dyDescent="0.35">
      <c r="A35" t="s">
        <v>68</v>
      </c>
      <c r="B35" s="100">
        <v>6</v>
      </c>
      <c r="C35" s="100">
        <v>837</v>
      </c>
      <c r="D35" s="90">
        <v>3.795918367346939</v>
      </c>
      <c r="E35" s="90">
        <v>4.5384615384615383</v>
      </c>
      <c r="F35" s="90">
        <v>3.3725490196078431</v>
      </c>
      <c r="G35" s="90">
        <v>3.1764705882352939</v>
      </c>
      <c r="H35" s="90">
        <v>4.4489795918367347</v>
      </c>
      <c r="I35" s="90">
        <v>4.2727272727272725</v>
      </c>
      <c r="J35" s="90">
        <v>4.2352941176470589</v>
      </c>
      <c r="K35" s="90">
        <v>2.6346153846153846</v>
      </c>
      <c r="L35" s="90">
        <v>2.5384615384615383</v>
      </c>
      <c r="M35" s="90">
        <v>3.7307692307692308</v>
      </c>
      <c r="N35" s="90">
        <v>3.1346153846153846</v>
      </c>
      <c r="O35" s="90">
        <v>3.4423076923076925</v>
      </c>
      <c r="P35" s="90">
        <v>2.5769230769230771</v>
      </c>
      <c r="Q35" s="90">
        <v>2.3846153846153846</v>
      </c>
      <c r="R35" s="90">
        <v>2.9230769230769229</v>
      </c>
      <c r="S35" s="100">
        <v>52</v>
      </c>
    </row>
    <row r="36" spans="1:19" x14ac:dyDescent="0.35">
      <c r="A36" t="s">
        <v>69</v>
      </c>
      <c r="B36" s="100">
        <v>4</v>
      </c>
      <c r="C36" s="100">
        <v>851</v>
      </c>
      <c r="D36" s="90">
        <v>3.7179487179487181</v>
      </c>
      <c r="E36" s="90">
        <v>4.4473684210526319</v>
      </c>
      <c r="F36" s="90">
        <v>3.6153846153846154</v>
      </c>
      <c r="G36" s="90">
        <v>3.5641025641025643</v>
      </c>
      <c r="H36" s="90">
        <v>3.9743589743589745</v>
      </c>
      <c r="I36" s="90">
        <v>4.1578947368421053</v>
      </c>
      <c r="J36" s="90">
        <v>3.6923076923076925</v>
      </c>
      <c r="K36" s="90">
        <v>2.641025641025641</v>
      </c>
      <c r="L36" s="90">
        <v>2.4102564102564101</v>
      </c>
      <c r="M36" s="90">
        <v>3.8205128205128207</v>
      </c>
      <c r="N36" s="90">
        <v>3.0263157894736841</v>
      </c>
      <c r="O36" s="90">
        <v>3</v>
      </c>
      <c r="P36" s="90">
        <v>2.4102564102564101</v>
      </c>
      <c r="Q36" s="90">
        <v>2.0769230769230771</v>
      </c>
      <c r="R36" s="90">
        <v>3</v>
      </c>
      <c r="S36" s="100">
        <v>39</v>
      </c>
    </row>
    <row r="37" spans="1:19" x14ac:dyDescent="0.35">
      <c r="A37" t="s">
        <v>15</v>
      </c>
      <c r="B37" s="100">
        <v>6</v>
      </c>
      <c r="C37" s="100">
        <v>853</v>
      </c>
      <c r="D37" s="90">
        <v>3.7384615384615385</v>
      </c>
      <c r="E37" s="90">
        <v>4.4461538461538463</v>
      </c>
      <c r="F37" s="90">
        <v>3.34375</v>
      </c>
      <c r="G37" s="90">
        <v>3.34375</v>
      </c>
      <c r="H37" s="90">
        <v>4.2</v>
      </c>
      <c r="I37" s="90">
        <v>4.6307692307692312</v>
      </c>
      <c r="J37" s="90">
        <v>4.0615384615384613</v>
      </c>
      <c r="K37" s="90">
        <v>2.5076923076923077</v>
      </c>
      <c r="L37" s="90">
        <v>2.21875</v>
      </c>
      <c r="M37" s="90">
        <v>3.375</v>
      </c>
      <c r="N37" s="90">
        <v>3.2307692307692308</v>
      </c>
      <c r="O37" s="90">
        <v>3.2923076923076922</v>
      </c>
      <c r="P37" s="90">
        <v>2.5538461538461537</v>
      </c>
      <c r="Q37" s="90">
        <v>2.1692307692307691</v>
      </c>
      <c r="R37" s="90">
        <v>2.6769230769230767</v>
      </c>
      <c r="S37" s="100">
        <v>65</v>
      </c>
    </row>
    <row r="38" spans="1:19" x14ac:dyDescent="0.35">
      <c r="A38" t="s">
        <v>16</v>
      </c>
      <c r="B38" s="100">
        <v>5</v>
      </c>
      <c r="C38" s="100">
        <v>905</v>
      </c>
      <c r="D38" s="90">
        <v>3.807017543859649</v>
      </c>
      <c r="E38" s="90">
        <v>4.6071428571428568</v>
      </c>
      <c r="F38" s="90">
        <v>3.0175438596491229</v>
      </c>
      <c r="G38" s="90">
        <v>3.75</v>
      </c>
      <c r="H38" s="90">
        <v>4.1228070175438596</v>
      </c>
      <c r="I38" s="90">
        <v>4.1228070175438596</v>
      </c>
      <c r="J38" s="90">
        <v>3.7719298245614037</v>
      </c>
      <c r="K38" s="90">
        <v>2.3508771929824563</v>
      </c>
      <c r="L38" s="90">
        <v>2.1403508771929824</v>
      </c>
      <c r="M38" s="90">
        <v>3.5438596491228069</v>
      </c>
      <c r="N38" s="90">
        <v>3.2678571428571428</v>
      </c>
      <c r="O38" s="90">
        <v>3.375</v>
      </c>
      <c r="P38" s="90">
        <v>2.4107142857142856</v>
      </c>
      <c r="Q38" s="90">
        <v>2.2280701754385963</v>
      </c>
      <c r="R38" s="90">
        <v>2.7017543859649122</v>
      </c>
      <c r="S38" s="100">
        <v>57</v>
      </c>
    </row>
    <row r="39" spans="1:19" x14ac:dyDescent="0.35">
      <c r="A39" t="s">
        <v>71</v>
      </c>
      <c r="B39" s="100">
        <v>6</v>
      </c>
      <c r="C39" s="100">
        <v>92</v>
      </c>
      <c r="D39" s="90">
        <v>3.49438202247191</v>
      </c>
      <c r="E39" s="90">
        <v>4.202247191011236</v>
      </c>
      <c r="F39" s="90">
        <v>3.264367816091954</v>
      </c>
      <c r="G39" s="90">
        <v>4.0449438202247192</v>
      </c>
      <c r="H39" s="90">
        <v>4.2808988764044944</v>
      </c>
      <c r="I39" s="90">
        <v>4.6966292134831464</v>
      </c>
      <c r="J39" s="90">
        <v>4.2696629213483144</v>
      </c>
      <c r="K39" s="90">
        <v>2.75</v>
      </c>
      <c r="L39" s="90">
        <v>2.3522727272727271</v>
      </c>
      <c r="M39" s="90">
        <v>3.5168539325842696</v>
      </c>
      <c r="N39" s="90">
        <v>3.1724137931034484</v>
      </c>
      <c r="O39" s="90">
        <v>3.2134831460674156</v>
      </c>
      <c r="P39" s="90">
        <v>2.4883720930232558</v>
      </c>
      <c r="Q39" s="90">
        <v>2.1123595505617976</v>
      </c>
      <c r="R39" s="90">
        <v>3.0574712643678161</v>
      </c>
      <c r="S39" s="100">
        <v>89</v>
      </c>
    </row>
    <row r="40" spans="1:19" x14ac:dyDescent="0.35">
      <c r="A40" t="s">
        <v>17</v>
      </c>
      <c r="B40" s="100">
        <v>1</v>
      </c>
      <c r="C40" s="100">
        <v>934</v>
      </c>
      <c r="D40" s="90">
        <v>4.1333333333333337</v>
      </c>
      <c r="E40" s="90">
        <v>4.2</v>
      </c>
      <c r="F40" s="90">
        <v>3.1333333333333333</v>
      </c>
      <c r="G40" s="90">
        <v>3.9333333333333331</v>
      </c>
      <c r="H40" s="90">
        <v>4.2</v>
      </c>
      <c r="I40" s="90">
        <v>4.1333333333333337</v>
      </c>
      <c r="J40" s="90">
        <v>3.8</v>
      </c>
      <c r="K40" s="90">
        <v>2.5333333333333332</v>
      </c>
      <c r="L40" s="90">
        <v>2.2000000000000002</v>
      </c>
      <c r="M40" s="90">
        <v>4.0714285714285712</v>
      </c>
      <c r="N40" s="90">
        <v>2.8571428571428572</v>
      </c>
      <c r="O40" s="90">
        <v>2.1333333333333333</v>
      </c>
      <c r="P40" s="90">
        <v>1.9333333333333333</v>
      </c>
      <c r="Q40" s="90">
        <v>3.4666666666666668</v>
      </c>
      <c r="R40" s="90">
        <v>2.5333333333333332</v>
      </c>
      <c r="S40" s="100">
        <v>16</v>
      </c>
    </row>
    <row r="41" spans="1:19" x14ac:dyDescent="0.35">
      <c r="A41" t="s">
        <v>24</v>
      </c>
      <c r="B41" s="100">
        <v>2</v>
      </c>
      <c r="C41" s="100">
        <v>946</v>
      </c>
      <c r="D41" s="90">
        <v>3.7419354838709675</v>
      </c>
      <c r="E41" s="90">
        <v>4.5161290322580649</v>
      </c>
      <c r="F41" s="90">
        <v>3.6451612903225805</v>
      </c>
      <c r="G41" s="90">
        <v>3.8</v>
      </c>
      <c r="H41" s="90">
        <v>4.064516129032258</v>
      </c>
      <c r="I41" s="90">
        <v>4.161290322580645</v>
      </c>
      <c r="J41" s="90">
        <v>3.6129032258064515</v>
      </c>
      <c r="K41" s="90">
        <v>2.7419354838709675</v>
      </c>
      <c r="L41" s="90">
        <v>2.3548387096774195</v>
      </c>
      <c r="M41" s="90">
        <v>3.9</v>
      </c>
      <c r="N41" s="90">
        <v>2.806451612903226</v>
      </c>
      <c r="O41" s="90">
        <v>3.1</v>
      </c>
      <c r="P41" s="90">
        <v>2.4666666666666668</v>
      </c>
      <c r="Q41" s="90">
        <v>2.1333333333333333</v>
      </c>
      <c r="R41" s="90">
        <v>2.838709677419355</v>
      </c>
      <c r="S41" s="100">
        <v>31</v>
      </c>
    </row>
    <row r="44" spans="1:19" x14ac:dyDescent="0.35">
      <c r="A44" t="s">
        <v>126</v>
      </c>
      <c r="D44" t="s">
        <v>221</v>
      </c>
      <c r="E44" t="s">
        <v>222</v>
      </c>
      <c r="F44" t="s">
        <v>223</v>
      </c>
      <c r="G44" t="s">
        <v>224</v>
      </c>
      <c r="H44" t="s">
        <v>225</v>
      </c>
      <c r="I44" t="s">
        <v>226</v>
      </c>
      <c r="J44" t="s">
        <v>227</v>
      </c>
      <c r="K44" t="s">
        <v>228</v>
      </c>
      <c r="L44" t="s">
        <v>229</v>
      </c>
      <c r="M44" t="s">
        <v>230</v>
      </c>
      <c r="N44" t="s">
        <v>231</v>
      </c>
      <c r="O44" t="s">
        <v>232</v>
      </c>
      <c r="P44" t="s">
        <v>233</v>
      </c>
      <c r="Q44" t="s">
        <v>234</v>
      </c>
      <c r="R44" t="s">
        <v>235</v>
      </c>
      <c r="S44" t="s">
        <v>79</v>
      </c>
    </row>
    <row r="45" spans="1:19" x14ac:dyDescent="0.35">
      <c r="A45" t="s">
        <v>130</v>
      </c>
      <c r="D45" s="90">
        <v>3.88</v>
      </c>
      <c r="E45" s="90">
        <v>4.4228187919463089</v>
      </c>
      <c r="F45" s="90">
        <v>3.306122448979592</v>
      </c>
      <c r="G45" s="90">
        <v>3.62</v>
      </c>
      <c r="H45" s="90">
        <v>3.9060402684563758</v>
      </c>
      <c r="I45" s="90">
        <v>4.32</v>
      </c>
      <c r="J45" s="90">
        <v>3.7133333333333334</v>
      </c>
      <c r="K45" s="90">
        <v>2.6733333333333333</v>
      </c>
      <c r="L45" s="90">
        <v>2.5066666666666668</v>
      </c>
      <c r="M45" s="90">
        <v>3.7702702702702702</v>
      </c>
      <c r="N45" s="90">
        <v>3.1156462585034013</v>
      </c>
      <c r="O45" s="90">
        <v>2.7466666666666666</v>
      </c>
      <c r="P45" s="90">
        <v>2.5771812080536911</v>
      </c>
      <c r="Q45" s="90">
        <v>2.3288590604026846</v>
      </c>
      <c r="R45" s="90">
        <v>3.2133333333333334</v>
      </c>
      <c r="S45" s="100">
        <v>151</v>
      </c>
    </row>
    <row r="46" spans="1:19" x14ac:dyDescent="0.35">
      <c r="A46" t="s">
        <v>131</v>
      </c>
      <c r="D46" s="90">
        <v>3.8263888888888888</v>
      </c>
      <c r="E46" s="90">
        <v>4.4722222222222223</v>
      </c>
      <c r="F46" s="90">
        <v>3.3541666666666665</v>
      </c>
      <c r="G46" s="90">
        <v>3.6223776223776225</v>
      </c>
      <c r="H46" s="90">
        <v>4.1527777777777777</v>
      </c>
      <c r="I46" s="90">
        <v>4.2587412587412583</v>
      </c>
      <c r="J46" s="90">
        <v>3.7361111111111112</v>
      </c>
      <c r="K46" s="90">
        <v>2.6805555555555554</v>
      </c>
      <c r="L46" s="90">
        <v>2.3611111111111112</v>
      </c>
      <c r="M46" s="90">
        <v>3.767605633802817</v>
      </c>
      <c r="N46" s="90">
        <v>3.0769230769230771</v>
      </c>
      <c r="O46" s="90">
        <v>3</v>
      </c>
      <c r="P46" s="90">
        <v>2.5460992907801416</v>
      </c>
      <c r="Q46" s="90">
        <v>2.2056737588652484</v>
      </c>
      <c r="R46" s="90">
        <v>3.0141843971631204</v>
      </c>
      <c r="S46" s="100">
        <v>144</v>
      </c>
    </row>
    <row r="47" spans="1:19" x14ac:dyDescent="0.35">
      <c r="A47" t="s">
        <v>132</v>
      </c>
      <c r="D47" s="90">
        <v>3.9402985074626864</v>
      </c>
      <c r="E47" s="90">
        <v>4.4962686567164178</v>
      </c>
      <c r="F47" s="90">
        <v>3.5698113207547171</v>
      </c>
      <c r="G47" s="90">
        <v>3.6305970149253732</v>
      </c>
      <c r="H47" s="90">
        <v>4.0488721804511281</v>
      </c>
      <c r="I47" s="90">
        <v>4.1610486891385765</v>
      </c>
      <c r="J47" s="90">
        <v>3.7622641509433961</v>
      </c>
      <c r="K47" s="90">
        <v>2.7406015037593985</v>
      </c>
      <c r="L47" s="90">
        <v>2.4360902255639099</v>
      </c>
      <c r="M47" s="90">
        <v>3.6804511278195489</v>
      </c>
      <c r="N47" s="90">
        <v>3.0490566037735851</v>
      </c>
      <c r="O47" s="90">
        <v>2.9622641509433962</v>
      </c>
      <c r="P47" s="90">
        <v>2.5492424242424243</v>
      </c>
      <c r="Q47" s="90">
        <v>2.1018867924528304</v>
      </c>
      <c r="R47" s="90">
        <v>3.0711610486891385</v>
      </c>
      <c r="S47" s="100">
        <v>268</v>
      </c>
    </row>
    <row r="48" spans="1:19" x14ac:dyDescent="0.35">
      <c r="A48" t="s">
        <v>133</v>
      </c>
      <c r="D48" s="90">
        <v>3.6589147286821704</v>
      </c>
      <c r="E48" s="90">
        <v>4.5137254901960784</v>
      </c>
      <c r="F48" s="90">
        <v>3.41015625</v>
      </c>
      <c r="G48" s="90">
        <v>3.5118110236220472</v>
      </c>
      <c r="H48" s="90">
        <v>4.0933852140077818</v>
      </c>
      <c r="I48" s="90">
        <v>4.337254901960784</v>
      </c>
      <c r="J48" s="90">
        <v>3.8365758754863815</v>
      </c>
      <c r="K48" s="90">
        <v>2.64453125</v>
      </c>
      <c r="L48" s="90">
        <v>2.3607843137254902</v>
      </c>
      <c r="M48" s="90">
        <v>3.6205533596837944</v>
      </c>
      <c r="N48" s="90">
        <v>3.0705882352941178</v>
      </c>
      <c r="O48" s="90">
        <v>3</v>
      </c>
      <c r="P48" s="90">
        <v>2.4901960784313726</v>
      </c>
      <c r="Q48" s="90">
        <v>2.1490196078431372</v>
      </c>
      <c r="R48" s="90">
        <v>2.94</v>
      </c>
      <c r="S48" s="100">
        <v>258</v>
      </c>
    </row>
    <row r="49" spans="1:19" x14ac:dyDescent="0.35">
      <c r="A49" t="s">
        <v>134</v>
      </c>
      <c r="D49" s="90">
        <v>3.790909090909091</v>
      </c>
      <c r="E49" s="90">
        <v>4.3981762917933134</v>
      </c>
      <c r="F49" s="90">
        <v>3.1809815950920246</v>
      </c>
      <c r="G49" s="90">
        <v>3.5136778115501519</v>
      </c>
      <c r="H49" s="90">
        <v>3.9606060606060605</v>
      </c>
      <c r="I49" s="90">
        <v>4.238670694864048</v>
      </c>
      <c r="J49" s="90">
        <v>3.9300911854103342</v>
      </c>
      <c r="K49" s="90">
        <v>2.6261398176291793</v>
      </c>
      <c r="L49" s="90">
        <v>2.3696969696969696</v>
      </c>
      <c r="M49" s="90">
        <v>3.603030303030303</v>
      </c>
      <c r="N49" s="90">
        <v>3.1717791411042944</v>
      </c>
      <c r="O49" s="90">
        <v>3.3475609756097562</v>
      </c>
      <c r="P49" s="90">
        <v>2.5214723926380369</v>
      </c>
      <c r="Q49" s="90">
        <v>2.1707317073170733</v>
      </c>
      <c r="R49" s="90">
        <v>2.8328267477203646</v>
      </c>
      <c r="S49" s="100">
        <v>335</v>
      </c>
    </row>
    <row r="50" spans="1:19" x14ac:dyDescent="0.35">
      <c r="A50" t="s">
        <v>135</v>
      </c>
      <c r="D50" s="90">
        <v>3.6359102244389025</v>
      </c>
      <c r="E50" s="90">
        <v>4.387096774193548</v>
      </c>
      <c r="F50" s="90">
        <v>3.3809523809523809</v>
      </c>
      <c r="G50" s="90">
        <v>3.4364089775561095</v>
      </c>
      <c r="H50" s="90">
        <v>4.1804511278195493</v>
      </c>
      <c r="I50" s="90">
        <v>4.5761421319796955</v>
      </c>
      <c r="J50" s="90">
        <v>4.1019900497512438</v>
      </c>
      <c r="K50" s="90">
        <v>2.6243781094527363</v>
      </c>
      <c r="L50" s="90">
        <v>2.3425692695214106</v>
      </c>
      <c r="M50" s="90">
        <v>3.5597014925373136</v>
      </c>
      <c r="N50" s="90">
        <v>3.1471321695760599</v>
      </c>
      <c r="O50" s="90">
        <v>3.3159203980099501</v>
      </c>
      <c r="P50" s="90">
        <v>2.4786967418546366</v>
      </c>
      <c r="Q50" s="90">
        <v>2.0843672456575684</v>
      </c>
      <c r="R50" s="90">
        <v>2.899749373433584</v>
      </c>
      <c r="S50" s="100">
        <v>406</v>
      </c>
    </row>
    <row r="53" spans="1:19" x14ac:dyDescent="0.35">
      <c r="D53" t="s">
        <v>221</v>
      </c>
      <c r="E53" t="s">
        <v>222</v>
      </c>
      <c r="F53" t="s">
        <v>223</v>
      </c>
      <c r="G53" t="s">
        <v>224</v>
      </c>
      <c r="H53" t="s">
        <v>225</v>
      </c>
      <c r="I53" t="s">
        <v>226</v>
      </c>
      <c r="J53" t="s">
        <v>227</v>
      </c>
      <c r="K53" t="s">
        <v>228</v>
      </c>
      <c r="L53" t="s">
        <v>229</v>
      </c>
      <c r="M53" t="s">
        <v>230</v>
      </c>
      <c r="N53" t="s">
        <v>231</v>
      </c>
      <c r="O53" t="s">
        <v>232</v>
      </c>
      <c r="P53" t="s">
        <v>233</v>
      </c>
      <c r="Q53" t="s">
        <v>234</v>
      </c>
      <c r="R53" t="s">
        <v>235</v>
      </c>
      <c r="S53" t="s">
        <v>79</v>
      </c>
    </row>
    <row r="54" spans="1:19" x14ac:dyDescent="0.35">
      <c r="A54" t="s">
        <v>127</v>
      </c>
      <c r="D54" s="90">
        <v>3.7666021921341071</v>
      </c>
      <c r="E54" s="90">
        <v>4.4405684754521966</v>
      </c>
      <c r="F54" s="90">
        <v>3.3662979830839297</v>
      </c>
      <c r="G54" s="90">
        <v>3.5339805825242721</v>
      </c>
      <c r="H54" s="90">
        <v>4.0673139158576053</v>
      </c>
      <c r="I54" s="90">
        <v>4.337662337662338</v>
      </c>
      <c r="J54" s="90">
        <v>3.8914027149321266</v>
      </c>
      <c r="K54" s="90">
        <v>2.6580478345184226</v>
      </c>
      <c r="L54" s="90">
        <v>2.3852140077821011</v>
      </c>
      <c r="M54" s="90">
        <v>3.6391953277092797</v>
      </c>
      <c r="N54" s="90">
        <v>3.1132075471698113</v>
      </c>
      <c r="O54" s="90">
        <v>3.125</v>
      </c>
      <c r="P54" s="90">
        <v>2.5176010430247717</v>
      </c>
      <c r="Q54" s="90">
        <v>2.1512005191434134</v>
      </c>
      <c r="R54" s="90">
        <v>2.962890625</v>
      </c>
      <c r="S54" s="100">
        <v>1562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0" workbookViewId="0">
      <selection activeCell="A69" sqref="A69:L69"/>
    </sheetView>
  </sheetViews>
  <sheetFormatPr defaultRowHeight="14.6" x14ac:dyDescent="0.35"/>
  <sheetData>
    <row r="1" spans="1:7" x14ac:dyDescent="0.35">
      <c r="A1" t="s">
        <v>122</v>
      </c>
      <c r="B1" t="s">
        <v>123</v>
      </c>
      <c r="C1" t="s">
        <v>124</v>
      </c>
      <c r="D1" t="s">
        <v>236</v>
      </c>
      <c r="E1" t="s">
        <v>237</v>
      </c>
      <c r="F1" t="s">
        <v>238</v>
      </c>
      <c r="G1" t="s">
        <v>79</v>
      </c>
    </row>
    <row r="2" spans="1:7" x14ac:dyDescent="0.35">
      <c r="A2" t="s">
        <v>44</v>
      </c>
      <c r="B2" s="100">
        <v>1</v>
      </c>
      <c r="C2" s="100">
        <v>18</v>
      </c>
      <c r="D2" s="90">
        <v>62.5</v>
      </c>
      <c r="E2" s="90">
        <v>37.5</v>
      </c>
      <c r="F2" s="90">
        <v>0</v>
      </c>
      <c r="G2" s="100">
        <v>16</v>
      </c>
    </row>
    <row r="3" spans="1:7" x14ac:dyDescent="0.35">
      <c r="A3" t="s">
        <v>45</v>
      </c>
      <c r="B3" s="100">
        <v>6</v>
      </c>
      <c r="C3" s="100">
        <v>49</v>
      </c>
      <c r="D3" s="90">
        <v>58.974358974358971</v>
      </c>
      <c r="E3" s="90">
        <v>30.76923076923077</v>
      </c>
      <c r="F3" s="90">
        <v>10.256410256410257</v>
      </c>
      <c r="G3" s="100">
        <v>82</v>
      </c>
    </row>
    <row r="4" spans="1:7" x14ac:dyDescent="0.35">
      <c r="A4" t="s">
        <v>46</v>
      </c>
      <c r="B4" s="100">
        <v>2</v>
      </c>
      <c r="C4" s="100">
        <v>82</v>
      </c>
      <c r="D4" s="90">
        <v>70</v>
      </c>
      <c r="E4" s="90">
        <v>20</v>
      </c>
      <c r="F4" s="90">
        <v>10</v>
      </c>
      <c r="G4" s="100">
        <v>21</v>
      </c>
    </row>
    <row r="5" spans="1:7" x14ac:dyDescent="0.35">
      <c r="A5" t="s">
        <v>2</v>
      </c>
      <c r="B5" s="100">
        <v>1</v>
      </c>
      <c r="C5" s="100">
        <v>97</v>
      </c>
      <c r="D5" s="90">
        <v>57.142857142857146</v>
      </c>
      <c r="E5" s="90">
        <v>35.714285714285715</v>
      </c>
      <c r="F5" s="90">
        <v>7.1428571428571432</v>
      </c>
      <c r="G5" s="100">
        <v>14</v>
      </c>
    </row>
    <row r="6" spans="1:7" x14ac:dyDescent="0.35">
      <c r="A6" t="s">
        <v>3</v>
      </c>
      <c r="B6" s="100">
        <v>4</v>
      </c>
      <c r="C6" s="100">
        <v>54</v>
      </c>
      <c r="D6" s="90">
        <v>90.322580645161295</v>
      </c>
      <c r="E6" s="90">
        <v>6.4516129032258061</v>
      </c>
      <c r="F6" s="90">
        <v>3.225806451612903</v>
      </c>
      <c r="G6" s="100">
        <v>31</v>
      </c>
    </row>
    <row r="7" spans="1:7" x14ac:dyDescent="0.35">
      <c r="A7" t="s">
        <v>4</v>
      </c>
      <c r="B7" s="100">
        <v>5</v>
      </c>
      <c r="C7" s="100">
        <v>109</v>
      </c>
      <c r="D7" s="90">
        <v>57.5</v>
      </c>
      <c r="E7" s="90">
        <v>37.5</v>
      </c>
      <c r="F7" s="90">
        <v>5</v>
      </c>
      <c r="G7" s="100">
        <v>41</v>
      </c>
    </row>
    <row r="8" spans="1:7" x14ac:dyDescent="0.35">
      <c r="A8" t="s">
        <v>48</v>
      </c>
      <c r="B8" s="100">
        <v>2</v>
      </c>
      <c r="C8" s="100">
        <v>148</v>
      </c>
      <c r="D8" s="90">
        <v>88.235294117647058</v>
      </c>
      <c r="E8" s="90">
        <v>5.882352941176471</v>
      </c>
      <c r="F8" s="90">
        <v>5.882352941176471</v>
      </c>
      <c r="G8" s="100">
        <v>18</v>
      </c>
    </row>
    <row r="9" spans="1:7" x14ac:dyDescent="0.35">
      <c r="A9" t="s">
        <v>5</v>
      </c>
      <c r="B9" s="100">
        <v>6</v>
      </c>
      <c r="C9" s="100">
        <v>179</v>
      </c>
      <c r="D9" s="90">
        <v>75</v>
      </c>
      <c r="E9" s="90">
        <v>23.214285714285715</v>
      </c>
      <c r="F9" s="90">
        <v>1.7857142857142858</v>
      </c>
      <c r="G9" s="100">
        <v>59</v>
      </c>
    </row>
    <row r="10" spans="1:7" x14ac:dyDescent="0.35">
      <c r="A10" t="s">
        <v>50</v>
      </c>
      <c r="B10" s="100">
        <v>3</v>
      </c>
      <c r="C10" s="100">
        <v>214</v>
      </c>
      <c r="D10" s="90">
        <v>72</v>
      </c>
      <c r="E10" s="90">
        <v>20</v>
      </c>
      <c r="F10" s="90">
        <v>8</v>
      </c>
      <c r="G10" s="100">
        <v>25</v>
      </c>
    </row>
    <row r="11" spans="1:7" x14ac:dyDescent="0.35">
      <c r="A11" t="s">
        <v>51</v>
      </c>
      <c r="B11" s="100">
        <v>1</v>
      </c>
      <c r="C11" s="100">
        <v>239</v>
      </c>
      <c r="D11" s="90">
        <v>81.818181818181813</v>
      </c>
      <c r="E11" s="90">
        <v>9.0909090909090917</v>
      </c>
      <c r="F11" s="90">
        <v>9.0909090909090917</v>
      </c>
      <c r="G11" s="100">
        <v>22</v>
      </c>
    </row>
    <row r="12" spans="1:7" x14ac:dyDescent="0.35">
      <c r="A12" t="s">
        <v>22</v>
      </c>
      <c r="B12" s="100">
        <v>2</v>
      </c>
      <c r="C12" s="100">
        <v>322</v>
      </c>
      <c r="D12" s="90">
        <v>62.962962962962962</v>
      </c>
      <c r="E12" s="90">
        <v>22.222222222222221</v>
      </c>
      <c r="F12" s="90">
        <v>14.814814814814815</v>
      </c>
      <c r="G12" s="100">
        <v>28</v>
      </c>
    </row>
    <row r="13" spans="1:7" x14ac:dyDescent="0.35">
      <c r="A13" t="s">
        <v>52</v>
      </c>
      <c r="B13" s="100">
        <v>3</v>
      </c>
      <c r="C13" s="100">
        <v>249</v>
      </c>
      <c r="D13" s="90">
        <v>45.945945945945944</v>
      </c>
      <c r="E13" s="90">
        <v>35.135135135135137</v>
      </c>
      <c r="F13" s="90">
        <v>18.918918918918919</v>
      </c>
      <c r="G13" s="100">
        <v>37</v>
      </c>
    </row>
    <row r="14" spans="1:7" x14ac:dyDescent="0.35">
      <c r="A14" t="s">
        <v>72</v>
      </c>
      <c r="B14" s="100">
        <v>4</v>
      </c>
      <c r="C14" s="100">
        <v>272</v>
      </c>
      <c r="D14" s="90">
        <v>73.333333333333329</v>
      </c>
      <c r="E14" s="90">
        <v>18.333333333333332</v>
      </c>
      <c r="F14" s="90">
        <v>8.3333333333333339</v>
      </c>
      <c r="G14" s="100">
        <v>61</v>
      </c>
    </row>
    <row r="15" spans="1:7" x14ac:dyDescent="0.35">
      <c r="A15" t="s">
        <v>6</v>
      </c>
      <c r="B15" s="100">
        <v>5</v>
      </c>
      <c r="C15" s="100">
        <v>285</v>
      </c>
      <c r="D15" s="90">
        <v>55.882352941176471</v>
      </c>
      <c r="E15" s="90">
        <v>38.235294117647058</v>
      </c>
      <c r="F15" s="90">
        <v>5.882352941176471</v>
      </c>
      <c r="G15" s="100">
        <v>70</v>
      </c>
    </row>
    <row r="16" spans="1:7" x14ac:dyDescent="0.35">
      <c r="A16" t="s">
        <v>73</v>
      </c>
      <c r="B16" s="100">
        <v>3</v>
      </c>
      <c r="C16" s="100">
        <v>301</v>
      </c>
      <c r="D16" s="90">
        <v>70.588235294117652</v>
      </c>
      <c r="E16" s="90">
        <v>20.588235294117649</v>
      </c>
      <c r="F16" s="90">
        <v>8.8235294117647065</v>
      </c>
      <c r="G16" s="100">
        <v>36</v>
      </c>
    </row>
    <row r="17" spans="1:7" x14ac:dyDescent="0.35">
      <c r="A17" t="s">
        <v>7</v>
      </c>
      <c r="B17" s="100">
        <v>3</v>
      </c>
      <c r="C17" s="100">
        <v>305</v>
      </c>
      <c r="D17" s="90">
        <v>67.741935483870961</v>
      </c>
      <c r="E17" s="90">
        <v>16.129032258064516</v>
      </c>
      <c r="F17" s="90">
        <v>16.129032258064516</v>
      </c>
      <c r="G17" s="100">
        <v>31</v>
      </c>
    </row>
    <row r="18" spans="1:7" x14ac:dyDescent="0.35">
      <c r="A18" t="s">
        <v>8</v>
      </c>
      <c r="B18" s="100">
        <v>5</v>
      </c>
      <c r="C18" s="100">
        <v>405</v>
      </c>
      <c r="D18" s="90">
        <v>50</v>
      </c>
      <c r="E18" s="90">
        <v>30</v>
      </c>
      <c r="F18" s="90">
        <v>20</v>
      </c>
      <c r="G18" s="100">
        <v>40</v>
      </c>
    </row>
    <row r="19" spans="1:7" x14ac:dyDescent="0.35">
      <c r="A19" t="s">
        <v>9</v>
      </c>
      <c r="B19" s="100">
        <v>4</v>
      </c>
      <c r="C19" s="100">
        <v>418</v>
      </c>
      <c r="D19" s="90">
        <v>65</v>
      </c>
      <c r="E19" s="90">
        <v>30</v>
      </c>
      <c r="F19" s="90">
        <v>5</v>
      </c>
      <c r="G19" s="100">
        <v>40</v>
      </c>
    </row>
    <row r="20" spans="1:7" x14ac:dyDescent="0.35">
      <c r="A20" t="s">
        <v>56</v>
      </c>
      <c r="B20" s="100">
        <v>3</v>
      </c>
      <c r="C20" s="100">
        <v>426</v>
      </c>
      <c r="D20" s="90">
        <v>81.081081081081081</v>
      </c>
      <c r="E20" s="90">
        <v>18.918918918918919</v>
      </c>
      <c r="F20" s="90">
        <v>0</v>
      </c>
      <c r="G20" s="100">
        <v>38</v>
      </c>
    </row>
    <row r="21" spans="1:7" x14ac:dyDescent="0.35">
      <c r="A21" t="s">
        <v>74</v>
      </c>
      <c r="B21" s="100">
        <v>5</v>
      </c>
      <c r="C21" s="100">
        <v>491</v>
      </c>
      <c r="D21" s="90">
        <v>76.056338028169009</v>
      </c>
      <c r="E21" s="90">
        <v>12.67605633802817</v>
      </c>
      <c r="F21" s="90">
        <v>11.267605633802816</v>
      </c>
      <c r="G21" s="100">
        <v>72</v>
      </c>
    </row>
    <row r="22" spans="1:7" x14ac:dyDescent="0.35">
      <c r="A22" t="s">
        <v>10</v>
      </c>
      <c r="B22" s="100">
        <v>2.978723404255319</v>
      </c>
      <c r="C22" s="100">
        <v>499</v>
      </c>
      <c r="D22" s="90">
        <v>80.851063829787236</v>
      </c>
      <c r="E22" s="90">
        <v>8.5106382978723403</v>
      </c>
      <c r="F22" s="90">
        <v>10.638297872340425</v>
      </c>
      <c r="G22" s="100">
        <v>47</v>
      </c>
    </row>
    <row r="23" spans="1:7" x14ac:dyDescent="0.35">
      <c r="A23" t="s">
        <v>58</v>
      </c>
      <c r="B23" s="100">
        <v>3</v>
      </c>
      <c r="C23" s="100">
        <v>535</v>
      </c>
      <c r="D23" s="90">
        <v>94.736842105263165</v>
      </c>
      <c r="E23" s="90">
        <v>5.2631578947368425</v>
      </c>
      <c r="F23" s="90">
        <v>0</v>
      </c>
      <c r="G23" s="100">
        <v>19</v>
      </c>
    </row>
    <row r="24" spans="1:7" x14ac:dyDescent="0.35">
      <c r="A24" t="s">
        <v>11</v>
      </c>
      <c r="B24" s="100">
        <v>6</v>
      </c>
      <c r="C24" s="100">
        <v>464</v>
      </c>
      <c r="D24" s="90">
        <v>67.241379310344826</v>
      </c>
      <c r="E24" s="90">
        <v>27.586206896551722</v>
      </c>
      <c r="F24" s="90">
        <v>5.1724137931034484</v>
      </c>
      <c r="G24" s="100">
        <v>59</v>
      </c>
    </row>
    <row r="25" spans="1:7" x14ac:dyDescent="0.35">
      <c r="A25" t="s">
        <v>60</v>
      </c>
      <c r="B25" s="100">
        <v>1</v>
      </c>
      <c r="C25" s="100">
        <v>578</v>
      </c>
      <c r="D25" s="90">
        <v>61.904761904761905</v>
      </c>
      <c r="E25" s="90">
        <v>19.047619047619047</v>
      </c>
      <c r="F25" s="90">
        <v>19.047619047619047</v>
      </c>
      <c r="G25" s="100">
        <v>21</v>
      </c>
    </row>
    <row r="26" spans="1:7" x14ac:dyDescent="0.35">
      <c r="A26" t="s">
        <v>61</v>
      </c>
      <c r="B26" s="100">
        <v>2</v>
      </c>
      <c r="C26" s="100">
        <v>581</v>
      </c>
      <c r="D26" s="90">
        <v>71.428571428571431</v>
      </c>
      <c r="E26" s="90">
        <v>14.285714285714286</v>
      </c>
      <c r="F26" s="90">
        <v>14.285714285714286</v>
      </c>
      <c r="G26" s="100">
        <v>28</v>
      </c>
    </row>
    <row r="27" spans="1:7" x14ac:dyDescent="0.35">
      <c r="A27" t="s">
        <v>62</v>
      </c>
      <c r="B27" s="100">
        <v>1</v>
      </c>
      <c r="C27" s="100">
        <v>592</v>
      </c>
      <c r="D27" s="90">
        <v>63.157894736842103</v>
      </c>
      <c r="E27" s="90">
        <v>21.05263157894737</v>
      </c>
      <c r="F27" s="90">
        <v>15.789473684210526</v>
      </c>
      <c r="G27" s="100">
        <v>19</v>
      </c>
    </row>
    <row r="28" spans="1:7" x14ac:dyDescent="0.35">
      <c r="A28" t="s">
        <v>12</v>
      </c>
      <c r="B28" s="100">
        <v>2</v>
      </c>
      <c r="C28" s="100">
        <v>615</v>
      </c>
      <c r="D28" s="90">
        <v>47.058823529411768</v>
      </c>
      <c r="E28" s="90">
        <v>29.411764705882351</v>
      </c>
      <c r="F28" s="90">
        <v>23.529411764705884</v>
      </c>
      <c r="G28" s="100">
        <v>17</v>
      </c>
    </row>
    <row r="29" spans="1:7" x14ac:dyDescent="0.35">
      <c r="A29" t="s">
        <v>23</v>
      </c>
      <c r="B29" s="100">
        <v>4</v>
      </c>
      <c r="C29" s="100">
        <v>710</v>
      </c>
      <c r="D29" s="90">
        <v>76.92307692307692</v>
      </c>
      <c r="E29" s="90">
        <v>15.384615384615385</v>
      </c>
      <c r="F29" s="90">
        <v>7.6923076923076925</v>
      </c>
      <c r="G29" s="100">
        <v>43</v>
      </c>
    </row>
    <row r="30" spans="1:7" x14ac:dyDescent="0.35">
      <c r="A30" t="s">
        <v>64</v>
      </c>
      <c r="B30" s="100">
        <v>4</v>
      </c>
      <c r="C30" s="100">
        <v>680</v>
      </c>
      <c r="D30" s="90">
        <v>56.81818181818182</v>
      </c>
      <c r="E30" s="90">
        <v>38.636363636363633</v>
      </c>
      <c r="F30" s="90">
        <v>4.5454545454545459</v>
      </c>
      <c r="G30" s="100">
        <v>44</v>
      </c>
    </row>
    <row r="31" spans="1:7" x14ac:dyDescent="0.35">
      <c r="A31" t="s">
        <v>65</v>
      </c>
      <c r="B31" s="100">
        <v>1</v>
      </c>
      <c r="C31" s="100">
        <v>686</v>
      </c>
      <c r="D31" s="90">
        <v>64.705882352941174</v>
      </c>
      <c r="E31" s="90">
        <v>17.647058823529413</v>
      </c>
      <c r="F31" s="90">
        <v>17.647058823529413</v>
      </c>
      <c r="G31" s="100">
        <v>17</v>
      </c>
    </row>
    <row r="32" spans="1:7" x14ac:dyDescent="0.35">
      <c r="A32" t="s">
        <v>13</v>
      </c>
      <c r="B32" s="100">
        <v>5</v>
      </c>
      <c r="C32" s="100">
        <v>734</v>
      </c>
      <c r="D32" s="90">
        <v>72.727272727272734</v>
      </c>
      <c r="E32" s="90">
        <v>21.818181818181817</v>
      </c>
      <c r="F32" s="90">
        <v>5.4545454545454541</v>
      </c>
      <c r="G32" s="100">
        <v>55</v>
      </c>
    </row>
    <row r="33" spans="1:7" x14ac:dyDescent="0.35">
      <c r="A33" t="s">
        <v>14</v>
      </c>
      <c r="B33" s="100">
        <v>3</v>
      </c>
      <c r="C33" s="100">
        <v>753</v>
      </c>
      <c r="D33" s="90">
        <v>71.428571428571431</v>
      </c>
      <c r="E33" s="90">
        <v>20</v>
      </c>
      <c r="F33" s="90">
        <v>8.5714285714285712</v>
      </c>
      <c r="G33" s="100">
        <v>36</v>
      </c>
    </row>
    <row r="34" spans="1:7" x14ac:dyDescent="0.35">
      <c r="A34" t="s">
        <v>67</v>
      </c>
      <c r="B34" s="100">
        <v>1</v>
      </c>
      <c r="C34" s="100">
        <v>783</v>
      </c>
      <c r="D34" s="90">
        <v>76.92307692307692</v>
      </c>
      <c r="E34" s="90">
        <v>11.538461538461538</v>
      </c>
      <c r="F34" s="90">
        <v>11.538461538461538</v>
      </c>
      <c r="G34" s="100">
        <v>26</v>
      </c>
    </row>
    <row r="35" spans="1:7" x14ac:dyDescent="0.35">
      <c r="A35" t="s">
        <v>68</v>
      </c>
      <c r="B35" s="100">
        <v>6</v>
      </c>
      <c r="C35" s="100">
        <v>837</v>
      </c>
      <c r="D35" s="90">
        <v>52.941176470588232</v>
      </c>
      <c r="E35" s="90">
        <v>35.294117647058826</v>
      </c>
      <c r="F35" s="90">
        <v>11.764705882352942</v>
      </c>
      <c r="G35" s="100">
        <v>52</v>
      </c>
    </row>
    <row r="36" spans="1:7" x14ac:dyDescent="0.35">
      <c r="A36" t="s">
        <v>69</v>
      </c>
      <c r="B36" s="100">
        <v>4</v>
      </c>
      <c r="C36" s="100">
        <v>851</v>
      </c>
      <c r="D36" s="90">
        <v>79.487179487179489</v>
      </c>
      <c r="E36" s="90">
        <v>15.384615384615385</v>
      </c>
      <c r="F36" s="90">
        <v>5.1282051282051286</v>
      </c>
      <c r="G36" s="100">
        <v>39</v>
      </c>
    </row>
    <row r="37" spans="1:7" x14ac:dyDescent="0.35">
      <c r="A37" t="s">
        <v>15</v>
      </c>
      <c r="B37" s="100">
        <v>6</v>
      </c>
      <c r="C37" s="100">
        <v>853</v>
      </c>
      <c r="D37" s="90">
        <v>50.769230769230766</v>
      </c>
      <c r="E37" s="90">
        <v>41.53846153846154</v>
      </c>
      <c r="F37" s="90">
        <v>7.6923076923076925</v>
      </c>
      <c r="G37" s="100">
        <v>65</v>
      </c>
    </row>
    <row r="38" spans="1:7" x14ac:dyDescent="0.35">
      <c r="A38" t="s">
        <v>16</v>
      </c>
      <c r="B38" s="100">
        <v>5</v>
      </c>
      <c r="C38" s="100">
        <v>905</v>
      </c>
      <c r="D38" s="90">
        <v>64.912280701754383</v>
      </c>
      <c r="E38" s="90">
        <v>21.05263157894737</v>
      </c>
      <c r="F38" s="90">
        <v>14.035087719298245</v>
      </c>
      <c r="G38" s="100">
        <v>57</v>
      </c>
    </row>
    <row r="39" spans="1:7" x14ac:dyDescent="0.35">
      <c r="A39" t="s">
        <v>71</v>
      </c>
      <c r="B39" s="100">
        <v>6</v>
      </c>
      <c r="C39" s="100">
        <v>92</v>
      </c>
      <c r="D39" s="90">
        <v>64.367816091954026</v>
      </c>
      <c r="E39" s="90">
        <v>31.03448275862069</v>
      </c>
      <c r="F39" s="90">
        <v>4.5977011494252871</v>
      </c>
      <c r="G39" s="100">
        <v>89</v>
      </c>
    </row>
    <row r="40" spans="1:7" x14ac:dyDescent="0.35">
      <c r="A40" t="s">
        <v>17</v>
      </c>
      <c r="B40" s="100">
        <v>1</v>
      </c>
      <c r="C40" s="100">
        <v>934</v>
      </c>
      <c r="D40" s="90">
        <v>81.25</v>
      </c>
      <c r="E40" s="90">
        <v>12.5</v>
      </c>
      <c r="F40" s="90">
        <v>6.25</v>
      </c>
      <c r="G40" s="100">
        <v>16</v>
      </c>
    </row>
    <row r="41" spans="1:7" x14ac:dyDescent="0.35">
      <c r="A41" t="s">
        <v>24</v>
      </c>
      <c r="B41" s="100">
        <v>2</v>
      </c>
      <c r="C41" s="100">
        <v>946</v>
      </c>
      <c r="D41" s="90">
        <v>80.645161290322577</v>
      </c>
      <c r="E41" s="90">
        <v>16.129032258064516</v>
      </c>
      <c r="F41" s="90">
        <v>3.225806451612903</v>
      </c>
      <c r="G41" s="100">
        <v>31</v>
      </c>
    </row>
    <row r="45" spans="1:7" x14ac:dyDescent="0.35">
      <c r="A45" t="s">
        <v>126</v>
      </c>
      <c r="D45" t="s">
        <v>237</v>
      </c>
      <c r="E45" t="s">
        <v>236</v>
      </c>
      <c r="F45" t="s">
        <v>238</v>
      </c>
      <c r="G45" t="s">
        <v>79</v>
      </c>
    </row>
    <row r="46" spans="1:7" x14ac:dyDescent="0.35">
      <c r="A46" t="s">
        <v>130</v>
      </c>
      <c r="D46" s="90">
        <v>69.536423841059602</v>
      </c>
      <c r="E46" s="90">
        <v>19.205298013245034</v>
      </c>
      <c r="F46" s="90">
        <v>11.258278145695364</v>
      </c>
      <c r="G46" s="100">
        <v>151</v>
      </c>
    </row>
    <row r="47" spans="1:7" x14ac:dyDescent="0.35">
      <c r="A47" t="s">
        <v>131</v>
      </c>
      <c r="D47" s="90">
        <v>70.921985815602838</v>
      </c>
      <c r="E47" s="90">
        <v>17.730496453900709</v>
      </c>
      <c r="F47" s="90">
        <v>11.347517730496454</v>
      </c>
      <c r="G47" s="100">
        <v>144</v>
      </c>
    </row>
    <row r="48" spans="1:7" x14ac:dyDescent="0.35">
      <c r="A48" t="s">
        <v>132</v>
      </c>
      <c r="D48" s="90">
        <v>71.969696969696969</v>
      </c>
      <c r="E48" s="90">
        <v>18.560606060606062</v>
      </c>
      <c r="F48" s="90">
        <v>9.4696969696969688</v>
      </c>
      <c r="G48" s="100">
        <v>268</v>
      </c>
    </row>
    <row r="49" spans="1:7" x14ac:dyDescent="0.35">
      <c r="A49" t="s">
        <v>133</v>
      </c>
      <c r="D49" s="90">
        <v>72.727272727272734</v>
      </c>
      <c r="E49" s="90">
        <v>21.343873517786562</v>
      </c>
      <c r="F49" s="90">
        <v>5.9288537549407119</v>
      </c>
      <c r="G49" s="100">
        <v>258</v>
      </c>
    </row>
    <row r="50" spans="1:7" x14ac:dyDescent="0.35">
      <c r="A50" t="s">
        <v>134</v>
      </c>
      <c r="D50" s="90">
        <v>64.048338368580062</v>
      </c>
      <c r="E50" s="90">
        <v>25.981873111782477</v>
      </c>
      <c r="F50" s="90">
        <v>9.9697885196374614</v>
      </c>
      <c r="G50" s="100">
        <v>335</v>
      </c>
    </row>
    <row r="51" spans="1:7" x14ac:dyDescent="0.35">
      <c r="A51" t="s">
        <v>135</v>
      </c>
      <c r="D51" s="90">
        <v>61.518987341772153</v>
      </c>
      <c r="E51" s="90">
        <v>31.645569620253166</v>
      </c>
      <c r="F51" s="90">
        <v>6.8354430379746836</v>
      </c>
      <c r="G51" s="100">
        <v>406</v>
      </c>
    </row>
    <row r="53" spans="1:7" x14ac:dyDescent="0.35">
      <c r="D53" t="s">
        <v>237</v>
      </c>
      <c r="E53" t="s">
        <v>236</v>
      </c>
      <c r="F53" t="s">
        <v>238</v>
      </c>
      <c r="G53" t="s">
        <v>79</v>
      </c>
    </row>
    <row r="54" spans="1:7" x14ac:dyDescent="0.35">
      <c r="A54" t="s">
        <v>127</v>
      </c>
      <c r="D54" s="90">
        <v>67.361563517915314</v>
      </c>
      <c r="E54" s="90">
        <v>23.973941368078176</v>
      </c>
      <c r="F54" s="90">
        <v>8.664495114006515</v>
      </c>
      <c r="G54" s="100">
        <v>1562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6" workbookViewId="0">
      <selection activeCell="A69" sqref="A69:L69"/>
    </sheetView>
  </sheetViews>
  <sheetFormatPr defaultRowHeight="14.6" x14ac:dyDescent="0.35"/>
  <sheetData>
    <row r="1" spans="1:10" x14ac:dyDescent="0.35">
      <c r="A1" t="s">
        <v>122</v>
      </c>
      <c r="B1" t="s">
        <v>123</v>
      </c>
      <c r="C1" t="s">
        <v>124</v>
      </c>
      <c r="D1" t="s">
        <v>239</v>
      </c>
      <c r="E1" t="s">
        <v>240</v>
      </c>
      <c r="F1" t="s">
        <v>241</v>
      </c>
      <c r="G1" t="s">
        <v>242</v>
      </c>
      <c r="H1" t="s">
        <v>243</v>
      </c>
      <c r="I1" t="s">
        <v>244</v>
      </c>
      <c r="J1" t="s">
        <v>79</v>
      </c>
    </row>
    <row r="2" spans="1:10" x14ac:dyDescent="0.35">
      <c r="A2" t="s">
        <v>44</v>
      </c>
      <c r="B2" s="100">
        <v>1</v>
      </c>
      <c r="C2" s="100">
        <v>18</v>
      </c>
      <c r="D2" s="90">
        <v>3.0625</v>
      </c>
      <c r="E2" s="90">
        <v>2.6875</v>
      </c>
      <c r="F2" s="90">
        <v>2</v>
      </c>
      <c r="G2" s="90">
        <v>2.4</v>
      </c>
      <c r="H2" s="90">
        <v>2.9375</v>
      </c>
      <c r="I2" s="90">
        <v>2.75</v>
      </c>
      <c r="J2" s="100">
        <v>16</v>
      </c>
    </row>
    <row r="3" spans="1:10" x14ac:dyDescent="0.35">
      <c r="A3" t="s">
        <v>45</v>
      </c>
      <c r="B3" s="100">
        <v>6</v>
      </c>
      <c r="C3" s="100">
        <v>49</v>
      </c>
      <c r="D3" s="90">
        <v>3.3536585365853657</v>
      </c>
      <c r="E3" s="90">
        <v>3.3292682926829267</v>
      </c>
      <c r="F3" s="90">
        <v>3.0609756097560976</v>
      </c>
      <c r="G3" s="90">
        <v>3.6538461538461537</v>
      </c>
      <c r="H3" s="90">
        <v>3.0375000000000001</v>
      </c>
      <c r="I3" s="90">
        <v>3.1358024691358026</v>
      </c>
      <c r="J3" s="100">
        <v>82</v>
      </c>
    </row>
    <row r="4" spans="1:10" x14ac:dyDescent="0.35">
      <c r="A4" t="s">
        <v>46</v>
      </c>
      <c r="B4" s="100">
        <v>2</v>
      </c>
      <c r="C4" s="100">
        <v>82</v>
      </c>
      <c r="D4" s="90">
        <v>3.6190476190476191</v>
      </c>
      <c r="E4" s="90">
        <v>3.8571428571428572</v>
      </c>
      <c r="F4" s="90">
        <v>3.1904761904761907</v>
      </c>
      <c r="G4" s="90">
        <v>3.0476190476190474</v>
      </c>
      <c r="H4" s="90">
        <v>3.6666666666666665</v>
      </c>
      <c r="I4" s="90">
        <v>3.1</v>
      </c>
      <c r="J4" s="100">
        <v>21</v>
      </c>
    </row>
    <row r="5" spans="1:10" x14ac:dyDescent="0.35">
      <c r="A5" t="s">
        <v>2</v>
      </c>
      <c r="B5" s="100">
        <v>1</v>
      </c>
      <c r="C5" s="100">
        <v>97</v>
      </c>
      <c r="D5" s="90">
        <v>3.2857142857142856</v>
      </c>
      <c r="E5" s="90">
        <v>2.2142857142857144</v>
      </c>
      <c r="F5" s="90">
        <v>2.2142857142857144</v>
      </c>
      <c r="G5" s="90">
        <v>2.2142857142857144</v>
      </c>
      <c r="H5" s="90">
        <v>4</v>
      </c>
      <c r="I5" s="90">
        <v>3.3571428571428572</v>
      </c>
      <c r="J5" s="100">
        <v>14</v>
      </c>
    </row>
    <row r="6" spans="1:10" x14ac:dyDescent="0.35">
      <c r="A6" t="s">
        <v>3</v>
      </c>
      <c r="B6" s="100">
        <v>4</v>
      </c>
      <c r="C6" s="100">
        <v>54</v>
      </c>
      <c r="D6" s="90">
        <v>3.5161290322580645</v>
      </c>
      <c r="E6" s="90">
        <v>3.9666666666666668</v>
      </c>
      <c r="F6" s="90">
        <v>3.4838709677419355</v>
      </c>
      <c r="G6" s="90">
        <v>3.5806451612903225</v>
      </c>
      <c r="H6" s="90">
        <v>3.6451612903225805</v>
      </c>
      <c r="I6" s="90">
        <v>3.2580645161290325</v>
      </c>
      <c r="J6" s="100">
        <v>31</v>
      </c>
    </row>
    <row r="7" spans="1:10" x14ac:dyDescent="0.35">
      <c r="A7" t="s">
        <v>4</v>
      </c>
      <c r="B7" s="100">
        <v>5</v>
      </c>
      <c r="C7" s="100">
        <v>109</v>
      </c>
      <c r="D7" s="90">
        <v>3.3902439024390243</v>
      </c>
      <c r="E7" s="90">
        <v>3.1219512195121952</v>
      </c>
      <c r="F7" s="90">
        <v>2.5609756097560976</v>
      </c>
      <c r="G7" s="90">
        <v>3.6097560975609757</v>
      </c>
      <c r="H7" s="90">
        <v>3.5121951219512195</v>
      </c>
      <c r="I7" s="90">
        <v>3.0487804878048781</v>
      </c>
      <c r="J7" s="100">
        <v>41</v>
      </c>
    </row>
    <row r="8" spans="1:10" x14ac:dyDescent="0.35">
      <c r="A8" t="s">
        <v>48</v>
      </c>
      <c r="B8" s="100">
        <v>2</v>
      </c>
      <c r="C8" s="100">
        <v>148</v>
      </c>
      <c r="D8" s="90">
        <v>3.3888888888888888</v>
      </c>
      <c r="E8" s="90">
        <v>3.2777777777777777</v>
      </c>
      <c r="F8" s="90">
        <v>2.6470588235294117</v>
      </c>
      <c r="G8" s="90">
        <v>2.8333333333333335</v>
      </c>
      <c r="H8" s="90">
        <v>3.3888888888888888</v>
      </c>
      <c r="I8" s="90">
        <v>3.2941176470588234</v>
      </c>
      <c r="J8" s="100">
        <v>18</v>
      </c>
    </row>
    <row r="9" spans="1:10" x14ac:dyDescent="0.35">
      <c r="A9" t="s">
        <v>5</v>
      </c>
      <c r="B9" s="100">
        <v>6</v>
      </c>
      <c r="C9" s="100">
        <v>179</v>
      </c>
      <c r="D9" s="90">
        <v>3.3508771929824563</v>
      </c>
      <c r="E9" s="90">
        <v>3.5438596491228069</v>
      </c>
      <c r="F9" s="90">
        <v>3.2280701754385963</v>
      </c>
      <c r="G9" s="90">
        <v>3.6071428571428572</v>
      </c>
      <c r="H9" s="90">
        <v>3.263157894736842</v>
      </c>
      <c r="I9" s="90">
        <v>2.7543859649122808</v>
      </c>
      <c r="J9" s="100">
        <v>59</v>
      </c>
    </row>
    <row r="10" spans="1:10" x14ac:dyDescent="0.35">
      <c r="A10" t="s">
        <v>50</v>
      </c>
      <c r="B10" s="100">
        <v>3</v>
      </c>
      <c r="C10" s="100">
        <v>214</v>
      </c>
      <c r="D10" s="90">
        <v>3.48</v>
      </c>
      <c r="E10" s="90">
        <v>3.52</v>
      </c>
      <c r="F10" s="90">
        <v>2.76</v>
      </c>
      <c r="G10" s="90">
        <v>3.44</v>
      </c>
      <c r="H10" s="90">
        <v>3.68</v>
      </c>
      <c r="I10" s="90">
        <v>3.4</v>
      </c>
      <c r="J10" s="100">
        <v>25</v>
      </c>
    </row>
    <row r="11" spans="1:10" x14ac:dyDescent="0.35">
      <c r="A11" t="s">
        <v>51</v>
      </c>
      <c r="B11" s="100">
        <v>1</v>
      </c>
      <c r="C11" s="100">
        <v>239</v>
      </c>
      <c r="D11" s="90">
        <v>4.2272727272727275</v>
      </c>
      <c r="E11" s="90">
        <v>4.3636363636363633</v>
      </c>
      <c r="F11" s="90">
        <v>4.2727272727272725</v>
      </c>
      <c r="G11" s="90">
        <v>4.1818181818181817</v>
      </c>
      <c r="H11" s="90">
        <v>3.7727272727272729</v>
      </c>
      <c r="I11" s="90">
        <v>4</v>
      </c>
      <c r="J11" s="100">
        <v>22</v>
      </c>
    </row>
    <row r="12" spans="1:10" x14ac:dyDescent="0.35">
      <c r="A12" t="s">
        <v>22</v>
      </c>
      <c r="B12" s="100">
        <v>2</v>
      </c>
      <c r="C12" s="100">
        <v>322</v>
      </c>
      <c r="D12" s="90">
        <v>2.8928571428571428</v>
      </c>
      <c r="E12" s="90">
        <v>2.6071428571428572</v>
      </c>
      <c r="F12" s="90">
        <v>1.5714285714285714</v>
      </c>
      <c r="G12" s="90">
        <v>3.1071428571428572</v>
      </c>
      <c r="H12" s="90">
        <v>3.4074074074074074</v>
      </c>
      <c r="I12" s="90">
        <v>1.7857142857142858</v>
      </c>
      <c r="J12" s="100">
        <v>28</v>
      </c>
    </row>
    <row r="13" spans="1:10" x14ac:dyDescent="0.35">
      <c r="A13" t="s">
        <v>52</v>
      </c>
      <c r="B13" s="100">
        <v>3</v>
      </c>
      <c r="C13" s="100">
        <v>249</v>
      </c>
      <c r="D13" s="90">
        <v>3.1081081081081079</v>
      </c>
      <c r="E13" s="90">
        <v>3.0810810810810811</v>
      </c>
      <c r="F13" s="90">
        <v>3.1081081081081079</v>
      </c>
      <c r="G13" s="90">
        <v>3.3513513513513513</v>
      </c>
      <c r="H13" s="90">
        <v>3.4324324324324325</v>
      </c>
      <c r="I13" s="90">
        <v>3</v>
      </c>
      <c r="J13" s="100">
        <v>37</v>
      </c>
    </row>
    <row r="14" spans="1:10" x14ac:dyDescent="0.35">
      <c r="A14" t="s">
        <v>72</v>
      </c>
      <c r="B14" s="100">
        <v>4</v>
      </c>
      <c r="C14" s="100">
        <v>272</v>
      </c>
      <c r="D14" s="90">
        <v>3.2295081967213113</v>
      </c>
      <c r="E14" s="90">
        <v>3.262295081967213</v>
      </c>
      <c r="F14" s="90">
        <v>3.2459016393442623</v>
      </c>
      <c r="G14" s="90">
        <v>3.377049180327869</v>
      </c>
      <c r="H14" s="90">
        <v>3.1147540983606556</v>
      </c>
      <c r="I14" s="90">
        <v>2.8852459016393444</v>
      </c>
      <c r="J14" s="100">
        <v>61</v>
      </c>
    </row>
    <row r="15" spans="1:10" x14ac:dyDescent="0.35">
      <c r="A15" t="s">
        <v>6</v>
      </c>
      <c r="B15" s="100">
        <v>5</v>
      </c>
      <c r="C15" s="100">
        <v>285</v>
      </c>
      <c r="D15" s="90">
        <v>2.8840579710144927</v>
      </c>
      <c r="E15" s="90">
        <v>2.7246376811594204</v>
      </c>
      <c r="F15" s="90">
        <v>2.5147058823529411</v>
      </c>
      <c r="G15" s="90">
        <v>3.2424242424242422</v>
      </c>
      <c r="H15" s="90">
        <v>2.9242424242424243</v>
      </c>
      <c r="I15" s="90">
        <v>2.6923076923076925</v>
      </c>
      <c r="J15" s="100">
        <v>70</v>
      </c>
    </row>
    <row r="16" spans="1:10" x14ac:dyDescent="0.35">
      <c r="A16" t="s">
        <v>73</v>
      </c>
      <c r="B16" s="100">
        <v>3</v>
      </c>
      <c r="C16" s="100">
        <v>301</v>
      </c>
      <c r="D16" s="90">
        <v>3.0833333333333335</v>
      </c>
      <c r="E16" s="90">
        <v>3.1388888888888888</v>
      </c>
      <c r="F16" s="90">
        <v>2.7777777777777777</v>
      </c>
      <c r="G16" s="90">
        <v>3.4166666666666665</v>
      </c>
      <c r="H16" s="90">
        <v>3.3611111111111112</v>
      </c>
      <c r="I16" s="90">
        <v>2.5277777777777777</v>
      </c>
      <c r="J16" s="100">
        <v>36</v>
      </c>
    </row>
    <row r="17" spans="1:10" x14ac:dyDescent="0.35">
      <c r="A17" t="s">
        <v>7</v>
      </c>
      <c r="B17" s="100">
        <v>3</v>
      </c>
      <c r="C17" s="100">
        <v>305</v>
      </c>
      <c r="D17" s="90">
        <v>3.4516129032258065</v>
      </c>
      <c r="E17" s="90">
        <v>3.3870967741935485</v>
      </c>
      <c r="F17" s="90">
        <v>2.5161290322580645</v>
      </c>
      <c r="G17" s="90">
        <v>3.3548387096774195</v>
      </c>
      <c r="H17" s="90">
        <v>3.4516129032258065</v>
      </c>
      <c r="I17" s="90">
        <v>3.3</v>
      </c>
      <c r="J17" s="100">
        <v>31</v>
      </c>
    </row>
    <row r="18" spans="1:10" x14ac:dyDescent="0.35">
      <c r="A18" t="s">
        <v>8</v>
      </c>
      <c r="B18" s="100">
        <v>5</v>
      </c>
      <c r="C18" s="100">
        <v>405</v>
      </c>
      <c r="D18" s="90">
        <v>3.2749999999999999</v>
      </c>
      <c r="E18" s="90">
        <v>3.5</v>
      </c>
      <c r="F18" s="90">
        <v>3.4</v>
      </c>
      <c r="G18" s="90">
        <v>3.625</v>
      </c>
      <c r="H18" s="90">
        <v>3.4473684210526314</v>
      </c>
      <c r="I18" s="90">
        <v>2.9249999999999998</v>
      </c>
      <c r="J18" s="100">
        <v>40</v>
      </c>
    </row>
    <row r="19" spans="1:10" x14ac:dyDescent="0.35">
      <c r="A19" t="s">
        <v>9</v>
      </c>
      <c r="B19" s="100">
        <v>4</v>
      </c>
      <c r="C19" s="100">
        <v>418</v>
      </c>
      <c r="D19" s="90">
        <v>3.6749999999999998</v>
      </c>
      <c r="E19" s="90">
        <v>3.65</v>
      </c>
      <c r="F19" s="90">
        <v>3.5</v>
      </c>
      <c r="G19" s="90">
        <v>3.85</v>
      </c>
      <c r="H19" s="90">
        <v>3.5526315789473686</v>
      </c>
      <c r="I19" s="90">
        <v>3.0249999999999999</v>
      </c>
      <c r="J19" s="100">
        <v>40</v>
      </c>
    </row>
    <row r="20" spans="1:10" x14ac:dyDescent="0.35">
      <c r="A20" t="s">
        <v>56</v>
      </c>
      <c r="B20" s="100">
        <v>3</v>
      </c>
      <c r="C20" s="100">
        <v>426</v>
      </c>
      <c r="D20" s="90">
        <v>3.6842105263157894</v>
      </c>
      <c r="E20" s="90">
        <v>3.8684210526315788</v>
      </c>
      <c r="F20" s="90">
        <v>3.736842105263158</v>
      </c>
      <c r="G20" s="90">
        <v>3.8157894736842106</v>
      </c>
      <c r="H20" s="90">
        <v>3.6315789473684212</v>
      </c>
      <c r="I20" s="90">
        <v>2.9736842105263159</v>
      </c>
      <c r="J20" s="100">
        <v>38</v>
      </c>
    </row>
    <row r="21" spans="1:10" x14ac:dyDescent="0.35">
      <c r="A21" t="s">
        <v>74</v>
      </c>
      <c r="B21" s="100">
        <v>5</v>
      </c>
      <c r="C21" s="100">
        <v>491</v>
      </c>
      <c r="D21" s="90">
        <v>3.3055555555555554</v>
      </c>
      <c r="E21" s="90">
        <v>2.971830985915493</v>
      </c>
      <c r="F21" s="90">
        <v>2.6111111111111112</v>
      </c>
      <c r="G21" s="90">
        <v>2.7916666666666665</v>
      </c>
      <c r="H21" s="90">
        <v>3</v>
      </c>
      <c r="I21" s="90">
        <v>2.8732394366197185</v>
      </c>
      <c r="J21" s="100">
        <v>72</v>
      </c>
    </row>
    <row r="22" spans="1:10" x14ac:dyDescent="0.35">
      <c r="A22" t="s">
        <v>10</v>
      </c>
      <c r="B22" s="100">
        <v>2.978723404255319</v>
      </c>
      <c r="C22" s="100">
        <v>499</v>
      </c>
      <c r="D22" s="90">
        <v>3.3260869565217392</v>
      </c>
      <c r="E22" s="90">
        <v>3.3043478260869565</v>
      </c>
      <c r="F22" s="90">
        <v>3.2222222222222223</v>
      </c>
      <c r="G22" s="90">
        <v>3.2391304347826089</v>
      </c>
      <c r="H22" s="90">
        <v>3.2826086956521738</v>
      </c>
      <c r="I22" s="90">
        <v>2.8260869565217392</v>
      </c>
      <c r="J22" s="100">
        <v>47</v>
      </c>
    </row>
    <row r="23" spans="1:10" x14ac:dyDescent="0.35">
      <c r="A23" t="s">
        <v>58</v>
      </c>
      <c r="B23" s="100">
        <v>3</v>
      </c>
      <c r="C23" s="100">
        <v>535</v>
      </c>
      <c r="D23" s="90">
        <v>3.8421052631578947</v>
      </c>
      <c r="E23" s="90">
        <v>4.1052631578947372</v>
      </c>
      <c r="F23" s="90">
        <v>4</v>
      </c>
      <c r="G23" s="90">
        <v>3.8333333333333335</v>
      </c>
      <c r="H23" s="90">
        <v>3.7894736842105261</v>
      </c>
      <c r="I23" s="90">
        <v>3.3684210526315788</v>
      </c>
      <c r="J23" s="100">
        <v>19</v>
      </c>
    </row>
    <row r="24" spans="1:10" x14ac:dyDescent="0.35">
      <c r="A24" t="s">
        <v>11</v>
      </c>
      <c r="B24" s="100">
        <v>6</v>
      </c>
      <c r="C24" s="100">
        <v>464</v>
      </c>
      <c r="D24" s="90">
        <v>3.2068965517241379</v>
      </c>
      <c r="E24" s="90">
        <v>3.2413793103448274</v>
      </c>
      <c r="F24" s="90">
        <v>3.103448275862069</v>
      </c>
      <c r="G24" s="90">
        <v>3.3103448275862069</v>
      </c>
      <c r="H24" s="90">
        <v>2.9649122807017543</v>
      </c>
      <c r="I24" s="90">
        <v>2.4137931034482758</v>
      </c>
      <c r="J24" s="100">
        <v>59</v>
      </c>
    </row>
    <row r="25" spans="1:10" x14ac:dyDescent="0.35">
      <c r="A25" t="s">
        <v>60</v>
      </c>
      <c r="B25" s="100">
        <v>1</v>
      </c>
      <c r="C25" s="100">
        <v>578</v>
      </c>
      <c r="D25" s="90">
        <v>3.6666666666666665</v>
      </c>
      <c r="E25" s="90">
        <v>3.6190476190476191</v>
      </c>
      <c r="F25" s="90">
        <v>3.9523809523809526</v>
      </c>
      <c r="G25" s="90">
        <v>3.4285714285714284</v>
      </c>
      <c r="H25" s="90">
        <v>3.2857142857142856</v>
      </c>
      <c r="I25" s="90">
        <v>3.25</v>
      </c>
      <c r="J25" s="100">
        <v>21</v>
      </c>
    </row>
    <row r="26" spans="1:10" x14ac:dyDescent="0.35">
      <c r="A26" t="s">
        <v>61</v>
      </c>
      <c r="B26" s="100">
        <v>2</v>
      </c>
      <c r="C26" s="100">
        <v>581</v>
      </c>
      <c r="D26" s="90">
        <v>3.1071428571428572</v>
      </c>
      <c r="E26" s="90">
        <v>3.25</v>
      </c>
      <c r="F26" s="90">
        <v>2.9285714285714284</v>
      </c>
      <c r="G26" s="90">
        <v>3.3928571428571428</v>
      </c>
      <c r="H26" s="90">
        <v>2.75</v>
      </c>
      <c r="I26" s="90">
        <v>3.4285714285714284</v>
      </c>
      <c r="J26" s="100">
        <v>28</v>
      </c>
    </row>
    <row r="27" spans="1:10" x14ac:dyDescent="0.35">
      <c r="A27" t="s">
        <v>62</v>
      </c>
      <c r="B27" s="100">
        <v>1</v>
      </c>
      <c r="C27" s="100">
        <v>592</v>
      </c>
      <c r="D27" s="90">
        <v>3.3684210526315788</v>
      </c>
      <c r="E27" s="90">
        <v>3.4210526315789473</v>
      </c>
      <c r="F27" s="90">
        <v>3.2105263157894739</v>
      </c>
      <c r="G27" s="90">
        <v>3.1052631578947367</v>
      </c>
      <c r="H27" s="90">
        <v>3.1052631578947367</v>
      </c>
      <c r="I27" s="90">
        <v>2.5</v>
      </c>
      <c r="J27" s="100">
        <v>19</v>
      </c>
    </row>
    <row r="28" spans="1:10" x14ac:dyDescent="0.35">
      <c r="A28" t="s">
        <v>12</v>
      </c>
      <c r="B28" s="100">
        <v>2</v>
      </c>
      <c r="C28" s="100">
        <v>615</v>
      </c>
      <c r="D28" s="90">
        <v>3.4705882352941178</v>
      </c>
      <c r="E28" s="90">
        <v>3.8823529411764706</v>
      </c>
      <c r="F28" s="90">
        <v>3.1176470588235294</v>
      </c>
      <c r="G28" s="90">
        <v>3.6470588235294117</v>
      </c>
      <c r="H28" s="90">
        <v>3.6470588235294117</v>
      </c>
      <c r="I28" s="90">
        <v>3.4117647058823528</v>
      </c>
      <c r="J28" s="100">
        <v>17</v>
      </c>
    </row>
    <row r="29" spans="1:10" x14ac:dyDescent="0.35">
      <c r="A29" t="s">
        <v>23</v>
      </c>
      <c r="B29" s="100">
        <v>4</v>
      </c>
      <c r="C29" s="100">
        <v>710</v>
      </c>
      <c r="D29" s="90">
        <v>3.0238095238095237</v>
      </c>
      <c r="E29" s="90">
        <v>3.4047619047619047</v>
      </c>
      <c r="F29" s="90">
        <v>3.2093023255813953</v>
      </c>
      <c r="G29" s="90">
        <v>3.6046511627906979</v>
      </c>
      <c r="H29" s="90">
        <v>3.3333333333333335</v>
      </c>
      <c r="I29" s="90">
        <v>2.3658536585365852</v>
      </c>
      <c r="J29" s="100">
        <v>43</v>
      </c>
    </row>
    <row r="30" spans="1:10" x14ac:dyDescent="0.35">
      <c r="A30" t="s">
        <v>64</v>
      </c>
      <c r="B30" s="100">
        <v>4</v>
      </c>
      <c r="C30" s="100">
        <v>680</v>
      </c>
      <c r="D30" s="90">
        <v>3.5454545454545454</v>
      </c>
      <c r="E30" s="90">
        <v>3.6590909090909092</v>
      </c>
      <c r="F30" s="90">
        <v>3.1363636363636362</v>
      </c>
      <c r="G30" s="90">
        <v>3.6904761904761907</v>
      </c>
      <c r="H30" s="90">
        <v>3.3636363636363638</v>
      </c>
      <c r="I30" s="90">
        <v>3.0909090909090908</v>
      </c>
      <c r="J30" s="100">
        <v>44</v>
      </c>
    </row>
    <row r="31" spans="1:10" x14ac:dyDescent="0.35">
      <c r="A31" t="s">
        <v>65</v>
      </c>
      <c r="B31" s="100">
        <v>1</v>
      </c>
      <c r="C31" s="100">
        <v>686</v>
      </c>
      <c r="D31" s="90">
        <v>3.2941176470588234</v>
      </c>
      <c r="E31" s="90">
        <v>3.5294117647058822</v>
      </c>
      <c r="F31" s="90">
        <v>3.2352941176470589</v>
      </c>
      <c r="G31" s="90">
        <v>3.4117647058823528</v>
      </c>
      <c r="H31" s="90">
        <v>2.8235294117647061</v>
      </c>
      <c r="I31" s="90">
        <v>3</v>
      </c>
      <c r="J31" s="100">
        <v>17</v>
      </c>
    </row>
    <row r="32" spans="1:10" x14ac:dyDescent="0.35">
      <c r="A32" t="s">
        <v>13</v>
      </c>
      <c r="B32" s="100">
        <v>5</v>
      </c>
      <c r="C32" s="100">
        <v>734</v>
      </c>
      <c r="D32" s="90">
        <v>2.9090909090909092</v>
      </c>
      <c r="E32" s="90">
        <v>2.6181818181818182</v>
      </c>
      <c r="F32" s="90">
        <v>2.4545454545454546</v>
      </c>
      <c r="G32" s="90">
        <v>2.3636363636363638</v>
      </c>
      <c r="H32" s="90">
        <v>2.7592592592592591</v>
      </c>
      <c r="I32" s="90">
        <v>2.7454545454545456</v>
      </c>
      <c r="J32" s="100">
        <v>55</v>
      </c>
    </row>
    <row r="33" spans="1:10" x14ac:dyDescent="0.35">
      <c r="A33" t="s">
        <v>14</v>
      </c>
      <c r="B33" s="100">
        <v>3</v>
      </c>
      <c r="C33" s="100">
        <v>753</v>
      </c>
      <c r="D33" s="90">
        <v>3.6285714285714286</v>
      </c>
      <c r="E33" s="90">
        <v>3.75</v>
      </c>
      <c r="F33" s="90">
        <v>3.6666666666666665</v>
      </c>
      <c r="G33" s="90">
        <v>3.9722222222222223</v>
      </c>
      <c r="H33" s="90">
        <v>3.5833333333333335</v>
      </c>
      <c r="I33" s="90">
        <v>3.3888888888888888</v>
      </c>
      <c r="J33" s="100">
        <v>36</v>
      </c>
    </row>
    <row r="34" spans="1:10" x14ac:dyDescent="0.35">
      <c r="A34" t="s">
        <v>67</v>
      </c>
      <c r="B34" s="100">
        <v>1</v>
      </c>
      <c r="C34" s="100">
        <v>783</v>
      </c>
      <c r="D34" s="90">
        <v>3.5769230769230771</v>
      </c>
      <c r="E34" s="90">
        <v>3.9230769230769229</v>
      </c>
      <c r="F34" s="90">
        <v>3.4230769230769229</v>
      </c>
      <c r="G34" s="90">
        <v>3.1538461538461537</v>
      </c>
      <c r="H34" s="90">
        <v>3.3461538461538463</v>
      </c>
      <c r="I34" s="90">
        <v>3.4230769230769229</v>
      </c>
      <c r="J34" s="100">
        <v>26</v>
      </c>
    </row>
    <row r="35" spans="1:10" x14ac:dyDescent="0.35">
      <c r="A35" t="s">
        <v>68</v>
      </c>
      <c r="B35" s="100">
        <v>6</v>
      </c>
      <c r="C35" s="100">
        <v>837</v>
      </c>
      <c r="D35" s="90">
        <v>3.4038461538461537</v>
      </c>
      <c r="E35" s="90">
        <v>3.3653846153846154</v>
      </c>
      <c r="F35" s="90">
        <v>3.1538461538461537</v>
      </c>
      <c r="G35" s="90">
        <v>3.3137254901960786</v>
      </c>
      <c r="H35" s="90">
        <v>2.9803921568627452</v>
      </c>
      <c r="I35" s="90">
        <v>3.0588235294117645</v>
      </c>
      <c r="J35" s="100">
        <v>52</v>
      </c>
    </row>
    <row r="36" spans="1:10" x14ac:dyDescent="0.35">
      <c r="A36" t="s">
        <v>69</v>
      </c>
      <c r="B36" s="100">
        <v>4</v>
      </c>
      <c r="C36" s="100">
        <v>851</v>
      </c>
      <c r="D36" s="90">
        <v>3.3846153846153846</v>
      </c>
      <c r="E36" s="90">
        <v>3.6216216216216215</v>
      </c>
      <c r="F36" s="90">
        <v>2.7692307692307692</v>
      </c>
      <c r="G36" s="90">
        <v>3.1538461538461537</v>
      </c>
      <c r="H36" s="90">
        <v>3.3684210526315788</v>
      </c>
      <c r="I36" s="90">
        <v>3.1282051282051282</v>
      </c>
      <c r="J36" s="100">
        <v>39</v>
      </c>
    </row>
    <row r="37" spans="1:10" x14ac:dyDescent="0.35">
      <c r="A37" t="s">
        <v>15</v>
      </c>
      <c r="B37" s="100">
        <v>6</v>
      </c>
      <c r="C37" s="100">
        <v>853</v>
      </c>
      <c r="D37" s="90">
        <v>3.1230769230769231</v>
      </c>
      <c r="E37" s="90">
        <v>3.4153846153846152</v>
      </c>
      <c r="F37" s="90">
        <v>3.015625</v>
      </c>
      <c r="G37" s="90">
        <v>3.4444444444444446</v>
      </c>
      <c r="H37" s="90">
        <v>3.109375</v>
      </c>
      <c r="I37" s="90">
        <v>2.9523809523809526</v>
      </c>
      <c r="J37" s="100">
        <v>65</v>
      </c>
    </row>
    <row r="38" spans="1:10" x14ac:dyDescent="0.35">
      <c r="A38" t="s">
        <v>16</v>
      </c>
      <c r="B38" s="100">
        <v>5</v>
      </c>
      <c r="C38" s="100">
        <v>905</v>
      </c>
      <c r="D38" s="90">
        <v>3.1228070175438596</v>
      </c>
      <c r="E38" s="90">
        <v>3.0350877192982457</v>
      </c>
      <c r="F38" s="90">
        <v>2.8245614035087718</v>
      </c>
      <c r="G38" s="90">
        <v>3.375</v>
      </c>
      <c r="H38" s="90">
        <v>2.8035714285714284</v>
      </c>
      <c r="I38" s="90">
        <v>3.0181818181818181</v>
      </c>
      <c r="J38" s="100">
        <v>57</v>
      </c>
    </row>
    <row r="39" spans="1:10" x14ac:dyDescent="0.35">
      <c r="A39" t="s">
        <v>71</v>
      </c>
      <c r="B39" s="100">
        <v>6</v>
      </c>
      <c r="C39" s="100">
        <v>92</v>
      </c>
      <c r="D39" s="90">
        <v>3.3146067415730336</v>
      </c>
      <c r="E39" s="90">
        <v>3.9550561797752808</v>
      </c>
      <c r="F39" s="90">
        <v>3.5280898876404496</v>
      </c>
      <c r="G39" s="90">
        <v>3.75</v>
      </c>
      <c r="H39" s="90">
        <v>3.5168539325842696</v>
      </c>
      <c r="I39" s="90">
        <v>3.0337078651685392</v>
      </c>
      <c r="J39" s="100">
        <v>89</v>
      </c>
    </row>
    <row r="40" spans="1:10" x14ac:dyDescent="0.35">
      <c r="A40" t="s">
        <v>17</v>
      </c>
      <c r="B40" s="100">
        <v>1</v>
      </c>
      <c r="C40" s="100">
        <v>934</v>
      </c>
      <c r="D40" s="90">
        <v>2.5333333333333332</v>
      </c>
      <c r="E40" s="90">
        <v>3.6666666666666665</v>
      </c>
      <c r="F40" s="90">
        <v>2.5333333333333332</v>
      </c>
      <c r="G40" s="90">
        <v>2.9333333333333331</v>
      </c>
      <c r="H40" s="90">
        <v>3.8666666666666667</v>
      </c>
      <c r="I40" s="90">
        <v>3.0666666666666669</v>
      </c>
      <c r="J40" s="100">
        <v>16</v>
      </c>
    </row>
    <row r="41" spans="1:10" x14ac:dyDescent="0.35">
      <c r="A41" t="s">
        <v>24</v>
      </c>
      <c r="B41" s="100">
        <v>2</v>
      </c>
      <c r="C41" s="100">
        <v>946</v>
      </c>
      <c r="D41" s="90">
        <v>3.096774193548387</v>
      </c>
      <c r="E41" s="90">
        <v>3.6774193548387095</v>
      </c>
      <c r="F41" s="90">
        <v>3.6129032258064515</v>
      </c>
      <c r="G41" s="90">
        <v>2.7096774193548385</v>
      </c>
      <c r="H41" s="90">
        <v>3.4666666666666668</v>
      </c>
      <c r="I41" s="90">
        <v>2.7096774193548385</v>
      </c>
      <c r="J41" s="100">
        <v>31</v>
      </c>
    </row>
    <row r="44" spans="1:10" x14ac:dyDescent="0.35">
      <c r="A44" t="s">
        <v>126</v>
      </c>
      <c r="D44" t="s">
        <v>239</v>
      </c>
      <c r="E44" t="s">
        <v>240</v>
      </c>
      <c r="F44" t="s">
        <v>241</v>
      </c>
      <c r="G44" t="s">
        <v>242</v>
      </c>
      <c r="H44" t="s">
        <v>243</v>
      </c>
      <c r="I44" t="s">
        <v>244</v>
      </c>
      <c r="J44" t="s">
        <v>79</v>
      </c>
    </row>
    <row r="45" spans="1:10" x14ac:dyDescent="0.35">
      <c r="A45" t="s">
        <v>130</v>
      </c>
      <c r="D45" s="90">
        <v>3.44</v>
      </c>
      <c r="E45" s="90">
        <v>3.52</v>
      </c>
      <c r="F45" s="90">
        <v>3.22</v>
      </c>
      <c r="G45" s="90">
        <v>3.1812080536912752</v>
      </c>
      <c r="H45" s="90">
        <v>3.38</v>
      </c>
      <c r="I45" s="90">
        <v>3.2094594594594597</v>
      </c>
      <c r="J45" s="100">
        <v>151</v>
      </c>
    </row>
    <row r="46" spans="1:10" x14ac:dyDescent="0.35">
      <c r="A46" t="s">
        <v>131</v>
      </c>
      <c r="D46" s="90">
        <v>3.2152777777777777</v>
      </c>
      <c r="E46" s="90">
        <v>3.3819444444444446</v>
      </c>
      <c r="F46" s="90">
        <v>2.8391608391608392</v>
      </c>
      <c r="G46" s="90">
        <v>3.0972222222222223</v>
      </c>
      <c r="H46" s="90">
        <v>3.352112676056338</v>
      </c>
      <c r="I46" s="90">
        <v>2.880281690140845</v>
      </c>
      <c r="J46" s="100">
        <v>144</v>
      </c>
    </row>
    <row r="47" spans="1:10" x14ac:dyDescent="0.35">
      <c r="A47" t="s">
        <v>132</v>
      </c>
      <c r="D47" s="90">
        <v>3.4210526315789473</v>
      </c>
      <c r="E47" s="90">
        <v>3.4794007490636703</v>
      </c>
      <c r="F47" s="90">
        <v>3.2105263157894739</v>
      </c>
      <c r="G47" s="90">
        <v>3.5338345864661656</v>
      </c>
      <c r="H47" s="90">
        <v>3.4981273408239701</v>
      </c>
      <c r="I47" s="90">
        <v>3.0528301886792453</v>
      </c>
      <c r="J47" s="100">
        <v>268</v>
      </c>
    </row>
    <row r="48" spans="1:10" x14ac:dyDescent="0.35">
      <c r="A48" t="s">
        <v>133</v>
      </c>
      <c r="D48" s="90">
        <v>3.377431906614786</v>
      </c>
      <c r="E48" s="90">
        <v>3.5511811023622046</v>
      </c>
      <c r="F48" s="90">
        <v>3.2170542635658914</v>
      </c>
      <c r="G48" s="90">
        <v>3.53125</v>
      </c>
      <c r="H48" s="90">
        <v>3.3622047244094486</v>
      </c>
      <c r="I48" s="90">
        <v>2.94140625</v>
      </c>
      <c r="J48" s="100">
        <v>258</v>
      </c>
    </row>
    <row r="49" spans="1:10" x14ac:dyDescent="0.35">
      <c r="A49" t="s">
        <v>134</v>
      </c>
      <c r="D49" s="90">
        <v>3.1287425149700598</v>
      </c>
      <c r="E49" s="90">
        <v>2.954954954954955</v>
      </c>
      <c r="F49" s="90">
        <v>2.6906906906906909</v>
      </c>
      <c r="G49" s="90">
        <v>3.1121212121212123</v>
      </c>
      <c r="H49" s="90">
        <v>3.0276073619631902</v>
      </c>
      <c r="I49" s="90">
        <v>2.8685015290519877</v>
      </c>
      <c r="J49" s="100">
        <v>335</v>
      </c>
    </row>
    <row r="50" spans="1:10" x14ac:dyDescent="0.35">
      <c r="A50" t="s">
        <v>135</v>
      </c>
      <c r="D50" s="90">
        <v>3.2928039702233249</v>
      </c>
      <c r="E50" s="90">
        <v>3.5037220843672459</v>
      </c>
      <c r="F50" s="90">
        <v>3.1990049751243781</v>
      </c>
      <c r="G50" s="90">
        <v>3.5406091370558377</v>
      </c>
      <c r="H50" s="90">
        <v>3.170854271356784</v>
      </c>
      <c r="I50" s="90">
        <v>2.9147869674185465</v>
      </c>
      <c r="J50" s="100">
        <v>406</v>
      </c>
    </row>
    <row r="52" spans="1:10" x14ac:dyDescent="0.35">
      <c r="D52" t="s">
        <v>239</v>
      </c>
      <c r="E52" t="s">
        <v>240</v>
      </c>
      <c r="F52" t="s">
        <v>241</v>
      </c>
      <c r="G52" t="s">
        <v>242</v>
      </c>
      <c r="H52" t="s">
        <v>243</v>
      </c>
      <c r="I52" t="s">
        <v>244</v>
      </c>
      <c r="J52" t="s">
        <v>79</v>
      </c>
    </row>
    <row r="53" spans="1:10" x14ac:dyDescent="0.35">
      <c r="A53" t="s">
        <v>127</v>
      </c>
      <c r="D53" s="90">
        <v>3.3005148005148004</v>
      </c>
      <c r="E53" s="90">
        <v>3.3797549967762732</v>
      </c>
      <c r="F53" s="90">
        <v>3.0637886597938144</v>
      </c>
      <c r="G53" s="90">
        <v>3.3697205977907734</v>
      </c>
      <c r="H53" s="90">
        <v>3.266102797657775</v>
      </c>
      <c r="I53" s="90">
        <v>2.9583604424202994</v>
      </c>
      <c r="J53" s="100">
        <v>1562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X220"/>
  <sheetViews>
    <sheetView topLeftCell="A9" workbookViewId="0">
      <selection activeCell="F189" sqref="F189"/>
    </sheetView>
  </sheetViews>
  <sheetFormatPr defaultColWidth="8.76171875" defaultRowHeight="12.45" x14ac:dyDescent="0.3"/>
  <cols>
    <col min="1" max="2" width="8.76171875" style="24"/>
    <col min="3" max="3" width="8.76171875" style="24" customWidth="1"/>
    <col min="4" max="4" width="9.76171875" style="24" bestFit="1" customWidth="1"/>
    <col min="5" max="7" width="8.76171875" style="24"/>
    <col min="8" max="8" width="9.5859375" style="24" bestFit="1" customWidth="1"/>
    <col min="9" max="12" width="9.5859375" style="24" customWidth="1"/>
    <col min="13" max="16384" width="8.76171875" style="24"/>
  </cols>
  <sheetData>
    <row r="1" spans="1:24" x14ac:dyDescent="0.3">
      <c r="B1" s="30" t="str">
        <f>IF(D1&gt;100000,"yli 100000",IF(D1&gt;50000,"50001-100000",IF(D1&gt;20000,"20001-50000", IF(D1&gt;10000,"10001-20000",IF(D1&gt;4999,"5000-10000","alle 5000")))))</f>
        <v>50001-100000</v>
      </c>
      <c r="C1" s="24" t="str">
        <f>IF(D1&gt;100000,"Yli 100000 as. kunnat",IF(D1&gt;50000,"50001-100000 as. kunnat",IF(D1&gt;20000,"20001-50000 as. kunnat", IF(D1&gt;10000,"10001-20000 as. kunnat",IF(D1&gt;4999,"5000-10000 as. kunnat","alle 5000 as. kunnat")))))</f>
        <v>50001-100000 as. kunnat</v>
      </c>
      <c r="D1" s="24">
        <f>VLOOKUP(Etusivu!$B$9,asukasluku,7,FALSE)</f>
        <v>66965</v>
      </c>
    </row>
    <row r="2" spans="1:24" x14ac:dyDescent="0.3">
      <c r="A2" s="67" t="s">
        <v>371</v>
      </c>
      <c r="B2" s="101"/>
      <c r="C2" s="64"/>
      <c r="D2" s="44"/>
      <c r="E2" s="39"/>
      <c r="F2" s="65"/>
      <c r="G2" s="65"/>
      <c r="H2" s="43"/>
      <c r="I2" s="39"/>
      <c r="J2" s="65"/>
      <c r="K2" s="80"/>
      <c r="L2" s="80"/>
      <c r="M2" s="66"/>
      <c r="O2" s="20"/>
    </row>
    <row r="3" spans="1:24" x14ac:dyDescent="0.3">
      <c r="A3" s="67"/>
      <c r="B3" s="24" t="s">
        <v>43</v>
      </c>
      <c r="C3" s="24" t="str">
        <f>$C$1</f>
        <v>50001-100000 as. kunnat</v>
      </c>
      <c r="D3" s="19" t="str">
        <f>Etusivu!$B$9</f>
        <v>Vaasa</v>
      </c>
      <c r="E3" s="67"/>
      <c r="H3" s="19"/>
      <c r="I3" s="19"/>
      <c r="L3" s="19"/>
      <c r="M3" s="67"/>
      <c r="P3" s="19"/>
      <c r="Q3" s="67"/>
      <c r="T3" s="19"/>
      <c r="U3" s="67"/>
      <c r="X3" s="19"/>
    </row>
    <row r="4" spans="1:24" x14ac:dyDescent="0.3">
      <c r="A4" s="101" t="s">
        <v>136</v>
      </c>
      <c r="B4" s="76">
        <f>kys15_kaikkilh_kunnittain!D51</f>
        <v>8.1300000000000008</v>
      </c>
      <c r="C4" s="76">
        <f>VLOOKUP($B$1,ajankaytto_ryhmat,4,FALSE)</f>
        <v>8.3724137931034477</v>
      </c>
      <c r="D4" s="76">
        <f>VLOOKUP(Etusivu!$B$9,ajankaytto_kunnat,4,FALSE)</f>
        <v>8.3461538461538467</v>
      </c>
      <c r="E4" s="81"/>
      <c r="F4" s="57"/>
      <c r="G4" s="57"/>
      <c r="H4" s="58"/>
      <c r="I4" s="81"/>
      <c r="J4" s="55"/>
      <c r="K4" s="55"/>
      <c r="L4" s="55"/>
      <c r="M4" s="81"/>
      <c r="N4" s="54"/>
      <c r="O4" s="55"/>
      <c r="P4" s="82"/>
      <c r="Q4" s="81"/>
      <c r="R4" s="20"/>
      <c r="S4" s="20"/>
      <c r="T4" s="20"/>
      <c r="U4" s="81"/>
      <c r="V4" s="19"/>
      <c r="W4" s="19"/>
      <c r="X4" s="19"/>
    </row>
    <row r="5" spans="1:24" x14ac:dyDescent="0.3">
      <c r="A5" s="104" t="s">
        <v>371</v>
      </c>
      <c r="B5" s="76"/>
      <c r="C5" s="76"/>
      <c r="D5" s="76"/>
      <c r="E5" s="81"/>
      <c r="F5" s="57"/>
      <c r="G5" s="57"/>
      <c r="H5" s="58"/>
      <c r="I5" s="81"/>
      <c r="J5" s="55"/>
      <c r="K5" s="55"/>
      <c r="L5" s="55"/>
      <c r="M5" s="81"/>
      <c r="N5" s="54"/>
      <c r="O5" s="55"/>
      <c r="P5" s="82"/>
      <c r="Q5" s="81"/>
      <c r="R5" s="20"/>
      <c r="S5" s="20"/>
      <c r="T5" s="20"/>
      <c r="U5" s="81"/>
      <c r="V5" s="19"/>
      <c r="W5" s="19"/>
      <c r="X5" s="19"/>
    </row>
    <row r="6" spans="1:24" x14ac:dyDescent="0.3">
      <c r="A6" s="101"/>
      <c r="C6" s="24" t="str">
        <f>$C$1</f>
        <v>50001-100000 as. kunnat</v>
      </c>
      <c r="D6" s="19" t="str">
        <f>Etusivu!$B$9</f>
        <v>Vaasa</v>
      </c>
      <c r="E6" s="81"/>
      <c r="F6" s="57"/>
      <c r="G6" s="57"/>
      <c r="H6" s="58"/>
      <c r="I6" s="81"/>
      <c r="J6" s="55"/>
      <c r="K6" s="55"/>
      <c r="L6" s="55"/>
      <c r="M6" s="81"/>
      <c r="N6" s="54"/>
      <c r="O6" s="55"/>
      <c r="P6" s="82"/>
      <c r="Q6" s="81"/>
      <c r="R6" s="20"/>
      <c r="S6" s="20"/>
      <c r="T6" s="20"/>
      <c r="U6" s="81"/>
      <c r="V6" s="19"/>
      <c r="W6" s="19"/>
      <c r="X6" s="19"/>
    </row>
    <row r="7" spans="1:24" x14ac:dyDescent="0.3">
      <c r="A7" s="101" t="s">
        <v>255</v>
      </c>
      <c r="B7" s="76"/>
      <c r="C7" s="76">
        <f>VLOOKUP($B$1,ajankaytto_val_ryhmat,4,FALSE)</f>
        <v>11.421052631578947</v>
      </c>
      <c r="D7" s="76">
        <f>VLOOKUP(Etusivu!$B$9,ajankaytto_val_kunnat,4,FALSE)</f>
        <v>11.466666666666667</v>
      </c>
      <c r="E7" s="81"/>
      <c r="F7" s="57"/>
      <c r="G7" s="57"/>
      <c r="H7" s="58"/>
      <c r="I7" s="81"/>
      <c r="J7" s="55"/>
      <c r="K7" s="55"/>
      <c r="L7" s="55"/>
      <c r="M7" s="81"/>
      <c r="N7" s="54"/>
      <c r="O7" s="55"/>
      <c r="P7" s="82"/>
      <c r="Q7" s="81"/>
      <c r="R7" s="20"/>
      <c r="S7" s="20"/>
      <c r="T7" s="20"/>
      <c r="U7" s="81"/>
      <c r="V7" s="19"/>
      <c r="W7" s="19"/>
      <c r="X7" s="19"/>
    </row>
    <row r="8" spans="1:24" x14ac:dyDescent="0.3">
      <c r="A8" s="104" t="s">
        <v>636</v>
      </c>
      <c r="B8" s="76"/>
      <c r="C8" s="76"/>
      <c r="D8" s="76"/>
      <c r="E8" s="81"/>
      <c r="F8" s="57"/>
      <c r="G8" s="57"/>
      <c r="H8" s="58"/>
      <c r="I8" s="81"/>
      <c r="J8" s="55"/>
      <c r="K8" s="55"/>
      <c r="L8" s="55"/>
      <c r="M8" s="81"/>
      <c r="N8" s="54"/>
      <c r="O8" s="55"/>
      <c r="P8" s="82"/>
      <c r="Q8" s="81"/>
      <c r="R8" s="20"/>
      <c r="S8" s="20"/>
      <c r="T8" s="20"/>
      <c r="U8" s="81"/>
      <c r="V8" s="19"/>
      <c r="W8" s="19"/>
      <c r="X8" s="19"/>
    </row>
    <row r="9" spans="1:24" x14ac:dyDescent="0.3">
      <c r="A9" s="101"/>
      <c r="B9" s="24" t="s">
        <v>43</v>
      </c>
      <c r="C9" s="24" t="str">
        <f>$C$1</f>
        <v>50001-100000 as. kunnat</v>
      </c>
      <c r="D9" s="19" t="str">
        <f>Etusivu!$B$9</f>
        <v>Vaasa</v>
      </c>
      <c r="E9" s="81"/>
      <c r="F9" s="57"/>
      <c r="G9" s="57"/>
      <c r="H9" s="58"/>
      <c r="I9" s="81"/>
      <c r="J9" s="55"/>
      <c r="K9" s="55"/>
      <c r="L9" s="55"/>
      <c r="M9" s="81"/>
      <c r="N9" s="54"/>
      <c r="O9" s="55"/>
      <c r="P9" s="82"/>
      <c r="Q9" s="81"/>
      <c r="R9" s="20"/>
      <c r="S9" s="20"/>
      <c r="T9" s="20"/>
      <c r="U9" s="81"/>
      <c r="V9" s="19"/>
      <c r="W9" s="19"/>
      <c r="X9" s="19"/>
    </row>
    <row r="10" spans="1:24" x14ac:dyDescent="0.3">
      <c r="A10" s="102" t="s">
        <v>637</v>
      </c>
      <c r="B10" s="76">
        <f>kys16_kunnittain!D$54</f>
        <v>4.05</v>
      </c>
      <c r="C10" s="76">
        <f>VLOOKUP($B$1,edesauttaa_toimintaa_ryhmat,4,FALSE)</f>
        <v>4.1038062283737027</v>
      </c>
      <c r="D10" s="76">
        <f>VLOOKUP(Etusivu!$B$9,edesauttaa_toimintaa_kunnat,4,FALSE)</f>
        <v>4.25</v>
      </c>
      <c r="E10" s="81"/>
      <c r="F10" s="57"/>
      <c r="G10" s="57"/>
      <c r="H10" s="58"/>
      <c r="I10" s="81"/>
      <c r="J10" s="55"/>
      <c r="K10" s="55"/>
      <c r="L10" s="55"/>
      <c r="M10" s="81"/>
      <c r="N10" s="54"/>
      <c r="O10" s="55"/>
      <c r="P10" s="82"/>
      <c r="Q10" s="81"/>
      <c r="R10" s="20"/>
      <c r="S10" s="20"/>
      <c r="T10" s="20"/>
      <c r="U10" s="81"/>
      <c r="V10" s="19"/>
      <c r="W10" s="19"/>
      <c r="X10" s="19"/>
    </row>
    <row r="11" spans="1:24" x14ac:dyDescent="0.3">
      <c r="A11" s="102" t="s">
        <v>638</v>
      </c>
      <c r="B11" s="76">
        <f>kys16_kunnittain!E$54</f>
        <v>4.25</v>
      </c>
      <c r="C11" s="76">
        <f>VLOOKUP($B$1,edesauttaa_toimintaa_ryhmat,5,FALSE)</f>
        <v>4.3037542662116044</v>
      </c>
      <c r="D11" s="76">
        <f>VLOOKUP(Etusivu!$B$9,edesauttaa_toimintaa_kunnat,5,FALSE)</f>
        <v>4.365384615384615</v>
      </c>
      <c r="E11" s="81"/>
      <c r="F11" s="57"/>
      <c r="G11" s="57"/>
      <c r="H11" s="58"/>
      <c r="I11" s="81"/>
      <c r="J11" s="55"/>
      <c r="K11" s="55"/>
      <c r="L11" s="55"/>
      <c r="M11" s="81"/>
      <c r="N11" s="54"/>
      <c r="O11" s="55"/>
      <c r="P11" s="82"/>
      <c r="Q11" s="81"/>
      <c r="R11" s="20"/>
      <c r="S11" s="20"/>
      <c r="T11" s="20"/>
      <c r="U11" s="81"/>
      <c r="V11" s="19"/>
      <c r="W11" s="19"/>
      <c r="X11" s="19"/>
    </row>
    <row r="12" spans="1:24" x14ac:dyDescent="0.3">
      <c r="A12" s="102" t="s">
        <v>639</v>
      </c>
      <c r="B12" s="76">
        <f>kys16_kunnittain!F$54</f>
        <v>2.96</v>
      </c>
      <c r="C12" s="76">
        <f>VLOOKUP($B$1,edesauttaa_toimintaa_ryhmat,6,FALSE)</f>
        <v>3.0209059233449476</v>
      </c>
      <c r="D12" s="76">
        <f>VLOOKUP(Etusivu!$B$9,edesauttaa_toimintaa_kunnat,6,FALSE)</f>
        <v>2.9591836734693877</v>
      </c>
      <c r="E12" s="81"/>
      <c r="F12" s="57"/>
      <c r="G12" s="57"/>
      <c r="H12" s="58"/>
      <c r="I12" s="81"/>
      <c r="J12" s="55"/>
      <c r="K12" s="55"/>
      <c r="L12" s="55"/>
      <c r="M12" s="81"/>
      <c r="N12" s="54"/>
      <c r="O12" s="55"/>
      <c r="P12" s="82"/>
      <c r="Q12" s="81"/>
      <c r="R12" s="20"/>
      <c r="S12" s="20"/>
      <c r="T12" s="20"/>
      <c r="U12" s="81"/>
      <c r="V12" s="19"/>
      <c r="W12" s="19"/>
      <c r="X12" s="19"/>
    </row>
    <row r="13" spans="1:24" x14ac:dyDescent="0.3">
      <c r="A13" s="102" t="s">
        <v>640</v>
      </c>
      <c r="B13" s="76">
        <f>kys16_kunnittain!G$54</f>
        <v>3.5</v>
      </c>
      <c r="C13" s="76">
        <f>VLOOKUP($B$1,edesauttaa_toimintaa_ryhmat,7,FALSE)</f>
        <v>3.4417808219178081</v>
      </c>
      <c r="D13" s="76">
        <f>VLOOKUP(Etusivu!$B$9,edesauttaa_toimintaa_kunnat,7,FALSE)</f>
        <v>3.5</v>
      </c>
      <c r="E13" s="81"/>
      <c r="F13" s="57"/>
      <c r="G13" s="57"/>
      <c r="H13" s="58"/>
      <c r="I13" s="81"/>
      <c r="J13" s="55"/>
      <c r="K13" s="55"/>
      <c r="L13" s="55"/>
      <c r="M13" s="81"/>
      <c r="N13" s="54"/>
      <c r="O13" s="55"/>
      <c r="P13" s="82"/>
      <c r="Q13" s="81"/>
      <c r="R13" s="20"/>
      <c r="S13" s="20"/>
      <c r="T13" s="20"/>
      <c r="U13" s="81"/>
      <c r="V13" s="19"/>
      <c r="W13" s="19"/>
      <c r="X13" s="19"/>
    </row>
    <row r="14" spans="1:24" x14ac:dyDescent="0.3">
      <c r="A14" s="102" t="s">
        <v>641</v>
      </c>
      <c r="B14" s="76">
        <f>kys16_kunnittain!H$54</f>
        <v>3.08</v>
      </c>
      <c r="C14" s="76">
        <f>VLOOKUP($B$1,edesauttaa_toimintaa_ryhmat,8,FALSE)</f>
        <v>3.0240549828178693</v>
      </c>
      <c r="D14" s="76">
        <f>VLOOKUP(Etusivu!$B$9,edesauttaa_toimintaa_kunnat,8,FALSE)</f>
        <v>2.86</v>
      </c>
      <c r="E14" s="81"/>
      <c r="F14" s="57"/>
      <c r="G14" s="57"/>
      <c r="H14" s="58"/>
      <c r="I14" s="81"/>
      <c r="J14" s="55"/>
      <c r="K14" s="55"/>
      <c r="L14" s="55"/>
      <c r="M14" s="81"/>
      <c r="N14" s="54"/>
      <c r="O14" s="55"/>
      <c r="P14" s="82"/>
      <c r="Q14" s="81"/>
      <c r="R14" s="20"/>
      <c r="S14" s="20"/>
      <c r="T14" s="20"/>
      <c r="U14" s="81"/>
      <c r="V14" s="19"/>
      <c r="W14" s="19"/>
      <c r="X14" s="19"/>
    </row>
    <row r="15" spans="1:24" x14ac:dyDescent="0.3">
      <c r="A15" s="102" t="s">
        <v>642</v>
      </c>
      <c r="B15" s="76">
        <f>kys16_kunnittain!I$54</f>
        <v>2.95</v>
      </c>
      <c r="C15" s="76">
        <f>VLOOKUP($B$1,edesauttaa_toimintaa_ryhmat,9,FALSE)</f>
        <v>2.9209621993127146</v>
      </c>
      <c r="D15" s="76">
        <f>VLOOKUP(Etusivu!$B$9,edesauttaa_toimintaa_kunnat,9,FALSE)</f>
        <v>2.8</v>
      </c>
      <c r="E15" s="81"/>
      <c r="F15" s="57"/>
      <c r="G15" s="57"/>
      <c r="H15" s="58"/>
      <c r="I15" s="81"/>
      <c r="J15" s="55"/>
      <c r="K15" s="55"/>
      <c r="L15" s="55"/>
      <c r="M15" s="81"/>
      <c r="N15" s="54"/>
      <c r="O15" s="55"/>
      <c r="P15" s="82"/>
      <c r="Q15" s="81"/>
      <c r="R15" s="20"/>
      <c r="S15" s="20"/>
      <c r="T15" s="20"/>
      <c r="U15" s="81"/>
      <c r="V15" s="19"/>
      <c r="W15" s="19"/>
      <c r="X15" s="19"/>
    </row>
    <row r="16" spans="1:24" x14ac:dyDescent="0.3">
      <c r="A16" s="102" t="s">
        <v>643</v>
      </c>
      <c r="B16" s="76">
        <f>kys16_kunnittain!J$54</f>
        <v>3.39</v>
      </c>
      <c r="C16" s="76">
        <f>VLOOKUP($B$1,edesauttaa_toimintaa_ryhmat,10,FALSE)</f>
        <v>3.3630136986301369</v>
      </c>
      <c r="D16" s="76">
        <f>VLOOKUP(Etusivu!$B$9,edesauttaa_toimintaa_kunnat,10,FALSE)</f>
        <v>3.1346153846153846</v>
      </c>
      <c r="E16" s="81"/>
      <c r="F16" s="57"/>
      <c r="G16" s="57"/>
      <c r="H16" s="58"/>
      <c r="I16" s="81"/>
      <c r="J16" s="55"/>
      <c r="K16" s="55"/>
      <c r="L16" s="55"/>
      <c r="M16" s="81"/>
      <c r="N16" s="54"/>
      <c r="O16" s="55"/>
      <c r="P16" s="82"/>
      <c r="Q16" s="81"/>
      <c r="R16" s="20"/>
      <c r="S16" s="20"/>
      <c r="T16" s="20"/>
      <c r="U16" s="81"/>
      <c r="V16" s="19"/>
      <c r="W16" s="19"/>
      <c r="X16" s="19"/>
    </row>
    <row r="17" spans="1:24" x14ac:dyDescent="0.3">
      <c r="A17" s="102" t="s">
        <v>644</v>
      </c>
      <c r="B17" s="76">
        <f>kys16_kunnittain!K$54</f>
        <v>2.83</v>
      </c>
      <c r="C17" s="76">
        <f>VLOOKUP($B$1,edesauttaa_toimintaa_ryhmat,11,FALSE)</f>
        <v>2.6585365853658538</v>
      </c>
      <c r="D17" s="76">
        <f>VLOOKUP(Etusivu!$B$9,edesauttaa_toimintaa_kunnat,11,FALSE)</f>
        <v>2.6862745098039214</v>
      </c>
      <c r="E17" s="81"/>
      <c r="F17" s="57"/>
      <c r="G17" s="57"/>
      <c r="H17" s="58"/>
      <c r="I17" s="81"/>
      <c r="J17" s="55"/>
      <c r="K17" s="55"/>
      <c r="L17" s="55"/>
      <c r="M17" s="81"/>
      <c r="N17" s="54"/>
      <c r="O17" s="55"/>
      <c r="P17" s="82"/>
      <c r="Q17" s="81"/>
      <c r="R17" s="20"/>
      <c r="S17" s="20"/>
      <c r="T17" s="20"/>
      <c r="U17" s="81"/>
      <c r="V17" s="19"/>
      <c r="W17" s="19"/>
      <c r="X17" s="19"/>
    </row>
    <row r="18" spans="1:24" x14ac:dyDescent="0.3">
      <c r="A18" s="102" t="s">
        <v>645</v>
      </c>
      <c r="B18" s="76">
        <f>kys16_kunnittain!L$54</f>
        <v>2.64</v>
      </c>
      <c r="C18" s="76">
        <f>VLOOKUP($B$1,edesauttaa_toimintaa_ryhmat,12,FALSE)</f>
        <v>2.6907216494845363</v>
      </c>
      <c r="D18" s="76">
        <f>VLOOKUP(Etusivu!$B$9,edesauttaa_toimintaa_kunnat,12,FALSE)</f>
        <v>2.6923076923076925</v>
      </c>
      <c r="E18" s="81"/>
      <c r="F18" s="57"/>
      <c r="G18" s="57"/>
      <c r="H18" s="58"/>
      <c r="I18" s="81"/>
      <c r="J18" s="55"/>
      <c r="K18" s="55"/>
      <c r="L18" s="55"/>
      <c r="M18" s="81"/>
      <c r="N18" s="54"/>
      <c r="O18" s="55"/>
      <c r="P18" s="82"/>
      <c r="Q18" s="81"/>
      <c r="R18" s="20"/>
      <c r="S18" s="20"/>
      <c r="T18" s="20"/>
      <c r="U18" s="81"/>
      <c r="V18" s="19"/>
      <c r="W18" s="19"/>
      <c r="X18" s="19"/>
    </row>
    <row r="19" spans="1:24" x14ac:dyDescent="0.3">
      <c r="A19" s="102" t="s">
        <v>646</v>
      </c>
      <c r="B19" s="76">
        <f>kys16_kunnittain!M$54</f>
        <v>3.18</v>
      </c>
      <c r="C19" s="76">
        <f>VLOOKUP($B$1,edesauttaa_toimintaa_ryhmat,13,FALSE)</f>
        <v>3.21160409556314</v>
      </c>
      <c r="D19" s="76">
        <f>VLOOKUP(Etusivu!$B$9,edesauttaa_toimintaa_kunnat,13,FALSE)</f>
        <v>2.9811320754716979</v>
      </c>
      <c r="E19" s="81"/>
      <c r="F19" s="57"/>
      <c r="G19" s="57"/>
      <c r="H19" s="58"/>
      <c r="I19" s="81"/>
      <c r="J19" s="55"/>
      <c r="K19" s="55"/>
      <c r="L19" s="55"/>
      <c r="M19" s="81"/>
      <c r="N19" s="54"/>
      <c r="O19" s="55"/>
      <c r="P19" s="82"/>
      <c r="Q19" s="81"/>
      <c r="R19" s="20"/>
      <c r="S19" s="20"/>
      <c r="T19" s="20"/>
      <c r="U19" s="81"/>
      <c r="V19" s="19"/>
      <c r="W19" s="19"/>
      <c r="X19" s="19"/>
    </row>
    <row r="20" spans="1:24" x14ac:dyDescent="0.3">
      <c r="A20" s="102" t="s">
        <v>647</v>
      </c>
      <c r="B20" s="76">
        <f>kys16_kunnittain!N$54</f>
        <v>2.37</v>
      </c>
      <c r="C20" s="76">
        <f>VLOOKUP($B$1,edesauttaa_toimintaa_ryhmat,14,FALSE)</f>
        <v>2.5992779783393503</v>
      </c>
      <c r="D20" s="76">
        <f>VLOOKUP(Etusivu!$B$9,edesauttaa_toimintaa_kunnat,14,FALSE)</f>
        <v>2.36</v>
      </c>
      <c r="E20" s="81"/>
      <c r="F20" s="57"/>
      <c r="G20" s="57"/>
      <c r="H20" s="58"/>
      <c r="I20" s="81"/>
      <c r="J20" s="55"/>
      <c r="K20" s="55"/>
      <c r="L20" s="55"/>
      <c r="M20" s="81"/>
      <c r="N20" s="54"/>
      <c r="O20" s="55"/>
      <c r="P20" s="82"/>
      <c r="Q20" s="81"/>
      <c r="R20" s="20"/>
      <c r="S20" s="20"/>
      <c r="T20" s="20"/>
      <c r="U20" s="81"/>
      <c r="V20" s="19"/>
      <c r="W20" s="19"/>
      <c r="X20" s="19"/>
    </row>
    <row r="21" spans="1:24" x14ac:dyDescent="0.3">
      <c r="A21" s="102" t="s">
        <v>648</v>
      </c>
      <c r="B21" s="76">
        <f>kys16_kunnittain!O$54</f>
        <v>3.46</v>
      </c>
      <c r="C21" s="76">
        <f>VLOOKUP($B$1,edesauttaa_toimintaa_ryhmat,15,FALSE)</f>
        <v>3.4940239043824701</v>
      </c>
      <c r="D21" s="76">
        <f>VLOOKUP(Etusivu!$B$9,edesauttaa_toimintaa_kunnat,15,FALSE)</f>
        <v>3.1956521739130435</v>
      </c>
      <c r="E21" s="81"/>
      <c r="F21" s="57"/>
      <c r="G21" s="57"/>
      <c r="H21" s="58"/>
      <c r="I21" s="81"/>
      <c r="J21" s="55"/>
      <c r="K21" s="55"/>
      <c r="L21" s="55"/>
      <c r="M21" s="81"/>
      <c r="N21" s="54"/>
      <c r="O21" s="55"/>
      <c r="P21" s="82"/>
      <c r="Q21" s="81"/>
      <c r="R21" s="20"/>
      <c r="S21" s="20"/>
      <c r="T21" s="20"/>
      <c r="U21" s="81"/>
      <c r="V21" s="19"/>
      <c r="W21" s="19"/>
      <c r="X21" s="19"/>
    </row>
    <row r="22" spans="1:24" x14ac:dyDescent="0.3">
      <c r="A22" s="102" t="s">
        <v>649</v>
      </c>
      <c r="B22" s="76">
        <f>kys16_kunnittain!P$54</f>
        <v>3.49</v>
      </c>
      <c r="C22" s="76">
        <f>VLOOKUP($B$1,edesauttaa_toimintaa_ryhmat,16,FALSE)</f>
        <v>3.5813148788927336</v>
      </c>
      <c r="D22" s="76">
        <f>VLOOKUP(Etusivu!$B$9,edesauttaa_toimintaa_kunnat,16,FALSE)</f>
        <v>3.6346153846153846</v>
      </c>
      <c r="E22" s="81"/>
      <c r="F22" s="57"/>
      <c r="G22" s="57"/>
      <c r="H22" s="58"/>
      <c r="I22" s="81"/>
      <c r="J22" s="55"/>
      <c r="K22" s="55"/>
      <c r="L22" s="55"/>
      <c r="M22" s="81"/>
      <c r="N22" s="54"/>
      <c r="O22" s="55"/>
      <c r="P22" s="82"/>
      <c r="Q22" s="81"/>
      <c r="R22" s="20"/>
      <c r="S22" s="20"/>
      <c r="T22" s="20"/>
      <c r="U22" s="81"/>
      <c r="V22" s="19"/>
      <c r="W22" s="19"/>
      <c r="X22" s="19"/>
    </row>
    <row r="23" spans="1:24" x14ac:dyDescent="0.3">
      <c r="A23" s="102" t="s">
        <v>650</v>
      </c>
      <c r="B23" s="76">
        <f>kys16_kunnittain!Q$54</f>
        <v>3.57</v>
      </c>
      <c r="C23" s="76">
        <f>VLOOKUP($B$1,edesauttaa_toimintaa_ryhmat,17,FALSE)</f>
        <v>3.6262975778546713</v>
      </c>
      <c r="D23" s="76">
        <f>VLOOKUP(Etusivu!$B$9,edesauttaa_toimintaa_kunnat,17,FALSE)</f>
        <v>3.5769230769230771</v>
      </c>
      <c r="E23" s="81"/>
      <c r="F23" s="57"/>
      <c r="G23" s="57"/>
      <c r="H23" s="58"/>
      <c r="I23" s="81"/>
      <c r="J23" s="55"/>
      <c r="K23" s="55"/>
      <c r="L23" s="55"/>
      <c r="M23" s="81"/>
      <c r="N23" s="54"/>
      <c r="O23" s="55"/>
      <c r="P23" s="82"/>
      <c r="Q23" s="81"/>
      <c r="R23" s="20"/>
      <c r="S23" s="20"/>
      <c r="T23" s="20"/>
      <c r="U23" s="81"/>
      <c r="V23" s="19"/>
      <c r="W23" s="19"/>
      <c r="X23" s="19"/>
    </row>
    <row r="24" spans="1:24" x14ac:dyDescent="0.3">
      <c r="A24" s="102" t="s">
        <v>651</v>
      </c>
      <c r="B24" s="76">
        <f>kys16_kunnittain!R$54</f>
        <v>2.83</v>
      </c>
      <c r="C24" s="76">
        <f>VLOOKUP($B$1,edesauttaa_toimintaa_ryhmat,18,FALSE)</f>
        <v>2.9688581314878895</v>
      </c>
      <c r="D24" s="76">
        <f>VLOOKUP(Etusivu!$B$9,edesauttaa_toimintaa_kunnat,18,FALSE)</f>
        <v>2.9807692307692308</v>
      </c>
      <c r="E24" s="81"/>
      <c r="F24" s="57"/>
      <c r="G24" s="57"/>
      <c r="H24" s="58"/>
      <c r="I24" s="81"/>
      <c r="J24" s="55"/>
      <c r="K24" s="55"/>
      <c r="L24" s="55"/>
      <c r="M24" s="81"/>
      <c r="N24" s="54"/>
      <c r="O24" s="55"/>
      <c r="P24" s="82"/>
      <c r="Q24" s="81"/>
      <c r="R24" s="20"/>
      <c r="S24" s="20"/>
      <c r="T24" s="20"/>
      <c r="U24" s="81"/>
      <c r="V24" s="19"/>
      <c r="W24" s="19"/>
      <c r="X24" s="19"/>
    </row>
    <row r="25" spans="1:24" x14ac:dyDescent="0.3">
      <c r="A25" s="103" t="s">
        <v>254</v>
      </c>
      <c r="B25" s="20"/>
      <c r="C25" s="20"/>
      <c r="D25" s="20"/>
      <c r="E25" s="81"/>
      <c r="F25" s="57"/>
      <c r="G25" s="57"/>
      <c r="H25" s="58"/>
      <c r="I25" s="81"/>
      <c r="J25" s="55"/>
      <c r="K25" s="55"/>
      <c r="L25" s="55"/>
      <c r="M25" s="81"/>
      <c r="N25" s="54"/>
      <c r="O25" s="55"/>
      <c r="P25" s="82"/>
      <c r="Q25" s="81"/>
      <c r="R25" s="20"/>
      <c r="S25" s="20"/>
      <c r="T25" s="20"/>
      <c r="U25" s="81"/>
      <c r="V25" s="19"/>
      <c r="W25" s="19"/>
      <c r="X25" s="19"/>
    </row>
    <row r="26" spans="1:24" x14ac:dyDescent="0.3">
      <c r="A26" s="81"/>
      <c r="B26" s="24" t="str">
        <f>$B$3</f>
        <v>Kaikki ARTTU kunnat</v>
      </c>
      <c r="C26" s="24" t="str">
        <f>$C$1</f>
        <v>50001-100000 as. kunnat</v>
      </c>
      <c r="D26" s="19" t="str">
        <f>Etusivu!$B$9</f>
        <v>Vaasa</v>
      </c>
      <c r="E26" s="81"/>
      <c r="F26" s="57"/>
      <c r="G26" s="57"/>
      <c r="H26" s="58"/>
      <c r="I26" s="81"/>
      <c r="J26" s="55"/>
      <c r="K26" s="55"/>
      <c r="L26" s="55"/>
      <c r="M26" s="81"/>
      <c r="N26" s="54"/>
      <c r="O26" s="55"/>
      <c r="P26" s="82"/>
      <c r="Q26" s="81"/>
      <c r="R26" s="20"/>
      <c r="S26" s="20"/>
      <c r="T26" s="20"/>
      <c r="U26" s="81"/>
      <c r="V26" s="19"/>
      <c r="W26" s="19"/>
      <c r="X26" s="19"/>
    </row>
    <row r="27" spans="1:24" x14ac:dyDescent="0.3">
      <c r="A27" s="81" t="s">
        <v>561</v>
      </c>
      <c r="B27" s="20">
        <f>kys17_kunnittain!D51</f>
        <v>36.700000000000003</v>
      </c>
      <c r="C27" s="20">
        <f>VLOOKUP($B$1,vaalit_ryhmat,4,FALSE)</f>
        <v>32.659932659932657</v>
      </c>
      <c r="D27" s="20">
        <f>VLOOKUP(Etusivu!$B$9,vaalit_kunnat,4,FALSE)</f>
        <v>19.23076923076923</v>
      </c>
      <c r="E27" s="81"/>
      <c r="F27" s="57"/>
      <c r="G27" s="57"/>
      <c r="H27" s="58"/>
      <c r="I27" s="81"/>
      <c r="J27" s="55"/>
      <c r="K27" s="55"/>
      <c r="L27" s="55"/>
      <c r="M27" s="81"/>
      <c r="N27" s="54"/>
      <c r="O27" s="55"/>
      <c r="P27" s="82"/>
      <c r="Q27" s="81"/>
      <c r="R27" s="20"/>
      <c r="S27" s="20"/>
      <c r="T27" s="20"/>
      <c r="U27" s="81"/>
      <c r="V27" s="19"/>
      <c r="W27" s="19"/>
      <c r="X27" s="19"/>
    </row>
    <row r="28" spans="1:24" x14ac:dyDescent="0.3">
      <c r="A28" s="103" t="s">
        <v>274</v>
      </c>
      <c r="B28" s="20"/>
      <c r="C28" s="20"/>
      <c r="D28" s="20"/>
      <c r="E28" s="81"/>
      <c r="F28" s="57"/>
      <c r="G28" s="57"/>
      <c r="H28" s="58"/>
      <c r="I28" s="81"/>
      <c r="J28" s="55"/>
      <c r="K28" s="55"/>
      <c r="L28" s="55"/>
      <c r="M28" s="81"/>
      <c r="N28" s="54"/>
      <c r="O28" s="55"/>
      <c r="P28" s="82"/>
      <c r="Q28" s="81"/>
      <c r="R28" s="20"/>
      <c r="S28" s="20"/>
      <c r="T28" s="20"/>
      <c r="U28" s="81"/>
      <c r="V28" s="19"/>
      <c r="W28" s="19"/>
      <c r="X28" s="19"/>
    </row>
    <row r="29" spans="1:24" x14ac:dyDescent="0.3">
      <c r="A29" s="81"/>
      <c r="B29" s="24" t="str">
        <f>$B$3</f>
        <v>Kaikki ARTTU kunnat</v>
      </c>
      <c r="C29" s="24" t="str">
        <f>$C$1</f>
        <v>50001-100000 as. kunnat</v>
      </c>
      <c r="D29" s="19" t="str">
        <f>Etusivu!$B$9</f>
        <v>Vaasa</v>
      </c>
      <c r="E29" s="81"/>
      <c r="F29" s="57"/>
      <c r="G29" s="57"/>
      <c r="H29" s="58"/>
      <c r="I29" s="81"/>
      <c r="J29" s="55"/>
      <c r="K29" s="55"/>
      <c r="L29" s="55"/>
      <c r="M29" s="81"/>
      <c r="N29" s="54"/>
      <c r="O29" s="55"/>
      <c r="P29" s="82"/>
      <c r="Q29" s="81"/>
      <c r="R29" s="20"/>
      <c r="S29" s="20"/>
      <c r="T29" s="20"/>
      <c r="U29" s="81"/>
      <c r="V29" s="19"/>
      <c r="W29" s="19"/>
      <c r="X29" s="19"/>
    </row>
    <row r="30" spans="1:24" x14ac:dyDescent="0.3">
      <c r="A30" s="81" t="s">
        <v>562</v>
      </c>
      <c r="B30" s="20">
        <f>kys18_kunnittain!D52</f>
        <v>56.9</v>
      </c>
      <c r="C30" s="20">
        <f>VLOOKUP($B$1,luottamustehtava_ryhmat,4,FALSE)</f>
        <v>55.892255892255889</v>
      </c>
      <c r="D30" s="20">
        <f>VLOOKUP(Etusivu!$B$9,luottamustehtava_kunnat,4,FALSE)</f>
        <v>56.60377358490566</v>
      </c>
      <c r="E30" s="81"/>
      <c r="F30" s="57"/>
      <c r="G30" s="57"/>
      <c r="H30" s="58"/>
      <c r="I30" s="81"/>
      <c r="J30" s="55"/>
      <c r="K30" s="55"/>
      <c r="L30" s="55"/>
      <c r="M30" s="81"/>
      <c r="N30" s="54"/>
      <c r="O30" s="55"/>
      <c r="P30" s="82"/>
      <c r="Q30" s="81"/>
      <c r="R30" s="20"/>
      <c r="S30" s="20"/>
      <c r="T30" s="20"/>
      <c r="U30" s="81"/>
      <c r="V30" s="19"/>
      <c r="W30" s="19"/>
      <c r="X30" s="19"/>
    </row>
    <row r="31" spans="1:24" x14ac:dyDescent="0.3">
      <c r="A31" s="103" t="s">
        <v>372</v>
      </c>
      <c r="B31" s="20"/>
      <c r="C31" s="20"/>
      <c r="D31" s="20"/>
      <c r="E31" s="81"/>
      <c r="F31" s="57"/>
      <c r="G31" s="57"/>
      <c r="H31" s="58"/>
      <c r="I31" s="81"/>
      <c r="J31" s="55"/>
      <c r="K31" s="55"/>
      <c r="L31" s="55"/>
      <c r="M31" s="81"/>
      <c r="N31" s="54"/>
      <c r="O31" s="55"/>
      <c r="P31" s="82"/>
      <c r="Q31" s="81"/>
      <c r="R31" s="20"/>
      <c r="S31" s="20"/>
      <c r="T31" s="20"/>
      <c r="U31" s="81"/>
      <c r="V31" s="19"/>
      <c r="W31" s="19"/>
      <c r="X31" s="19"/>
    </row>
    <row r="32" spans="1:24" x14ac:dyDescent="0.3">
      <c r="A32" s="81"/>
      <c r="B32" s="24" t="str">
        <f>$B$3</f>
        <v>Kaikki ARTTU kunnat</v>
      </c>
      <c r="C32" s="24" t="str">
        <f>$C$1</f>
        <v>50001-100000 as. kunnat</v>
      </c>
      <c r="D32" s="19" t="str">
        <f>Etusivu!$B$9</f>
        <v>Vaasa</v>
      </c>
      <c r="E32" s="81"/>
      <c r="F32" s="57"/>
      <c r="G32" s="57"/>
      <c r="H32" s="58"/>
      <c r="I32" s="81"/>
      <c r="J32" s="55"/>
      <c r="K32" s="55"/>
      <c r="L32" s="55"/>
      <c r="M32" s="81"/>
      <c r="N32" s="54"/>
      <c r="O32" s="55"/>
      <c r="P32" s="82"/>
      <c r="Q32" s="81"/>
      <c r="R32" s="20"/>
      <c r="S32" s="20"/>
      <c r="T32" s="20"/>
      <c r="U32" s="81"/>
      <c r="V32" s="19"/>
      <c r="W32" s="19"/>
      <c r="X32" s="19"/>
    </row>
    <row r="33" spans="1:24" x14ac:dyDescent="0.3">
      <c r="A33" s="102" t="s">
        <v>256</v>
      </c>
      <c r="B33" s="20">
        <f>kys19_kunnittain!D$53</f>
        <v>47.043534762833005</v>
      </c>
      <c r="C33" s="20">
        <f>VLOOKUP($B$1,demok_kehit_ryhmat,4,FALSE)</f>
        <v>47.289156626506021</v>
      </c>
      <c r="D33" s="20">
        <f>VLOOKUP(Etusivu!$B$9,demok_kehit_kunnat,4,FALSE)</f>
        <v>38.596491228070178</v>
      </c>
      <c r="E33" s="81"/>
      <c r="F33" s="57"/>
      <c r="G33" s="57"/>
      <c r="H33" s="58"/>
      <c r="I33" s="81"/>
      <c r="J33" s="55"/>
      <c r="K33" s="55"/>
      <c r="L33" s="55"/>
      <c r="M33" s="81"/>
      <c r="N33" s="54"/>
      <c r="O33" s="55"/>
      <c r="P33" s="82"/>
      <c r="Q33" s="81"/>
      <c r="R33" s="20"/>
      <c r="S33" s="20"/>
      <c r="T33" s="20"/>
      <c r="U33" s="81"/>
      <c r="V33" s="19"/>
      <c r="W33" s="19"/>
      <c r="X33" s="19"/>
    </row>
    <row r="34" spans="1:24" x14ac:dyDescent="0.3">
      <c r="A34" s="102" t="s">
        <v>257</v>
      </c>
      <c r="B34" s="20">
        <f>kys19_kunnittain!E$53</f>
        <v>29.185667752442995</v>
      </c>
      <c r="C34" s="20">
        <f>VLOOKUP($B$1,demok_kehit_ryhmat,5,FALSE)</f>
        <v>34.451219512195124</v>
      </c>
      <c r="D34" s="20">
        <f>VLOOKUP(Etusivu!$B$9,demok_kehit_kunnat,5,FALSE)</f>
        <v>42.10526315789474</v>
      </c>
      <c r="E34" s="81"/>
      <c r="F34" s="57"/>
      <c r="G34" s="57"/>
      <c r="H34" s="58"/>
      <c r="I34" s="81"/>
      <c r="J34" s="55"/>
      <c r="K34" s="55"/>
      <c r="L34" s="55"/>
      <c r="M34" s="81"/>
      <c r="N34" s="54"/>
      <c r="O34" s="55"/>
      <c r="P34" s="82"/>
      <c r="Q34" s="81"/>
      <c r="R34" s="20"/>
      <c r="S34" s="20"/>
      <c r="T34" s="20"/>
      <c r="U34" s="81"/>
      <c r="V34" s="19"/>
      <c r="W34" s="19"/>
      <c r="X34" s="19"/>
    </row>
    <row r="35" spans="1:24" x14ac:dyDescent="0.3">
      <c r="A35" s="102" t="s">
        <v>258</v>
      </c>
      <c r="B35" s="20">
        <f>kys19_kunnittain!F$53</f>
        <v>27.349869451697128</v>
      </c>
      <c r="C35" s="20">
        <f>VLOOKUP($B$1,demok_kehit_ryhmat,6,FALSE)</f>
        <v>24.397590361445783</v>
      </c>
      <c r="D35" s="20">
        <f>VLOOKUP(Etusivu!$B$9,demok_kehit_kunnat,6,FALSE)</f>
        <v>26.315789473684209</v>
      </c>
      <c r="E35" s="81"/>
      <c r="F35" s="57"/>
      <c r="G35" s="57"/>
      <c r="H35" s="58"/>
      <c r="I35" s="81"/>
      <c r="J35" s="55"/>
      <c r="K35" s="55"/>
      <c r="L35" s="55"/>
      <c r="M35" s="53"/>
      <c r="N35" s="57"/>
      <c r="O35" s="58"/>
      <c r="P35" s="78"/>
      <c r="Q35" s="53"/>
      <c r="R35" s="20"/>
      <c r="S35" s="20"/>
      <c r="T35" s="20"/>
      <c r="U35" s="53"/>
      <c r="V35" s="19"/>
      <c r="W35" s="19"/>
      <c r="X35" s="19"/>
    </row>
    <row r="36" spans="1:24" x14ac:dyDescent="0.3">
      <c r="A36" s="102" t="s">
        <v>259</v>
      </c>
      <c r="B36" s="20">
        <f>kys19_kunnittain!G$53</f>
        <v>30.834419817470664</v>
      </c>
      <c r="C36" s="20">
        <f>VLOOKUP($B$1,demok_kehit_ryhmat,7,FALSE)</f>
        <v>29.305135951661633</v>
      </c>
      <c r="D36" s="20">
        <f>VLOOKUP(Etusivu!$B$9,demok_kehit_kunnat,7,FALSE)</f>
        <v>21.05263157894737</v>
      </c>
      <c r="E36" s="81"/>
      <c r="F36" s="57"/>
      <c r="G36" s="57"/>
      <c r="H36" s="58"/>
      <c r="I36" s="81"/>
      <c r="J36" s="55"/>
      <c r="K36" s="55"/>
      <c r="L36" s="55"/>
      <c r="M36" s="53"/>
      <c r="N36" s="57"/>
      <c r="O36" s="58"/>
      <c r="P36" s="78"/>
      <c r="Q36" s="53"/>
      <c r="R36" s="20"/>
      <c r="S36" s="20"/>
      <c r="T36" s="20"/>
      <c r="U36" s="53"/>
      <c r="V36" s="19"/>
      <c r="W36" s="19"/>
      <c r="X36" s="19"/>
    </row>
    <row r="37" spans="1:24" x14ac:dyDescent="0.3">
      <c r="A37" s="102" t="s">
        <v>260</v>
      </c>
      <c r="B37" s="20">
        <f>kys19_kunnittain!H$53</f>
        <v>66.580142764438676</v>
      </c>
      <c r="C37" s="20">
        <f>VLOOKUP($B$1,demok_kehit_ryhmat,8,FALSE)</f>
        <v>68.768768768768766</v>
      </c>
      <c r="D37" s="20">
        <f>VLOOKUP(Etusivu!$B$9,demok_kehit_kunnat,8,FALSE)</f>
        <v>73.684210526315795</v>
      </c>
      <c r="E37" s="81"/>
      <c r="F37" s="57"/>
      <c r="G37" s="57"/>
      <c r="H37" s="58"/>
      <c r="I37" s="81"/>
      <c r="J37" s="55"/>
      <c r="K37" s="55"/>
      <c r="L37" s="55"/>
      <c r="M37" s="53"/>
      <c r="N37" s="57"/>
      <c r="O37" s="58"/>
      <c r="P37" s="78"/>
      <c r="Q37" s="53"/>
      <c r="R37" s="20"/>
      <c r="S37" s="20"/>
      <c r="T37" s="20"/>
      <c r="U37" s="53"/>
      <c r="V37" s="19"/>
      <c r="W37" s="19"/>
      <c r="X37" s="19"/>
    </row>
    <row r="38" spans="1:24" x14ac:dyDescent="0.3">
      <c r="A38" s="102" t="s">
        <v>261</v>
      </c>
      <c r="B38" s="20">
        <f>kys19_kunnittain!I$53</f>
        <v>45.442708333333336</v>
      </c>
      <c r="C38" s="20">
        <f>VLOOKUP($B$1,demok_kehit_ryhmat,9,FALSE)</f>
        <v>44.848484848484851</v>
      </c>
      <c r="D38" s="20">
        <f>VLOOKUP(Etusivu!$B$9,demok_kehit_kunnat,9,FALSE)</f>
        <v>38.596491228070178</v>
      </c>
      <c r="E38" s="81"/>
      <c r="F38" s="57"/>
      <c r="G38" s="57"/>
      <c r="H38" s="58"/>
      <c r="I38" s="81"/>
      <c r="J38" s="55"/>
      <c r="K38" s="55"/>
      <c r="L38" s="55"/>
      <c r="M38" s="53"/>
      <c r="N38" s="57"/>
      <c r="O38" s="58"/>
      <c r="P38" s="78"/>
      <c r="Q38" s="53"/>
      <c r="R38" s="20"/>
      <c r="S38" s="20"/>
      <c r="T38" s="20"/>
      <c r="U38" s="53"/>
      <c r="V38" s="19"/>
      <c r="W38" s="19"/>
      <c r="X38" s="19"/>
    </row>
    <row r="39" spans="1:24" x14ac:dyDescent="0.3">
      <c r="A39" s="102" t="s">
        <v>262</v>
      </c>
      <c r="B39" s="20">
        <f>kys19_kunnittain!J$53</f>
        <v>34.267100977198695</v>
      </c>
      <c r="C39" s="20">
        <f>VLOOKUP($B$1,demok_kehit_ryhmat,10,FALSE)</f>
        <v>42.642642642642642</v>
      </c>
      <c r="D39" s="20">
        <f>VLOOKUP(Etusivu!$B$9,demok_kehit_kunnat,10,FALSE)</f>
        <v>43.859649122807021</v>
      </c>
      <c r="E39" s="81"/>
      <c r="F39" s="57"/>
      <c r="G39" s="57"/>
      <c r="H39" s="58"/>
      <c r="I39" s="81"/>
      <c r="J39" s="55"/>
      <c r="K39" s="55"/>
      <c r="L39" s="55"/>
      <c r="M39" s="53"/>
      <c r="N39" s="57"/>
      <c r="O39" s="58"/>
      <c r="P39" s="78"/>
      <c r="Q39" s="53"/>
      <c r="R39" s="20"/>
      <c r="S39" s="20"/>
      <c r="T39" s="20"/>
      <c r="U39" s="53"/>
      <c r="V39" s="19"/>
      <c r="W39" s="19"/>
      <c r="X39" s="19"/>
    </row>
    <row r="40" spans="1:24" x14ac:dyDescent="0.3">
      <c r="A40" s="102" t="s">
        <v>263</v>
      </c>
      <c r="B40" s="20">
        <f>kys19_kunnittain!K$53</f>
        <v>6.9145466405740379</v>
      </c>
      <c r="C40" s="20">
        <f>VLOOKUP($B$1,demok_kehit_ryhmat,11,FALSE)</f>
        <v>5.7057057057057055</v>
      </c>
      <c r="D40" s="20">
        <f>VLOOKUP(Etusivu!$B$9,demok_kehit_kunnat,11,FALSE)</f>
        <v>7.0175438596491224</v>
      </c>
      <c r="E40" s="53"/>
      <c r="F40" s="54"/>
      <c r="G40" s="54"/>
      <c r="H40" s="55"/>
      <c r="I40" s="55"/>
      <c r="J40" s="55"/>
      <c r="K40" s="55"/>
      <c r="L40" s="55"/>
      <c r="M40" s="53"/>
      <c r="N40" s="57"/>
      <c r="O40" s="58"/>
      <c r="P40" s="78"/>
      <c r="Q40" s="53"/>
      <c r="R40" s="20"/>
      <c r="S40" s="20"/>
      <c r="T40" s="20"/>
      <c r="U40" s="53"/>
      <c r="V40" s="19"/>
      <c r="W40" s="19"/>
      <c r="X40" s="19"/>
    </row>
    <row r="41" spans="1:24" x14ac:dyDescent="0.3">
      <c r="A41" s="102" t="s">
        <v>264</v>
      </c>
      <c r="B41" s="20">
        <f>kys19_kunnittain!L$53</f>
        <v>45.207253886010363</v>
      </c>
      <c r="C41" s="20">
        <f>VLOOKUP($B$1,demok_kehit_ryhmat,12,FALSE)</f>
        <v>42.089552238805972</v>
      </c>
      <c r="D41" s="20">
        <f>VLOOKUP(Etusivu!$B$9,demok_kehit_kunnat,12,FALSE)</f>
        <v>40.350877192982459</v>
      </c>
      <c r="E41" s="53"/>
      <c r="F41" s="55"/>
      <c r="G41" s="55"/>
      <c r="H41" s="55"/>
      <c r="I41" s="55"/>
      <c r="J41" s="55"/>
      <c r="K41" s="55"/>
      <c r="L41" s="55"/>
      <c r="M41" s="53"/>
      <c r="N41" s="79"/>
      <c r="O41" s="58"/>
      <c r="P41" s="78"/>
      <c r="Q41" s="53"/>
      <c r="R41" s="20"/>
      <c r="S41" s="20"/>
      <c r="T41" s="20"/>
      <c r="U41" s="53"/>
      <c r="V41" s="19"/>
      <c r="W41" s="19"/>
      <c r="X41" s="19"/>
    </row>
    <row r="42" spans="1:24" x14ac:dyDescent="0.3">
      <c r="A42" s="102" t="s">
        <v>265</v>
      </c>
      <c r="B42" s="20">
        <f>kys19_kunnittain!M$53</f>
        <v>58.21962313190383</v>
      </c>
      <c r="C42" s="20">
        <f>VLOOKUP($B$1,demok_kehit_ryhmat,13,FALSE)</f>
        <v>61.212121212121211</v>
      </c>
      <c r="D42" s="20">
        <f>VLOOKUP(Etusivu!$B$9,demok_kehit_kunnat,13,FALSE)</f>
        <v>56.140350877192979</v>
      </c>
      <c r="E42" s="53"/>
      <c r="F42" s="55"/>
      <c r="G42" s="55"/>
      <c r="H42" s="55"/>
      <c r="I42" s="55"/>
      <c r="J42" s="55"/>
      <c r="K42" s="55"/>
      <c r="L42" s="55"/>
      <c r="M42" s="53"/>
      <c r="N42" s="79"/>
      <c r="O42" s="58"/>
      <c r="P42" s="78"/>
      <c r="Q42" s="53"/>
      <c r="R42" s="20"/>
      <c r="S42" s="20"/>
      <c r="T42" s="20"/>
      <c r="U42" s="53"/>
      <c r="V42" s="19"/>
      <c r="W42" s="19"/>
      <c r="X42" s="19"/>
    </row>
    <row r="43" spans="1:24" x14ac:dyDescent="0.3">
      <c r="A43" s="102" t="s">
        <v>266</v>
      </c>
      <c r="B43" s="20">
        <f>kys19_kunnittain!N$53</f>
        <v>31.633986928104576</v>
      </c>
      <c r="C43" s="20">
        <f>VLOOKUP($B$1,demok_kehit_ryhmat,14,FALSE)</f>
        <v>31.288343558282207</v>
      </c>
      <c r="D43" s="20">
        <f>VLOOKUP(Etusivu!$B$9,demok_kehit_kunnat,14,FALSE)</f>
        <v>40.350877192982459</v>
      </c>
      <c r="E43" s="68"/>
      <c r="H43" s="19"/>
      <c r="I43" s="19"/>
      <c r="J43" s="19"/>
      <c r="K43" s="19"/>
      <c r="L43" s="19"/>
      <c r="M43" s="68"/>
      <c r="P43" s="19"/>
      <c r="Q43" s="68"/>
      <c r="R43" s="76"/>
      <c r="S43" s="20"/>
      <c r="T43" s="19"/>
      <c r="U43" s="68"/>
      <c r="V43" s="19"/>
      <c r="X43" s="19"/>
    </row>
    <row r="44" spans="1:24" x14ac:dyDescent="0.3">
      <c r="A44" s="102" t="s">
        <v>267</v>
      </c>
      <c r="B44" s="20">
        <f>kys19_kunnittain!O$53</f>
        <v>32.98565840938722</v>
      </c>
      <c r="C44" s="20">
        <f>VLOOKUP($B$1,demok_kehit_ryhmat,15,FALSE)</f>
        <v>36.445783132530117</v>
      </c>
      <c r="D44" s="20">
        <f>VLOOKUP(Etusivu!$B$9,demok_kehit_kunnat,15,FALSE)</f>
        <v>28.571428571428573</v>
      </c>
      <c r="E44" s="53"/>
      <c r="F44" s="55"/>
      <c r="G44" s="55"/>
      <c r="H44" s="55"/>
      <c r="I44" s="55"/>
      <c r="J44" s="55"/>
      <c r="K44" s="55"/>
      <c r="L44" s="55"/>
      <c r="M44" s="53"/>
      <c r="N44" s="79"/>
      <c r="O44" s="58"/>
      <c r="P44" s="78"/>
      <c r="Q44" s="53"/>
      <c r="R44" s="20"/>
      <c r="S44" s="20"/>
      <c r="T44" s="20"/>
      <c r="U44" s="53"/>
      <c r="V44" s="19"/>
      <c r="W44" s="19"/>
      <c r="X44" s="19"/>
    </row>
    <row r="45" spans="1:24" x14ac:dyDescent="0.3">
      <c r="A45" s="102" t="s">
        <v>268</v>
      </c>
      <c r="B45" s="20">
        <f>kys19_kunnittain!P$53</f>
        <v>36.138290932811479</v>
      </c>
      <c r="C45" s="20">
        <f>VLOOKUP($B$1,demok_kehit_ryhmat,16,FALSE)</f>
        <v>38.484848484848484</v>
      </c>
      <c r="D45" s="20">
        <f>VLOOKUP(Etusivu!$B$9,demok_kehit_kunnat,16,FALSE)</f>
        <v>19.298245614035089</v>
      </c>
      <c r="E45" s="53"/>
      <c r="F45" s="55"/>
      <c r="G45" s="55"/>
      <c r="H45" s="55"/>
      <c r="I45" s="55"/>
      <c r="J45" s="55"/>
      <c r="K45" s="55"/>
      <c r="L45" s="55"/>
      <c r="M45" s="53"/>
      <c r="N45" s="79"/>
      <c r="O45" s="58"/>
      <c r="P45" s="78"/>
      <c r="Q45" s="53"/>
      <c r="R45" s="20"/>
      <c r="S45" s="20"/>
      <c r="T45" s="20"/>
      <c r="U45" s="53"/>
      <c r="V45" s="19"/>
      <c r="W45" s="19"/>
      <c r="X45" s="19"/>
    </row>
    <row r="46" spans="1:24" x14ac:dyDescent="0.3">
      <c r="A46" s="68" t="s">
        <v>373</v>
      </c>
      <c r="B46" s="75"/>
      <c r="C46" s="59"/>
      <c r="D46" s="60"/>
      <c r="E46" s="53"/>
      <c r="F46" s="61"/>
      <c r="G46" s="61"/>
      <c r="H46" s="55"/>
      <c r="I46" s="55"/>
      <c r="J46" s="55"/>
      <c r="K46" s="55"/>
      <c r="L46" s="55"/>
      <c r="M46" s="53"/>
      <c r="N46" s="79"/>
      <c r="O46" s="58"/>
      <c r="P46" s="78"/>
      <c r="Q46" s="53"/>
      <c r="R46" s="20"/>
      <c r="S46" s="20"/>
      <c r="T46" s="20"/>
      <c r="U46" s="53"/>
      <c r="V46" s="19"/>
      <c r="W46" s="19"/>
      <c r="X46" s="19"/>
    </row>
    <row r="47" spans="1:24" x14ac:dyDescent="0.3">
      <c r="A47" s="53" t="s">
        <v>386</v>
      </c>
      <c r="B47" s="24" t="str">
        <f>$B$3</f>
        <v>Kaikki ARTTU kunnat</v>
      </c>
      <c r="C47" s="24" t="str">
        <f>$C$1</f>
        <v>50001-100000 as. kunnat</v>
      </c>
      <c r="D47" s="19" t="str">
        <f>Etusivu!$B$9</f>
        <v>Vaasa</v>
      </c>
      <c r="E47" s="53"/>
      <c r="F47" s="61"/>
      <c r="G47" s="61"/>
      <c r="H47" s="55"/>
      <c r="I47" s="55"/>
      <c r="J47" s="55"/>
      <c r="K47" s="55"/>
      <c r="L47" s="55"/>
      <c r="M47" s="53"/>
      <c r="N47" s="79"/>
      <c r="O47" s="58"/>
      <c r="P47" s="78"/>
      <c r="Q47" s="53"/>
      <c r="R47" s="20"/>
      <c r="S47" s="20"/>
      <c r="T47" s="20"/>
      <c r="U47" s="53"/>
      <c r="V47" s="19"/>
      <c r="W47" s="19"/>
      <c r="X47" s="19"/>
    </row>
    <row r="48" spans="1:24" x14ac:dyDescent="0.3">
      <c r="A48" s="102" t="s">
        <v>269</v>
      </c>
      <c r="B48" s="75">
        <f>kys20_kunnittain!D$54</f>
        <v>46.842783505154642</v>
      </c>
      <c r="C48" s="59">
        <f>VLOOKUP($B$1,kunta_kehit_ryhmat,4,FALSE)</f>
        <v>64.071856287425149</v>
      </c>
      <c r="D48" s="60">
        <f>VLOOKUP(Etusivu!$B$9,kunta_kehit_kunnat,4,FALSE)</f>
        <v>73.684210526315795</v>
      </c>
      <c r="E48" s="53"/>
      <c r="F48" s="61"/>
      <c r="G48" s="61"/>
      <c r="H48" s="55"/>
      <c r="I48" s="55"/>
      <c r="J48" s="55"/>
      <c r="K48" s="55"/>
      <c r="L48" s="55"/>
      <c r="M48" s="53"/>
      <c r="N48" s="79"/>
      <c r="O48" s="58"/>
      <c r="P48" s="78"/>
      <c r="Q48" s="53"/>
      <c r="R48" s="20"/>
      <c r="S48" s="20"/>
      <c r="T48" s="20"/>
      <c r="U48" s="53"/>
      <c r="V48" s="19"/>
      <c r="W48" s="19"/>
      <c r="X48" s="19"/>
    </row>
    <row r="49" spans="1:24" x14ac:dyDescent="0.3">
      <c r="A49" s="102" t="s">
        <v>270</v>
      </c>
      <c r="B49" s="75">
        <f>kys20_kunnittain!E$54</f>
        <v>34.867141931302655</v>
      </c>
      <c r="C49" s="59">
        <f>VLOOKUP($B$1,kunta_kehit_ryhmat,5,FALSE)</f>
        <v>36.445783132530117</v>
      </c>
      <c r="D49" s="60">
        <f>VLOOKUP(Etusivu!$B$9,kunta_kehit_kunnat,5,FALSE)</f>
        <v>37.5</v>
      </c>
      <c r="E49" s="53"/>
      <c r="F49" s="61"/>
      <c r="G49" s="61"/>
      <c r="H49" s="55"/>
      <c r="I49" s="55"/>
      <c r="J49" s="55"/>
      <c r="K49" s="55"/>
      <c r="L49" s="55"/>
      <c r="M49" s="53"/>
      <c r="N49" s="79"/>
      <c r="O49" s="58"/>
      <c r="P49" s="78"/>
      <c r="Q49" s="53"/>
      <c r="R49" s="20"/>
      <c r="S49" s="20"/>
      <c r="T49" s="20"/>
      <c r="U49" s="53"/>
      <c r="V49" s="19"/>
      <c r="W49" s="19"/>
      <c r="X49" s="19"/>
    </row>
    <row r="50" spans="1:24" x14ac:dyDescent="0.3">
      <c r="A50" s="102" t="s">
        <v>271</v>
      </c>
      <c r="B50" s="75">
        <f>kys20_kunnittain!F$54</f>
        <v>50.845253576072821</v>
      </c>
      <c r="C50" s="59">
        <f>VLOOKUP($B$1,kunta_kehit_ryhmat,6,FALSE)</f>
        <v>56.156156156156158</v>
      </c>
      <c r="D50" s="60">
        <f>VLOOKUP(Etusivu!$B$9,kunta_kehit_kunnat,6,FALSE)</f>
        <v>59.649122807017541</v>
      </c>
      <c r="E50" s="53"/>
      <c r="F50" s="61"/>
      <c r="G50" s="61"/>
      <c r="H50" s="55"/>
      <c r="I50" s="55"/>
      <c r="J50" s="55"/>
      <c r="K50" s="55"/>
      <c r="L50" s="55"/>
      <c r="M50" s="53"/>
      <c r="N50" s="79"/>
      <c r="O50" s="58"/>
      <c r="P50" s="78"/>
      <c r="Q50" s="53"/>
      <c r="R50" s="20"/>
      <c r="S50" s="20"/>
      <c r="T50" s="20"/>
      <c r="U50" s="53"/>
      <c r="V50" s="19"/>
      <c r="W50" s="19"/>
      <c r="X50" s="19"/>
    </row>
    <row r="51" spans="1:24" x14ac:dyDescent="0.3">
      <c r="A51" s="102" t="s">
        <v>272</v>
      </c>
      <c r="B51" s="75">
        <f>kys20_kunnittain!G$54</f>
        <v>66.925064599483207</v>
      </c>
      <c r="C51" s="59">
        <f>VLOOKUP($B$1,kunta_kehit_ryhmat,7,FALSE)</f>
        <v>64.970059880239518</v>
      </c>
      <c r="D51" s="60">
        <f>VLOOKUP(Etusivu!$B$9,kunta_kehit_kunnat,7,FALSE)</f>
        <v>56.140350877192979</v>
      </c>
      <c r="E51" s="53"/>
      <c r="F51" s="55"/>
      <c r="G51" s="55"/>
      <c r="H51" s="55"/>
      <c r="I51" s="55"/>
      <c r="J51" s="55"/>
      <c r="K51" s="55"/>
      <c r="L51" s="55"/>
      <c r="M51" s="53"/>
      <c r="N51" s="79"/>
      <c r="O51" s="58"/>
      <c r="P51" s="78"/>
      <c r="Q51" s="53"/>
      <c r="R51" s="20"/>
      <c r="S51" s="20"/>
      <c r="T51" s="20"/>
      <c r="U51" s="53"/>
      <c r="V51" s="19"/>
      <c r="W51" s="19"/>
      <c r="X51" s="19"/>
    </row>
    <row r="52" spans="1:24" x14ac:dyDescent="0.3">
      <c r="A52" s="102" t="s">
        <v>273</v>
      </c>
      <c r="B52" s="75">
        <f>kys20_kunnittain!H$54</f>
        <v>74.951330304996759</v>
      </c>
      <c r="C52" s="59">
        <f>VLOOKUP($B$1,kunta_kehit_ryhmat,8,FALSE)</f>
        <v>71.428571428571431</v>
      </c>
      <c r="D52" s="60">
        <f>VLOOKUP(Etusivu!$B$9,kunta_kehit_kunnat,8,FALSE)</f>
        <v>59.25925925925926</v>
      </c>
      <c r="E52" s="53"/>
      <c r="F52" s="55"/>
      <c r="G52" s="55"/>
      <c r="H52" s="55"/>
      <c r="I52" s="55"/>
      <c r="J52" s="55"/>
      <c r="K52" s="55"/>
      <c r="L52" s="55"/>
      <c r="M52" s="53"/>
      <c r="N52" s="79"/>
      <c r="O52" s="58"/>
      <c r="P52" s="78"/>
      <c r="Q52" s="53"/>
      <c r="R52" s="20"/>
      <c r="S52" s="20"/>
      <c r="T52" s="20"/>
      <c r="U52" s="53"/>
      <c r="V52" s="19"/>
      <c r="W52" s="19"/>
      <c r="X52" s="19"/>
    </row>
    <row r="53" spans="1:24" x14ac:dyDescent="0.3">
      <c r="A53" s="115" t="s">
        <v>374</v>
      </c>
      <c r="B53" s="77"/>
      <c r="C53" s="77"/>
      <c r="D53" s="73"/>
      <c r="E53" s="53"/>
      <c r="F53" s="55"/>
      <c r="G53" s="55"/>
      <c r="H53" s="55"/>
      <c r="I53" s="55"/>
      <c r="J53" s="55"/>
      <c r="K53" s="55"/>
      <c r="L53" s="55"/>
      <c r="M53" s="53"/>
      <c r="N53" s="79"/>
      <c r="O53" s="58"/>
      <c r="P53" s="78"/>
      <c r="Q53" s="53"/>
      <c r="R53" s="20"/>
      <c r="S53" s="20"/>
      <c r="T53" s="20"/>
      <c r="U53" s="53"/>
      <c r="V53" s="19"/>
      <c r="W53" s="19"/>
      <c r="X53" s="19"/>
    </row>
    <row r="54" spans="1:24" x14ac:dyDescent="0.3">
      <c r="A54" s="117" t="s">
        <v>387</v>
      </c>
      <c r="B54" s="24" t="str">
        <f>$B$3</f>
        <v>Kaikki ARTTU kunnat</v>
      </c>
      <c r="C54" s="24" t="str">
        <f>$C$1</f>
        <v>50001-100000 as. kunnat</v>
      </c>
      <c r="D54" s="19" t="str">
        <f>Etusivu!$B$9</f>
        <v>Vaasa</v>
      </c>
      <c r="E54" s="53"/>
      <c r="F54" s="106"/>
      <c r="G54" s="106"/>
      <c r="H54" s="106"/>
      <c r="I54" s="106"/>
      <c r="J54" s="106"/>
      <c r="K54" s="106"/>
      <c r="L54" s="106"/>
      <c r="M54" s="53"/>
      <c r="N54" s="107"/>
      <c r="O54" s="108"/>
      <c r="P54" s="109"/>
      <c r="Q54" s="53"/>
      <c r="R54" s="20"/>
      <c r="S54" s="20"/>
      <c r="T54" s="20"/>
      <c r="U54" s="53"/>
      <c r="V54" s="19"/>
      <c r="W54" s="19"/>
      <c r="X54" s="19"/>
    </row>
    <row r="55" spans="1:24" x14ac:dyDescent="0.3">
      <c r="A55" s="102" t="s">
        <v>275</v>
      </c>
      <c r="B55" s="20">
        <f>kys21_kunnittain!D$54</f>
        <v>52.162685603615238</v>
      </c>
      <c r="C55" s="20">
        <f>VLOOKUP($B$1,uudistukset_ryhmat,4,FALSE)</f>
        <v>48.338368580060425</v>
      </c>
      <c r="D55" s="20">
        <f>VLOOKUP(Etusivu!$B$9,uudistukset_kunnat,4,FALSE)</f>
        <v>60.714285714285715</v>
      </c>
      <c r="E55" s="68"/>
      <c r="H55" s="19"/>
      <c r="I55" s="19"/>
      <c r="J55" s="19"/>
      <c r="K55" s="19"/>
      <c r="L55" s="19"/>
      <c r="M55" s="68"/>
      <c r="P55" s="19"/>
      <c r="Q55" s="68"/>
      <c r="R55" s="76"/>
      <c r="S55" s="20"/>
      <c r="T55" s="19"/>
      <c r="U55" s="68"/>
      <c r="V55" s="19"/>
      <c r="X55" s="19"/>
    </row>
    <row r="56" spans="1:24" x14ac:dyDescent="0.3">
      <c r="A56" s="102" t="s">
        <v>276</v>
      </c>
      <c r="B56" s="20">
        <f>kys21_kunnittain!E$54</f>
        <v>70.561652679147841</v>
      </c>
      <c r="C56" s="20">
        <f>VLOOKUP($B$1,uudistukset_ryhmat,5,FALSE)</f>
        <v>58.433734939759034</v>
      </c>
      <c r="D56" s="20">
        <f>VLOOKUP(Etusivu!$B$9,uudistukset_kunnat,5,FALSE)</f>
        <v>57.142857142857146</v>
      </c>
      <c r="E56" s="53"/>
      <c r="F56" s="55"/>
      <c r="G56" s="55"/>
      <c r="H56" s="55"/>
      <c r="I56" s="55"/>
      <c r="J56" s="55"/>
      <c r="K56" s="55"/>
      <c r="L56" s="55"/>
      <c r="M56" s="53"/>
      <c r="N56" s="79"/>
      <c r="O56" s="58"/>
      <c r="P56" s="78"/>
      <c r="Q56" s="53"/>
      <c r="R56" s="20"/>
      <c r="S56" s="20"/>
      <c r="T56" s="20"/>
      <c r="U56" s="53"/>
      <c r="V56" s="19"/>
      <c r="W56" s="19"/>
      <c r="X56" s="19"/>
    </row>
    <row r="57" spans="1:24" x14ac:dyDescent="0.3">
      <c r="A57" s="102" t="s">
        <v>277</v>
      </c>
      <c r="B57" s="20">
        <f>kys21_kunnittain!F$54</f>
        <v>79.560155239327301</v>
      </c>
      <c r="C57" s="20">
        <f>VLOOKUP($B$1,uudistukset_ryhmat,6,FALSE)</f>
        <v>77.0392749244713</v>
      </c>
      <c r="D57" s="20">
        <f>VLOOKUP(Etusivu!$B$9,uudistukset_kunnat,6,FALSE)</f>
        <v>73.684210526315795</v>
      </c>
      <c r="E57" s="53"/>
      <c r="F57" s="61"/>
      <c r="G57" s="61"/>
      <c r="H57" s="55"/>
      <c r="I57" s="55"/>
      <c r="J57" s="55"/>
      <c r="K57" s="55"/>
      <c r="L57" s="55"/>
      <c r="M57" s="53"/>
      <c r="N57" s="62"/>
      <c r="O57" s="58"/>
      <c r="P57" s="78"/>
      <c r="Q57" s="53"/>
      <c r="R57" s="20"/>
      <c r="S57" s="20"/>
      <c r="T57" s="20"/>
      <c r="U57" s="53"/>
      <c r="V57" s="19"/>
      <c r="W57" s="19"/>
      <c r="X57" s="19"/>
    </row>
    <row r="58" spans="1:24" x14ac:dyDescent="0.3">
      <c r="A58" s="102" t="s">
        <v>278</v>
      </c>
      <c r="B58" s="20">
        <f>kys21_kunnittain!G$54</f>
        <v>73.735408560311285</v>
      </c>
      <c r="C58" s="20">
        <f>VLOOKUP($B$1,uudistukset_ryhmat,7,FALSE)</f>
        <v>75.301204819277103</v>
      </c>
      <c r="D58" s="20">
        <f>VLOOKUP(Etusivu!$B$9,uudistukset_kunnat,7,FALSE)</f>
        <v>75.438596491228068</v>
      </c>
      <c r="E58" s="53"/>
      <c r="F58" s="61"/>
      <c r="G58" s="61"/>
      <c r="H58" s="55"/>
      <c r="I58" s="55"/>
      <c r="J58" s="55"/>
      <c r="K58" s="55"/>
      <c r="L58" s="55"/>
      <c r="M58" s="53"/>
      <c r="N58" s="62"/>
      <c r="O58" s="58"/>
      <c r="P58" s="78"/>
      <c r="Q58" s="53"/>
      <c r="R58" s="20"/>
      <c r="S58" s="20"/>
      <c r="T58" s="20"/>
      <c r="U58" s="53"/>
      <c r="V58" s="19"/>
      <c r="W58" s="19"/>
      <c r="X58" s="19"/>
    </row>
    <row r="59" spans="1:24" x14ac:dyDescent="0.3">
      <c r="A59" s="102" t="s">
        <v>279</v>
      </c>
      <c r="B59" s="20">
        <f>kys21_kunnittain!H$54</f>
        <v>52.770618556701031</v>
      </c>
      <c r="C59" s="20">
        <f>VLOOKUP($B$1,uudistukset_ryhmat,8,FALSE)</f>
        <v>58.966565349544076</v>
      </c>
      <c r="D59" s="20">
        <f>VLOOKUP(Etusivu!$B$9,uudistukset_kunnat,8,FALSE)</f>
        <v>57.89473684210526</v>
      </c>
      <c r="E59" s="53"/>
      <c r="F59" s="61"/>
      <c r="G59" s="61"/>
      <c r="H59" s="55"/>
      <c r="I59" s="55"/>
      <c r="J59" s="55"/>
      <c r="K59" s="55"/>
      <c r="L59" s="55"/>
      <c r="M59" s="53"/>
      <c r="N59" s="62"/>
      <c r="O59" s="58"/>
      <c r="P59" s="78"/>
      <c r="Q59" s="53"/>
      <c r="R59" s="20"/>
      <c r="S59" s="20"/>
      <c r="T59" s="20"/>
      <c r="U59" s="53"/>
      <c r="V59" s="19"/>
      <c r="W59" s="19"/>
      <c r="X59" s="19"/>
    </row>
    <row r="60" spans="1:24" x14ac:dyDescent="0.3">
      <c r="A60" s="102" t="s">
        <v>280</v>
      </c>
      <c r="B60" s="20">
        <f>kys21_kunnittain!I$54</f>
        <v>78.078658929722764</v>
      </c>
      <c r="C60" s="20">
        <f>VLOOKUP($B$1,uudistukset_ryhmat,9,FALSE)</f>
        <v>77.341389728096672</v>
      </c>
      <c r="D60" s="20">
        <f>VLOOKUP(Etusivu!$B$9,uudistukset_kunnat,9,FALSE)</f>
        <v>66.666666666666671</v>
      </c>
      <c r="E60" s="53"/>
      <c r="F60" s="61"/>
      <c r="G60" s="61"/>
      <c r="H60" s="55"/>
      <c r="I60" s="55"/>
      <c r="J60" s="55"/>
      <c r="K60" s="55"/>
      <c r="L60" s="55"/>
      <c r="M60" s="53"/>
      <c r="N60" s="62"/>
      <c r="O60" s="58"/>
      <c r="P60" s="78"/>
      <c r="Q60" s="53"/>
      <c r="R60" s="20"/>
      <c r="S60" s="20"/>
      <c r="T60" s="20"/>
      <c r="U60" s="53"/>
      <c r="V60" s="19"/>
      <c r="W60" s="19"/>
      <c r="X60" s="19"/>
    </row>
    <row r="61" spans="1:24" x14ac:dyDescent="0.3">
      <c r="A61" s="102" t="s">
        <v>281</v>
      </c>
      <c r="B61" s="20">
        <f>kys21_kunnittain!J$54</f>
        <v>51.004536616979912</v>
      </c>
      <c r="C61" s="20">
        <f>VLOOKUP($B$1,uudistukset_ryhmat,10,FALSE)</f>
        <v>61.280487804878049</v>
      </c>
      <c r="D61" s="20">
        <f>VLOOKUP(Etusivu!$B$9,uudistukset_kunnat,10,FALSE)</f>
        <v>53.571428571428569</v>
      </c>
      <c r="E61" s="68"/>
      <c r="H61" s="19"/>
      <c r="I61" s="19"/>
      <c r="J61" s="19"/>
      <c r="K61" s="19"/>
      <c r="L61" s="19"/>
      <c r="M61" s="68"/>
      <c r="P61" s="19"/>
      <c r="Q61" s="68"/>
      <c r="R61" s="76"/>
      <c r="S61" s="20"/>
      <c r="T61" s="19"/>
      <c r="U61" s="68"/>
      <c r="V61" s="19"/>
      <c r="X61" s="19"/>
    </row>
    <row r="62" spans="1:24" x14ac:dyDescent="0.3">
      <c r="A62" s="102" t="s">
        <v>282</v>
      </c>
      <c r="B62" s="20">
        <f>kys21_kunnittain!K$54</f>
        <v>57.207498383968975</v>
      </c>
      <c r="C62" s="20">
        <f>VLOOKUP($B$1,uudistukset_ryhmat,11,FALSE)</f>
        <v>57.401812688821749</v>
      </c>
      <c r="D62" s="20">
        <f>VLOOKUP(Etusivu!$B$9,uudistukset_kunnat,11,FALSE)</f>
        <v>43.859649122807021</v>
      </c>
      <c r="E62" s="53"/>
      <c r="F62" s="61"/>
      <c r="G62" s="61"/>
      <c r="H62" s="55"/>
      <c r="I62" s="55"/>
      <c r="J62" s="55"/>
      <c r="K62" s="55"/>
      <c r="L62" s="55"/>
      <c r="M62" s="53"/>
      <c r="N62" s="79"/>
      <c r="O62" s="58"/>
      <c r="P62" s="78"/>
      <c r="Q62" s="53"/>
      <c r="R62" s="20"/>
      <c r="S62" s="20"/>
      <c r="T62" s="20"/>
      <c r="U62" s="53"/>
      <c r="V62" s="19"/>
      <c r="W62" s="19"/>
      <c r="X62" s="19"/>
    </row>
    <row r="63" spans="1:24" x14ac:dyDescent="0.3">
      <c r="A63" s="102" t="s">
        <v>283</v>
      </c>
      <c r="B63" s="20">
        <f>kys21_kunnittain!L$54</f>
        <v>65.913492575855386</v>
      </c>
      <c r="C63" s="20">
        <f>VLOOKUP($B$1,uudistukset_ryhmat,12,FALSE)</f>
        <v>69.696969696969703</v>
      </c>
      <c r="D63" s="20">
        <f>VLOOKUP(Etusivu!$B$9,uudistukset_kunnat,12,FALSE)</f>
        <v>64.912280701754383</v>
      </c>
      <c r="E63" s="53"/>
      <c r="F63" s="61"/>
      <c r="G63" s="61"/>
      <c r="H63" s="55"/>
      <c r="I63" s="55"/>
      <c r="J63" s="55"/>
      <c r="K63" s="55"/>
      <c r="L63" s="55"/>
      <c r="M63" s="53"/>
      <c r="N63" s="79"/>
      <c r="O63" s="58"/>
      <c r="P63" s="78"/>
      <c r="Q63" s="53"/>
      <c r="R63" s="20"/>
      <c r="S63" s="20"/>
      <c r="T63" s="20"/>
      <c r="U63" s="53"/>
      <c r="V63" s="19"/>
      <c r="W63" s="19"/>
      <c r="X63" s="19"/>
    </row>
    <row r="64" spans="1:24" x14ac:dyDescent="0.3">
      <c r="A64" s="102" t="s">
        <v>284</v>
      </c>
      <c r="B64" s="20">
        <f>kys21_kunnittain!M$54</f>
        <v>34.760051880674446</v>
      </c>
      <c r="C64" s="20">
        <f>VLOOKUP($B$1,uudistukset_ryhmat,13,FALSE)</f>
        <v>32.628398791540782</v>
      </c>
      <c r="D64" s="20">
        <f>VLOOKUP(Etusivu!$B$9,uudistukset_kunnat,13,FALSE)</f>
        <v>28.571428571428573</v>
      </c>
      <c r="E64" s="53"/>
      <c r="F64" s="61"/>
      <c r="G64" s="61"/>
      <c r="H64" s="55"/>
      <c r="I64" s="55"/>
      <c r="J64" s="55"/>
      <c r="K64" s="55"/>
      <c r="L64" s="55"/>
      <c r="M64" s="53"/>
      <c r="N64" s="79"/>
      <c r="O64" s="58"/>
      <c r="P64" s="78"/>
      <c r="Q64" s="53"/>
      <c r="R64" s="20"/>
      <c r="S64" s="20"/>
      <c r="T64" s="20"/>
      <c r="U64" s="53"/>
      <c r="V64" s="19"/>
      <c r="W64" s="19"/>
      <c r="X64" s="19"/>
    </row>
    <row r="65" spans="1:24" x14ac:dyDescent="0.3">
      <c r="A65" s="102" t="s">
        <v>285</v>
      </c>
      <c r="B65" s="20">
        <f>kys21_kunnittain!N$54</f>
        <v>63.518758085381627</v>
      </c>
      <c r="C65" s="20">
        <f>VLOOKUP($B$1,uudistukset_ryhmat,14,FALSE)</f>
        <v>64.939024390243901</v>
      </c>
      <c r="D65" s="20">
        <f>VLOOKUP(Etusivu!$B$9,uudistukset_kunnat,14,FALSE)</f>
        <v>57.89473684210526</v>
      </c>
      <c r="E65" s="53"/>
      <c r="F65" s="61"/>
      <c r="G65" s="61"/>
      <c r="H65" s="55"/>
      <c r="I65" s="55"/>
      <c r="J65" s="55"/>
      <c r="K65" s="55"/>
      <c r="L65" s="55"/>
      <c r="M65" s="53"/>
      <c r="N65" s="79"/>
      <c r="O65" s="58"/>
      <c r="P65" s="78"/>
      <c r="Q65" s="53"/>
      <c r="R65" s="20"/>
      <c r="S65" s="20"/>
      <c r="T65" s="20"/>
      <c r="U65" s="53"/>
      <c r="V65" s="19"/>
      <c r="W65" s="19"/>
      <c r="X65" s="19"/>
    </row>
    <row r="66" spans="1:24" x14ac:dyDescent="0.3">
      <c r="A66" s="115" t="s">
        <v>375</v>
      </c>
      <c r="B66" s="55"/>
      <c r="C66" s="60"/>
      <c r="D66" s="60"/>
      <c r="E66" s="53"/>
      <c r="F66" s="61"/>
      <c r="G66" s="61"/>
      <c r="H66" s="55"/>
      <c r="I66" s="55"/>
      <c r="J66" s="55"/>
      <c r="K66" s="55"/>
      <c r="L66" s="55"/>
      <c r="M66" s="53"/>
      <c r="N66" s="79"/>
      <c r="O66" s="58"/>
      <c r="P66" s="78"/>
      <c r="Q66" s="53"/>
      <c r="R66" s="20"/>
      <c r="S66" s="20"/>
      <c r="T66" s="20"/>
      <c r="U66" s="53"/>
      <c r="V66" s="19"/>
      <c r="W66" s="19"/>
      <c r="X66" s="19"/>
    </row>
    <row r="67" spans="1:24" x14ac:dyDescent="0.3">
      <c r="A67" s="53"/>
      <c r="B67" s="24" t="str">
        <f>$B$3</f>
        <v>Kaikki ARTTU kunnat</v>
      </c>
      <c r="C67" s="24" t="str">
        <f>$C$1</f>
        <v>50001-100000 as. kunnat</v>
      </c>
      <c r="D67" s="19" t="str">
        <f>Etusivu!$B$9</f>
        <v>Vaasa</v>
      </c>
      <c r="E67" s="53"/>
      <c r="F67" s="61"/>
      <c r="G67" s="61"/>
      <c r="H67" s="55"/>
      <c r="I67" s="55"/>
      <c r="J67" s="55"/>
      <c r="K67" s="55"/>
      <c r="L67" s="55"/>
      <c r="M67" s="53"/>
      <c r="N67" s="62"/>
      <c r="O67" s="58"/>
      <c r="P67" s="78"/>
      <c r="Q67" s="53"/>
      <c r="R67" s="20"/>
      <c r="S67" s="20"/>
      <c r="T67" s="20"/>
      <c r="U67" s="53"/>
      <c r="V67" s="19"/>
      <c r="W67" s="19"/>
      <c r="X67" s="19"/>
    </row>
    <row r="68" spans="1:24" ht="14.15" x14ac:dyDescent="0.35">
      <c r="A68" s="110" t="s">
        <v>388</v>
      </c>
      <c r="B68" s="118">
        <f>kys22_kunnittain!D53</f>
        <v>3.8645970937912812</v>
      </c>
      <c r="C68" s="76">
        <f>VLOOKUP($B$1,hyva_asua_ryhmat,4,FALSE)</f>
        <v>3.5846153846153848</v>
      </c>
      <c r="D68" s="76">
        <f>VLOOKUP(Etusivu!$B$9,hyva_asua_kunnat,4,FALSE)</f>
        <v>4.0892857142857144</v>
      </c>
      <c r="E68" s="53"/>
      <c r="F68" s="61"/>
      <c r="G68" s="61"/>
      <c r="H68" s="55"/>
      <c r="I68" s="55"/>
      <c r="J68" s="55"/>
      <c r="K68" s="55"/>
      <c r="L68" s="55"/>
      <c r="M68" s="53"/>
      <c r="N68" s="58"/>
      <c r="O68" s="58"/>
      <c r="P68" s="78"/>
      <c r="Q68" s="53"/>
    </row>
    <row r="69" spans="1:24" x14ac:dyDescent="0.3">
      <c r="A69" s="115" t="s">
        <v>376</v>
      </c>
      <c r="B69" s="74"/>
      <c r="C69" s="74"/>
      <c r="D69" s="73"/>
      <c r="E69" s="53"/>
      <c r="F69" s="61"/>
      <c r="G69" s="61"/>
      <c r="H69" s="55"/>
      <c r="I69" s="55"/>
      <c r="J69" s="55"/>
      <c r="K69" s="55"/>
      <c r="L69" s="55"/>
      <c r="M69" s="53"/>
      <c r="N69" s="62"/>
      <c r="O69" s="58"/>
      <c r="P69" s="78"/>
      <c r="Q69" s="53"/>
    </row>
    <row r="70" spans="1:24" ht="14.15" x14ac:dyDescent="0.35">
      <c r="A70" s="105"/>
      <c r="B70" s="24" t="str">
        <f>$B$3</f>
        <v>Kaikki ARTTU kunnat</v>
      </c>
      <c r="C70" s="24" t="str">
        <f>$C$1</f>
        <v>50001-100000 as. kunnat</v>
      </c>
      <c r="D70" s="19" t="str">
        <f>Etusivu!$B$9</f>
        <v>Vaasa</v>
      </c>
      <c r="E70" s="53"/>
      <c r="F70" s="61"/>
      <c r="G70" s="61"/>
      <c r="H70" s="55"/>
      <c r="I70" s="55"/>
      <c r="J70" s="55"/>
      <c r="K70" s="55"/>
      <c r="L70" s="55"/>
      <c r="M70" s="53"/>
      <c r="N70" s="62"/>
      <c r="O70" s="58"/>
      <c r="P70" s="78"/>
      <c r="Q70" s="53"/>
    </row>
    <row r="71" spans="1:24" x14ac:dyDescent="0.3">
      <c r="A71" s="102" t="s">
        <v>286</v>
      </c>
      <c r="B71" s="74">
        <f>kys23_kunnittain!D$53</f>
        <v>3.3266881028938906</v>
      </c>
      <c r="C71" s="76">
        <f>VLOOKUP($B$1,parjaaminen_ryhmat,4,FALSE)</f>
        <v>2.9281437125748502</v>
      </c>
      <c r="D71" s="76">
        <f>VLOOKUP(Etusivu!$B$9,parjaaminen_kunnat,4,FALSE)</f>
        <v>4.1578947368421053</v>
      </c>
      <c r="E71" s="53"/>
      <c r="F71" s="61"/>
      <c r="G71" s="61"/>
      <c r="H71" s="55"/>
      <c r="I71" s="55"/>
      <c r="J71" s="55"/>
      <c r="K71" s="55"/>
      <c r="L71" s="55"/>
      <c r="M71" s="53"/>
      <c r="N71" s="58"/>
      <c r="O71" s="58"/>
      <c r="P71" s="78"/>
      <c r="Q71" s="53"/>
    </row>
    <row r="72" spans="1:24" x14ac:dyDescent="0.3">
      <c r="A72" s="102" t="s">
        <v>287</v>
      </c>
      <c r="B72" s="74">
        <f>kys23_kunnittain!E$53</f>
        <v>3.0975292587776333</v>
      </c>
      <c r="C72" s="76">
        <f>VLOOKUP($B$1,parjaaminen_ryhmat,5,FALSE)</f>
        <v>2.6223564954682779</v>
      </c>
      <c r="D72" s="76">
        <f>VLOOKUP(Etusivu!$B$9,parjaaminen_kunnat,5,FALSE)</f>
        <v>3.3859649122807016</v>
      </c>
      <c r="E72" s="53"/>
      <c r="F72" s="61"/>
      <c r="G72" s="61"/>
      <c r="H72" s="55"/>
      <c r="I72" s="55"/>
      <c r="J72" s="55"/>
      <c r="K72" s="55"/>
      <c r="L72" s="55"/>
      <c r="M72" s="53"/>
      <c r="N72" s="58"/>
      <c r="O72" s="58"/>
      <c r="P72" s="78"/>
      <c r="Q72" s="53"/>
    </row>
    <row r="73" spans="1:24" x14ac:dyDescent="0.3">
      <c r="A73" s="102" t="s">
        <v>288</v>
      </c>
      <c r="B73" s="74">
        <f>kys23_kunnittain!F$53</f>
        <v>3.5555555555555554</v>
      </c>
      <c r="C73" s="76">
        <f>VLOOKUP($B$1,parjaaminen_ryhmat,6,FALSE)</f>
        <v>3.3253012048192772</v>
      </c>
      <c r="D73" s="76">
        <f>VLOOKUP(Etusivu!$B$9,parjaaminen_kunnat,6,FALSE)</f>
        <v>3.7543859649122808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3"/>
      <c r="Q73" s="53"/>
    </row>
    <row r="74" spans="1:24" x14ac:dyDescent="0.3">
      <c r="A74" s="102" t="s">
        <v>289</v>
      </c>
      <c r="B74" s="74">
        <f>kys23_kunnittain!G$53</f>
        <v>3.5220492866407263</v>
      </c>
      <c r="C74" s="76">
        <f>VLOOKUP($B$1,parjaaminen_ryhmat,7,FALSE)</f>
        <v>3.5410334346504557</v>
      </c>
      <c r="D74" s="76">
        <f>VLOOKUP(Etusivu!$B$9,parjaaminen_kunnat,7,FALSE)</f>
        <v>3.6140350877192984</v>
      </c>
      <c r="E74" s="56"/>
      <c r="F74" s="62"/>
      <c r="G74" s="62"/>
      <c r="H74" s="58"/>
      <c r="I74" s="58"/>
      <c r="J74" s="58"/>
      <c r="K74" s="58"/>
      <c r="L74" s="58"/>
      <c r="M74" s="56"/>
      <c r="N74" s="61"/>
      <c r="O74" s="55"/>
      <c r="P74" s="53"/>
      <c r="Q74" s="53"/>
    </row>
    <row r="75" spans="1:24" x14ac:dyDescent="0.3">
      <c r="A75" s="102" t="s">
        <v>290</v>
      </c>
      <c r="B75" s="74">
        <f>kys23_kunnittain!H$53</f>
        <v>3.021276595744681</v>
      </c>
      <c r="C75" s="76">
        <f>VLOOKUP($B$1,parjaaminen_ryhmat,8,FALSE)</f>
        <v>2.6526946107784433</v>
      </c>
      <c r="D75" s="76">
        <f>VLOOKUP(Etusivu!$B$9,parjaaminen_kunnat,8,FALSE)</f>
        <v>4.0526315789473681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3"/>
      <c r="Q75" s="53"/>
    </row>
    <row r="76" spans="1:24" x14ac:dyDescent="0.3">
      <c r="A76" s="102" t="s">
        <v>291</v>
      </c>
      <c r="B76" s="74">
        <f>kys23_kunnittain!I$53</f>
        <v>3.475483870967742</v>
      </c>
      <c r="C76" s="76">
        <f>VLOOKUP($B$1,parjaaminen_ryhmat,9,FALSE)</f>
        <v>3.5598802395209579</v>
      </c>
      <c r="D76" s="76">
        <f>VLOOKUP(Etusivu!$B$9,parjaaminen_kunnat,9,FALSE)</f>
        <v>4.4210526315789478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3"/>
      <c r="Q76" s="53"/>
    </row>
    <row r="77" spans="1:24" x14ac:dyDescent="0.3">
      <c r="A77" s="102" t="s">
        <v>292</v>
      </c>
      <c r="B77" s="74">
        <f>kys23_kunnittain!J$53</f>
        <v>3.7189922480620154</v>
      </c>
      <c r="C77" s="76">
        <f>VLOOKUP($B$1,parjaaminen_ryhmat,10,FALSE)</f>
        <v>3.7492447129909365</v>
      </c>
      <c r="D77" s="76">
        <f>VLOOKUP(Etusivu!$B$9,parjaaminen_kunnat,10,FALSE)</f>
        <v>3.6140350877192984</v>
      </c>
      <c r="E77" s="56"/>
      <c r="F77" s="63"/>
      <c r="G77" s="63"/>
      <c r="H77" s="60"/>
      <c r="I77" s="60"/>
      <c r="J77" s="60"/>
      <c r="K77" s="60"/>
      <c r="L77" s="60"/>
      <c r="M77" s="56"/>
      <c r="N77" s="56"/>
      <c r="O77" s="56"/>
      <c r="P77" s="53"/>
      <c r="Q77" s="53"/>
    </row>
    <row r="78" spans="1:24" x14ac:dyDescent="0.3">
      <c r="A78" s="102" t="s">
        <v>293</v>
      </c>
      <c r="B78" s="74">
        <f>kys23_kunnittain!K$53</f>
        <v>3.8046421663442942</v>
      </c>
      <c r="C78" s="76">
        <f>VLOOKUP($B$1,parjaaminen_ryhmat,11,FALSE)</f>
        <v>3.9307228915662651</v>
      </c>
      <c r="D78" s="76">
        <f>VLOOKUP(Etusivu!$B$9,parjaaminen_kunnat,11,FALSE)</f>
        <v>4.2456140350877192</v>
      </c>
      <c r="E78" s="56"/>
      <c r="F78" s="63"/>
      <c r="G78" s="63"/>
      <c r="H78" s="60"/>
      <c r="I78" s="60"/>
      <c r="J78" s="60"/>
      <c r="K78" s="60"/>
      <c r="L78" s="60"/>
      <c r="M78" s="56"/>
      <c r="N78" s="56"/>
      <c r="O78" s="56"/>
      <c r="P78" s="53"/>
      <c r="Q78" s="53"/>
    </row>
    <row r="79" spans="1:24" x14ac:dyDescent="0.3">
      <c r="A79" s="102" t="s">
        <v>294</v>
      </c>
      <c r="B79" s="74">
        <f>kys23_kunnittain!L$53</f>
        <v>3.3214747736093142</v>
      </c>
      <c r="C79" s="76">
        <f>VLOOKUP($B$1,parjaaminen_ryhmat,12,FALSE)</f>
        <v>3.3232628398791539</v>
      </c>
      <c r="D79" s="76">
        <f>VLOOKUP(Etusivu!$B$9,parjaaminen_kunnat,12,FALSE)</f>
        <v>3.5087719298245612</v>
      </c>
      <c r="E79" s="56"/>
      <c r="F79" s="63"/>
      <c r="G79" s="63"/>
      <c r="H79" s="60"/>
      <c r="I79" s="60"/>
      <c r="J79" s="60"/>
      <c r="K79" s="60"/>
      <c r="L79" s="60"/>
      <c r="M79" s="56"/>
      <c r="N79" s="56"/>
      <c r="O79" s="56"/>
      <c r="P79" s="53"/>
      <c r="Q79" s="53"/>
    </row>
    <row r="80" spans="1:24" x14ac:dyDescent="0.3">
      <c r="A80" s="102" t="s">
        <v>295</v>
      </c>
      <c r="B80" s="74">
        <f>kys23_kunnittain!M$53</f>
        <v>3.4798701298701298</v>
      </c>
      <c r="C80" s="76">
        <f>VLOOKUP($B$1,parjaaminen_ryhmat,13,FALSE)</f>
        <v>3.8435582822085887</v>
      </c>
      <c r="D80" s="76">
        <f>VLOOKUP(Etusivu!$B$9,parjaaminen_kunnat,13,FALSE)</f>
        <v>3.625</v>
      </c>
      <c r="E80" s="52"/>
      <c r="F80" s="50"/>
      <c r="G80" s="50"/>
      <c r="H80" s="51"/>
      <c r="I80" s="51"/>
      <c r="J80" s="51"/>
      <c r="K80" s="51"/>
      <c r="L80" s="51"/>
      <c r="M80" s="52"/>
      <c r="N80" s="52"/>
      <c r="O80" s="52"/>
      <c r="P80" s="49"/>
      <c r="Q80" s="49"/>
    </row>
    <row r="81" spans="1:17" x14ac:dyDescent="0.3">
      <c r="A81" s="115" t="s">
        <v>377</v>
      </c>
      <c r="B81" s="38"/>
      <c r="C81" s="38"/>
      <c r="D81" s="38"/>
      <c r="E81" s="39"/>
      <c r="F81" s="37"/>
      <c r="G81" s="37"/>
      <c r="H81" s="38"/>
      <c r="I81" s="38"/>
      <c r="J81" s="38"/>
      <c r="K81" s="38"/>
      <c r="L81" s="38"/>
      <c r="M81" s="39"/>
      <c r="N81" s="39"/>
      <c r="O81" s="39"/>
      <c r="P81" s="36"/>
      <c r="Q81" s="36"/>
    </row>
    <row r="82" spans="1:17" x14ac:dyDescent="0.3">
      <c r="A82" s="36"/>
      <c r="B82" s="24" t="str">
        <f>$B$3</f>
        <v>Kaikki ARTTU kunnat</v>
      </c>
      <c r="C82" s="24" t="str">
        <f>$C$1</f>
        <v>50001-100000 as. kunnat</v>
      </c>
      <c r="D82" s="19" t="str">
        <f>Etusivu!$B$9</f>
        <v>Vaasa</v>
      </c>
      <c r="E82" s="39"/>
      <c r="F82" s="37"/>
      <c r="G82" s="37"/>
      <c r="H82" s="38"/>
      <c r="I82" s="38"/>
      <c r="J82" s="38"/>
      <c r="K82" s="38"/>
      <c r="L82" s="38"/>
      <c r="M82" s="39"/>
      <c r="N82" s="39"/>
      <c r="O82" s="39"/>
      <c r="P82" s="36"/>
      <c r="Q82" s="36"/>
    </row>
    <row r="83" spans="1:17" x14ac:dyDescent="0.3">
      <c r="A83" s="101" t="s">
        <v>296</v>
      </c>
      <c r="B83" s="37">
        <f>kys24_kunnittain!D$53</f>
        <v>69.846350832266324</v>
      </c>
      <c r="C83" s="20">
        <f>VLOOKUP($B$1,elinvoimaisuus_ryhmat,4,FALSE)</f>
        <v>65.97014925373135</v>
      </c>
      <c r="D83" s="20">
        <f>VLOOKUP(Etusivu!$B$9,elinvoimaisuus_kunnat,4,FALSE)</f>
        <v>84.21052631578948</v>
      </c>
      <c r="E83" s="39"/>
      <c r="F83" s="37"/>
      <c r="G83" s="37"/>
      <c r="H83" s="38"/>
      <c r="I83" s="38"/>
      <c r="J83" s="38"/>
      <c r="K83" s="38"/>
      <c r="L83" s="38"/>
      <c r="M83" s="39"/>
      <c r="N83" s="39"/>
      <c r="O83" s="39"/>
      <c r="P83" s="36"/>
      <c r="Q83" s="36"/>
    </row>
    <row r="84" spans="1:17" x14ac:dyDescent="0.3">
      <c r="A84" s="101" t="s">
        <v>297</v>
      </c>
      <c r="B84" s="37">
        <f>kys24_kunnittain!E$53</f>
        <v>36.555697823303454</v>
      </c>
      <c r="C84" s="20">
        <f>VLOOKUP($B$1,elinvoimaisuus_ryhmat,5,FALSE)</f>
        <v>22.388059701492537</v>
      </c>
      <c r="D84" s="20">
        <f>VLOOKUP(Etusivu!$B$9,elinvoimaisuus_kunnat,5,FALSE)</f>
        <v>36.842105263157897</v>
      </c>
      <c r="E84" s="39"/>
      <c r="F84" s="37"/>
      <c r="G84" s="37"/>
      <c r="H84" s="38"/>
      <c r="I84" s="38"/>
      <c r="J84" s="38"/>
      <c r="K84" s="38"/>
      <c r="L84" s="38"/>
      <c r="M84" s="39"/>
      <c r="N84" s="39"/>
      <c r="O84" s="39"/>
      <c r="P84" s="36"/>
      <c r="Q84" s="36"/>
    </row>
    <row r="85" spans="1:17" x14ac:dyDescent="0.3">
      <c r="A85" s="101" t="s">
        <v>298</v>
      </c>
      <c r="B85" s="37">
        <f>kys24_kunnittain!F$53</f>
        <v>30.985915492957748</v>
      </c>
      <c r="C85" s="20">
        <f>VLOOKUP($B$1,elinvoimaisuus_ryhmat,6,FALSE)</f>
        <v>26.865671641791046</v>
      </c>
      <c r="D85" s="20">
        <f>VLOOKUP(Etusivu!$B$9,elinvoimaisuus_kunnat,6,FALSE)</f>
        <v>26.315789473684209</v>
      </c>
      <c r="E85" s="39"/>
      <c r="F85" s="37"/>
      <c r="G85" s="37"/>
      <c r="H85" s="38"/>
      <c r="I85" s="38"/>
      <c r="J85" s="38"/>
      <c r="K85" s="38"/>
      <c r="L85" s="38"/>
      <c r="M85" s="39"/>
      <c r="N85" s="39"/>
      <c r="O85" s="39"/>
      <c r="P85" s="36"/>
      <c r="Q85" s="36"/>
    </row>
    <row r="86" spans="1:17" x14ac:dyDescent="0.3">
      <c r="A86" s="101" t="s">
        <v>299</v>
      </c>
      <c r="B86" s="37">
        <f>kys24_kunnittain!G$53</f>
        <v>23.111395646606915</v>
      </c>
      <c r="C86" s="20">
        <f>VLOOKUP($B$1,elinvoimaisuus_ryhmat,7,FALSE)</f>
        <v>26.268656716417912</v>
      </c>
      <c r="D86" s="20">
        <f>VLOOKUP(Etusivu!$B$9,elinvoimaisuus_kunnat,7,FALSE)</f>
        <v>7.0175438596491224</v>
      </c>
      <c r="E86" s="39"/>
      <c r="F86" s="37"/>
      <c r="G86" s="37"/>
      <c r="H86" s="38"/>
      <c r="I86" s="38"/>
      <c r="J86" s="38"/>
      <c r="K86" s="38"/>
      <c r="L86" s="38"/>
      <c r="M86" s="39"/>
      <c r="N86" s="39"/>
      <c r="O86" s="39"/>
      <c r="P86" s="36"/>
      <c r="Q86" s="36"/>
    </row>
    <row r="87" spans="1:17" x14ac:dyDescent="0.3">
      <c r="A87" s="101" t="s">
        <v>300</v>
      </c>
      <c r="B87" s="37">
        <f>kys24_kunnittain!H$53</f>
        <v>16.645326504481435</v>
      </c>
      <c r="C87" s="20">
        <f>VLOOKUP($B$1,elinvoimaisuus_ryhmat,8,FALSE)</f>
        <v>14.626865671641792</v>
      </c>
      <c r="D87" s="20">
        <f>VLOOKUP(Etusivu!$B$9,elinvoimaisuus_kunnat,8,FALSE)</f>
        <v>10.526315789473685</v>
      </c>
      <c r="E87" s="39"/>
      <c r="F87" s="37"/>
      <c r="G87" s="37"/>
      <c r="H87" s="38"/>
      <c r="I87" s="38"/>
      <c r="J87" s="38"/>
      <c r="K87" s="38"/>
      <c r="L87" s="38"/>
      <c r="M87" s="39"/>
      <c r="N87" s="39"/>
      <c r="O87" s="39"/>
      <c r="P87" s="36"/>
      <c r="Q87" s="36"/>
    </row>
    <row r="88" spans="1:17" x14ac:dyDescent="0.3">
      <c r="A88" s="101" t="s">
        <v>301</v>
      </c>
      <c r="B88" s="37">
        <f>kys24_kunnittain!I$53</f>
        <v>9.0268886043533936</v>
      </c>
      <c r="C88" s="20">
        <f>VLOOKUP($B$1,elinvoimaisuus_ryhmat,9,FALSE)</f>
        <v>10.746268656716419</v>
      </c>
      <c r="D88" s="20">
        <f>VLOOKUP(Etusivu!$B$9,elinvoimaisuus_kunnat,9,FALSE)</f>
        <v>8.7719298245614041</v>
      </c>
      <c r="E88" s="39"/>
      <c r="F88" s="37"/>
      <c r="G88" s="37"/>
      <c r="H88" s="38"/>
      <c r="I88" s="38"/>
      <c r="J88" s="38"/>
      <c r="K88" s="38"/>
      <c r="L88" s="38"/>
      <c r="M88" s="39"/>
      <c r="N88" s="39"/>
      <c r="O88" s="39"/>
      <c r="P88" s="36"/>
      <c r="Q88" s="36"/>
    </row>
    <row r="89" spans="1:17" x14ac:dyDescent="0.3">
      <c r="A89" s="101" t="s">
        <v>302</v>
      </c>
      <c r="B89" s="37">
        <f>kys24_kunnittain!J$53</f>
        <v>20.550576184379</v>
      </c>
      <c r="C89" s="20">
        <f>VLOOKUP($B$1,elinvoimaisuus_ryhmat,10,FALSE)</f>
        <v>28.955223880597014</v>
      </c>
      <c r="D89" s="20">
        <f>VLOOKUP(Etusivu!$B$9,elinvoimaisuus_kunnat,10,FALSE)</f>
        <v>31.578947368421051</v>
      </c>
      <c r="E89" s="39"/>
      <c r="F89" s="37"/>
      <c r="G89" s="37"/>
      <c r="H89" s="38"/>
      <c r="I89" s="38"/>
      <c r="J89" s="38"/>
      <c r="K89" s="38"/>
      <c r="L89" s="38"/>
      <c r="M89" s="39"/>
      <c r="N89" s="39"/>
      <c r="O89" s="39"/>
      <c r="P89" s="36"/>
      <c r="Q89" s="36"/>
    </row>
    <row r="90" spans="1:17" x14ac:dyDescent="0.3">
      <c r="A90" s="101" t="s">
        <v>303</v>
      </c>
      <c r="B90" s="37">
        <f>kys24_kunnittain!K$53</f>
        <v>27.784891165172855</v>
      </c>
      <c r="C90" s="20">
        <f>VLOOKUP($B$1,elinvoimaisuus_ryhmat,11,FALSE)</f>
        <v>33.432835820895519</v>
      </c>
      <c r="D90" s="20">
        <f>VLOOKUP(Etusivu!$B$9,elinvoimaisuus_kunnat,11,FALSE)</f>
        <v>17.543859649122808</v>
      </c>
      <c r="E90" s="39"/>
      <c r="F90" s="37"/>
      <c r="G90" s="37"/>
      <c r="H90" s="38"/>
      <c r="I90" s="38"/>
      <c r="J90" s="38"/>
      <c r="K90" s="38"/>
      <c r="L90" s="38"/>
      <c r="M90" s="39"/>
      <c r="N90" s="39"/>
      <c r="O90" s="39"/>
      <c r="P90" s="36"/>
      <c r="Q90" s="40"/>
    </row>
    <row r="91" spans="1:17" x14ac:dyDescent="0.3">
      <c r="A91" s="101" t="s">
        <v>304</v>
      </c>
      <c r="B91" s="37">
        <f>kys24_kunnittain!L$53</f>
        <v>64.340588988476313</v>
      </c>
      <c r="C91" s="20">
        <f>VLOOKUP($B$1,elinvoimaisuus_ryhmat,12,FALSE)</f>
        <v>66.268656716417908</v>
      </c>
      <c r="D91" s="20">
        <f>VLOOKUP(Etusivu!$B$9,elinvoimaisuus_kunnat,12,FALSE)</f>
        <v>64.912280701754383</v>
      </c>
      <c r="E91" s="39"/>
      <c r="F91" s="37"/>
      <c r="G91" s="37"/>
      <c r="H91" s="38"/>
      <c r="I91" s="38"/>
      <c r="J91" s="38"/>
      <c r="K91" s="38"/>
      <c r="L91" s="38"/>
      <c r="M91" s="39"/>
      <c r="N91" s="39"/>
      <c r="O91" s="39"/>
      <c r="P91" s="36"/>
      <c r="Q91" s="36"/>
    </row>
    <row r="92" spans="1:17" x14ac:dyDescent="0.3">
      <c r="A92" s="101" t="s">
        <v>305</v>
      </c>
      <c r="B92" s="37">
        <f>kys24_kunnittain!M$53</f>
        <v>13.50832266325224</v>
      </c>
      <c r="C92" s="20">
        <f>VLOOKUP($B$1,elinvoimaisuus_ryhmat,13,FALSE)</f>
        <v>12.238805970149254</v>
      </c>
      <c r="D92" s="20">
        <f>VLOOKUP(Etusivu!$B$9,elinvoimaisuus_kunnat,13,FALSE)</f>
        <v>5.2631578947368425</v>
      </c>
      <c r="E92" s="39"/>
      <c r="F92" s="37"/>
      <c r="G92" s="37"/>
      <c r="H92" s="38"/>
      <c r="I92" s="38"/>
      <c r="J92" s="38"/>
      <c r="K92" s="38"/>
      <c r="L92" s="38"/>
      <c r="M92" s="39"/>
      <c r="N92" s="39"/>
      <c r="O92" s="39"/>
      <c r="P92" s="36"/>
      <c r="Q92" s="36"/>
    </row>
    <row r="93" spans="1:17" x14ac:dyDescent="0.3">
      <c r="A93" s="101" t="s">
        <v>306</v>
      </c>
      <c r="B93" s="37">
        <f>kys24_kunnittain!N$53</f>
        <v>36.299615877080669</v>
      </c>
      <c r="C93" s="20">
        <f>VLOOKUP($B$1,elinvoimaisuus_ryhmat,14,FALSE)</f>
        <v>35.522388059701491</v>
      </c>
      <c r="D93" s="20">
        <f>VLOOKUP(Etusivu!$B$9,elinvoimaisuus_kunnat,14,FALSE)</f>
        <v>42.10526315789474</v>
      </c>
      <c r="E93" s="39"/>
      <c r="F93" s="37"/>
      <c r="G93" s="37"/>
      <c r="H93" s="38"/>
      <c r="I93" s="38"/>
      <c r="J93" s="38"/>
      <c r="K93" s="38"/>
      <c r="L93" s="38"/>
      <c r="M93" s="39"/>
      <c r="N93" s="39"/>
      <c r="O93" s="39"/>
      <c r="P93" s="36"/>
      <c r="Q93" s="36"/>
    </row>
    <row r="94" spans="1:17" x14ac:dyDescent="0.3">
      <c r="A94" s="101" t="s">
        <v>307</v>
      </c>
      <c r="B94" s="37">
        <f>kys24_kunnittain!O$53</f>
        <v>26.056338028169016</v>
      </c>
      <c r="C94" s="20">
        <f>VLOOKUP($B$1,elinvoimaisuus_ryhmat,15,FALSE)</f>
        <v>29.552238805970148</v>
      </c>
      <c r="D94" s="20">
        <f>VLOOKUP(Etusivu!$B$9,elinvoimaisuus_kunnat,15,FALSE)</f>
        <v>31.578947368421051</v>
      </c>
      <c r="E94" s="39"/>
      <c r="F94" s="37"/>
      <c r="G94" s="37"/>
      <c r="H94" s="38"/>
      <c r="I94" s="38"/>
      <c r="J94" s="38"/>
      <c r="K94" s="38"/>
      <c r="L94" s="38"/>
      <c r="M94" s="39"/>
      <c r="N94" s="39"/>
      <c r="O94" s="39"/>
      <c r="P94" s="36"/>
      <c r="Q94" s="36"/>
    </row>
    <row r="95" spans="1:17" x14ac:dyDescent="0.3">
      <c r="A95" s="101" t="s">
        <v>308</v>
      </c>
      <c r="B95" s="37">
        <f>kys24_kunnittain!P$53</f>
        <v>25.92829705505762</v>
      </c>
      <c r="C95" s="20">
        <f>VLOOKUP($B$1,elinvoimaisuus_ryhmat,16,FALSE)</f>
        <v>20.597014925373134</v>
      </c>
      <c r="D95" s="20">
        <f>VLOOKUP(Etusivu!$B$9,elinvoimaisuus_kunnat,16,FALSE)</f>
        <v>17.543859649122808</v>
      </c>
      <c r="E95" s="39"/>
      <c r="F95" s="37"/>
      <c r="G95" s="37"/>
      <c r="H95" s="38"/>
      <c r="I95" s="38"/>
      <c r="J95" s="38"/>
      <c r="K95" s="38"/>
      <c r="L95" s="38"/>
      <c r="M95" s="39"/>
      <c r="N95" s="39"/>
      <c r="O95" s="39"/>
      <c r="P95" s="36"/>
      <c r="Q95" s="36"/>
    </row>
    <row r="96" spans="1:17" x14ac:dyDescent="0.3">
      <c r="A96" s="101" t="s">
        <v>309</v>
      </c>
      <c r="B96" s="37">
        <f>kys24_kunnittain!Q$53</f>
        <v>24.775928297055057</v>
      </c>
      <c r="C96" s="20">
        <f>VLOOKUP($B$1,elinvoimaisuus_ryhmat,17,FALSE)</f>
        <v>33.731343283582092</v>
      </c>
      <c r="D96" s="20">
        <f>VLOOKUP(Etusivu!$B$9,elinvoimaisuus_kunnat,17,FALSE)</f>
        <v>50.877192982456137</v>
      </c>
      <c r="E96" s="39"/>
      <c r="F96" s="37"/>
      <c r="G96" s="37"/>
      <c r="H96" s="38"/>
      <c r="I96" s="38"/>
      <c r="J96" s="38"/>
      <c r="K96" s="38"/>
      <c r="L96" s="38"/>
      <c r="M96" s="39"/>
      <c r="N96" s="39"/>
      <c r="O96" s="39"/>
      <c r="P96" s="36"/>
      <c r="Q96" s="36"/>
    </row>
    <row r="97" spans="1:17" x14ac:dyDescent="0.3">
      <c r="A97" s="101" t="s">
        <v>310</v>
      </c>
      <c r="B97" s="37">
        <f>kys24_kunnittain!R$53</f>
        <v>32.650448143405889</v>
      </c>
      <c r="C97" s="20">
        <f>VLOOKUP($B$1,elinvoimaisuus_ryhmat,18,FALSE)</f>
        <v>31.343283582089551</v>
      </c>
      <c r="D97" s="20">
        <f>VLOOKUP(Etusivu!$B$9,elinvoimaisuus_kunnat,18,FALSE)</f>
        <v>47.368421052631582</v>
      </c>
      <c r="E97" s="39"/>
      <c r="F97" s="37"/>
      <c r="G97" s="37"/>
      <c r="H97" s="38"/>
      <c r="I97" s="38"/>
      <c r="J97" s="38"/>
      <c r="K97" s="38"/>
      <c r="L97" s="38"/>
      <c r="M97" s="39"/>
      <c r="N97" s="39"/>
      <c r="O97" s="39"/>
      <c r="P97" s="36"/>
      <c r="Q97" s="36"/>
    </row>
    <row r="98" spans="1:17" x14ac:dyDescent="0.3">
      <c r="A98" s="101" t="s">
        <v>311</v>
      </c>
      <c r="B98" s="37">
        <f>kys24_kunnittain!S$53</f>
        <v>11.075544174135723</v>
      </c>
      <c r="C98" s="20">
        <f>VLOOKUP($B$1,elinvoimaisuus_ryhmat,19,FALSE)</f>
        <v>11.044776119402986</v>
      </c>
      <c r="D98" s="20">
        <f>VLOOKUP(Etusivu!$B$9,elinvoimaisuus_kunnat,19,FALSE)</f>
        <v>10.526315789473685</v>
      </c>
      <c r="E98" s="39"/>
      <c r="F98" s="37"/>
      <c r="G98" s="37"/>
      <c r="H98" s="38"/>
      <c r="I98" s="38"/>
      <c r="J98" s="38"/>
      <c r="K98" s="38"/>
      <c r="L98" s="38"/>
      <c r="M98" s="39"/>
      <c r="N98" s="39"/>
      <c r="O98" s="39"/>
      <c r="P98" s="36"/>
      <c r="Q98" s="36"/>
    </row>
    <row r="99" spans="1:17" x14ac:dyDescent="0.3">
      <c r="A99" s="101" t="s">
        <v>312</v>
      </c>
      <c r="B99" s="37">
        <f>kys24_kunnittain!T$53</f>
        <v>16.837387964148526</v>
      </c>
      <c r="C99" s="20">
        <f>VLOOKUP($B$1,elinvoimaisuus_ryhmat,20,FALSE)</f>
        <v>20</v>
      </c>
      <c r="D99" s="20">
        <f>VLOOKUP(Etusivu!$B$9,elinvoimaisuus_kunnat,20,FALSE)</f>
        <v>10.526315789473685</v>
      </c>
      <c r="E99" s="39"/>
      <c r="F99" s="37"/>
      <c r="G99" s="37"/>
      <c r="H99" s="38"/>
      <c r="I99" s="38"/>
      <c r="J99" s="38"/>
      <c r="K99" s="38"/>
      <c r="L99" s="38"/>
      <c r="M99" s="39"/>
      <c r="N99" s="39"/>
      <c r="O99" s="39"/>
      <c r="P99" s="36"/>
      <c r="Q99" s="36"/>
    </row>
    <row r="100" spans="1:17" x14ac:dyDescent="0.3">
      <c r="A100" s="111" t="s">
        <v>378</v>
      </c>
      <c r="B100" s="37"/>
      <c r="C100" s="37"/>
      <c r="D100" s="38"/>
      <c r="E100" s="39"/>
      <c r="F100" s="37"/>
      <c r="G100" s="37"/>
      <c r="H100" s="38"/>
      <c r="I100" s="38"/>
      <c r="J100" s="38"/>
      <c r="K100" s="38"/>
      <c r="L100" s="38"/>
      <c r="M100" s="39"/>
      <c r="N100" s="39"/>
      <c r="O100" s="39"/>
      <c r="P100" s="36"/>
      <c r="Q100" s="36"/>
    </row>
    <row r="101" spans="1:17" x14ac:dyDescent="0.3">
      <c r="A101" s="36"/>
      <c r="B101" s="24" t="str">
        <f>$B$3</f>
        <v>Kaikki ARTTU kunnat</v>
      </c>
      <c r="C101" s="24" t="str">
        <f>$C$1</f>
        <v>50001-100000 as. kunnat</v>
      </c>
      <c r="D101" s="19" t="str">
        <f>Etusivu!$B$9</f>
        <v>Vaasa</v>
      </c>
      <c r="E101" s="39"/>
      <c r="F101" s="37"/>
      <c r="G101" s="37"/>
      <c r="H101" s="38"/>
      <c r="I101" s="38"/>
      <c r="J101" s="38"/>
      <c r="K101" s="38"/>
      <c r="L101" s="38"/>
      <c r="M101" s="39"/>
      <c r="N101" s="39"/>
      <c r="O101" s="39"/>
      <c r="P101" s="36"/>
      <c r="Q101" s="36"/>
    </row>
    <row r="102" spans="1:17" x14ac:dyDescent="0.3">
      <c r="A102" s="102" t="s">
        <v>313</v>
      </c>
      <c r="B102" s="42">
        <f>kys25_kunnittain!D$54</f>
        <v>3.8760600130463145</v>
      </c>
      <c r="C102" s="76">
        <f>VLOOKUP($B$1,talous_ryhmat,4,FALSE)</f>
        <v>3.7638036809815949</v>
      </c>
      <c r="D102" s="76">
        <f>VLOOKUP(Etusivu!$B$9,talous_kunnat,4,FALSE)</f>
        <v>3.6071428571428572</v>
      </c>
      <c r="E102" s="39"/>
      <c r="F102" s="37"/>
      <c r="G102" s="37"/>
      <c r="H102" s="38"/>
      <c r="I102" s="38"/>
      <c r="J102" s="38"/>
      <c r="K102" s="38"/>
      <c r="L102" s="38"/>
      <c r="M102" s="39"/>
      <c r="N102" s="39"/>
      <c r="O102" s="39"/>
      <c r="P102" s="40"/>
      <c r="Q102" s="36"/>
    </row>
    <row r="103" spans="1:17" x14ac:dyDescent="0.3">
      <c r="A103" s="102" t="s">
        <v>314</v>
      </c>
      <c r="B103" s="42">
        <f>kys25_kunnittain!E$54</f>
        <v>3.3849703361898484</v>
      </c>
      <c r="C103" s="76">
        <f>VLOOKUP($B$1,talous_ryhmat,5,FALSE)</f>
        <v>3.4845679012345681</v>
      </c>
      <c r="D103" s="76">
        <f>VLOOKUP(Etusivu!$B$9,talous_kunnat,5,FALSE)</f>
        <v>3.4</v>
      </c>
      <c r="E103" s="39"/>
      <c r="F103" s="37"/>
      <c r="G103" s="37"/>
      <c r="H103" s="38"/>
      <c r="I103" s="38"/>
      <c r="J103" s="38"/>
      <c r="K103" s="38"/>
      <c r="L103" s="38"/>
      <c r="M103" s="39"/>
      <c r="N103" s="39"/>
      <c r="O103" s="39"/>
      <c r="P103" s="40"/>
      <c r="Q103" s="36"/>
    </row>
    <row r="104" spans="1:17" x14ac:dyDescent="0.3">
      <c r="A104" s="102" t="s">
        <v>315</v>
      </c>
      <c r="B104" s="42">
        <f>kys25_kunnittain!F$54</f>
        <v>2.9791395045632334</v>
      </c>
      <c r="C104" s="76">
        <f>VLOOKUP($B$1,talous_ryhmat,6,FALSE)</f>
        <v>2.9939209726443767</v>
      </c>
      <c r="D104" s="76">
        <f>VLOOKUP(Etusivu!$B$9,talous_kunnat,6,FALSE)</f>
        <v>2.875</v>
      </c>
      <c r="E104" s="39"/>
      <c r="F104" s="37"/>
      <c r="G104" s="37"/>
      <c r="H104" s="38"/>
      <c r="I104" s="38"/>
      <c r="J104" s="38"/>
      <c r="K104" s="38"/>
      <c r="L104" s="38"/>
      <c r="M104" s="39"/>
      <c r="N104" s="39"/>
      <c r="O104" s="39"/>
      <c r="P104" s="36"/>
      <c r="Q104" s="36"/>
    </row>
    <row r="105" spans="1:17" x14ac:dyDescent="0.3">
      <c r="A105" s="102" t="s">
        <v>316</v>
      </c>
      <c r="B105" s="42">
        <f>kys25_kunnittain!G$54</f>
        <v>2.8996763754045309</v>
      </c>
      <c r="C105" s="76">
        <f>VLOOKUP($B$1,talous_ryhmat,7,FALSE)</f>
        <v>2.9303030303030302</v>
      </c>
      <c r="D105" s="76">
        <f>VLOOKUP(Etusivu!$B$9,talous_kunnat,7,FALSE)</f>
        <v>3.3333333333333335</v>
      </c>
      <c r="E105" s="39"/>
      <c r="F105" s="37"/>
      <c r="G105" s="37"/>
      <c r="H105" s="38"/>
      <c r="I105" s="38"/>
      <c r="J105" s="38"/>
      <c r="K105" s="38"/>
      <c r="L105" s="38"/>
      <c r="M105" s="39"/>
      <c r="N105" s="39"/>
      <c r="O105" s="39"/>
      <c r="P105" s="36"/>
      <c r="Q105" s="36"/>
    </row>
    <row r="106" spans="1:17" x14ac:dyDescent="0.3">
      <c r="A106" s="102" t="s">
        <v>317</v>
      </c>
      <c r="B106" s="42">
        <f>kys25_kunnittain!H$54</f>
        <v>2.7905759162303663</v>
      </c>
      <c r="C106" s="76">
        <f>VLOOKUP($B$1,talous_ryhmat,8,FALSE)</f>
        <v>2.8079268292682928</v>
      </c>
      <c r="D106" s="76">
        <f>VLOOKUP(Etusivu!$B$9,talous_kunnat,8,FALSE)</f>
        <v>2.8421052631578947</v>
      </c>
      <c r="E106" s="39"/>
      <c r="F106" s="37"/>
      <c r="G106" s="37"/>
      <c r="H106" s="38"/>
      <c r="I106" s="38"/>
      <c r="J106" s="38"/>
      <c r="K106" s="38"/>
      <c r="L106" s="38"/>
      <c r="M106" s="39"/>
      <c r="N106" s="39"/>
      <c r="O106" s="39"/>
      <c r="P106" s="36"/>
      <c r="Q106" s="36"/>
    </row>
    <row r="107" spans="1:17" x14ac:dyDescent="0.3">
      <c r="A107" s="102" t="s">
        <v>318</v>
      </c>
      <c r="B107" s="42">
        <f>kys25_kunnittain!I$54</f>
        <v>4.3190507580751483</v>
      </c>
      <c r="C107" s="76">
        <f>VLOOKUP($B$1,talous_ryhmat,9,FALSE)</f>
        <v>4.3938461538461535</v>
      </c>
      <c r="D107" s="76">
        <f>VLOOKUP(Etusivu!$B$9,talous_kunnat,9,FALSE)</f>
        <v>4.0714285714285712</v>
      </c>
      <c r="E107" s="39"/>
      <c r="F107" s="37"/>
      <c r="G107" s="37"/>
      <c r="H107" s="38"/>
      <c r="I107" s="38"/>
      <c r="J107" s="38"/>
      <c r="K107" s="38"/>
      <c r="L107" s="38"/>
      <c r="M107" s="39"/>
      <c r="N107" s="39"/>
      <c r="O107" s="39"/>
      <c r="P107" s="36"/>
      <c r="Q107" s="36"/>
    </row>
    <row r="108" spans="1:17" x14ac:dyDescent="0.3">
      <c r="A108" s="102" t="s">
        <v>319</v>
      </c>
      <c r="B108" s="42">
        <f>kys25_kunnittain!J$54</f>
        <v>4.0982083609820839</v>
      </c>
      <c r="C108" s="76">
        <f>VLOOKUP($B$1,talous_ryhmat,10,FALSE)</f>
        <v>4.192660550458716</v>
      </c>
      <c r="D108" s="76">
        <f>VLOOKUP(Etusivu!$B$9,talous_kunnat,10,FALSE)</f>
        <v>4.1052631578947372</v>
      </c>
      <c r="E108" s="39"/>
      <c r="F108" s="37"/>
      <c r="G108" s="37"/>
      <c r="H108" s="38"/>
      <c r="I108" s="38"/>
      <c r="J108" s="38"/>
      <c r="K108" s="38"/>
      <c r="L108" s="38"/>
      <c r="M108" s="39"/>
      <c r="N108" s="39"/>
      <c r="O108" s="39"/>
      <c r="P108" s="36"/>
      <c r="Q108" s="36"/>
    </row>
    <row r="109" spans="1:17" x14ac:dyDescent="0.3">
      <c r="A109" s="102" t="s">
        <v>320</v>
      </c>
      <c r="B109" s="42">
        <f>kys25_kunnittain!K$54</f>
        <v>2.9980430528375734</v>
      </c>
      <c r="C109" s="76">
        <f>VLOOKUP($B$1,talous_ryhmat,11,FALSE)</f>
        <v>3.1752265861027191</v>
      </c>
      <c r="D109" s="76">
        <f>VLOOKUP(Etusivu!$B$9,talous_kunnat,11,FALSE)</f>
        <v>3.2321428571428572</v>
      </c>
      <c r="E109" s="39"/>
      <c r="F109" s="37"/>
      <c r="G109" s="37"/>
      <c r="H109" s="38"/>
      <c r="I109" s="38"/>
      <c r="J109" s="38"/>
      <c r="K109" s="38"/>
      <c r="L109" s="38"/>
      <c r="M109" s="39"/>
      <c r="N109" s="39"/>
      <c r="O109" s="39"/>
      <c r="P109" s="36"/>
      <c r="Q109" s="36"/>
    </row>
    <row r="110" spans="1:17" x14ac:dyDescent="0.3">
      <c r="A110" s="102" t="s">
        <v>321</v>
      </c>
      <c r="B110" s="42">
        <f>kys25_kunnittain!L$54</f>
        <v>2.9887118193891102</v>
      </c>
      <c r="C110" s="76">
        <f>VLOOKUP($B$1,talous_ryhmat,12,FALSE)</f>
        <v>3.3146417445482865</v>
      </c>
      <c r="D110" s="76">
        <f>VLOOKUP(Etusivu!$B$9,talous_kunnat,12,FALSE)</f>
        <v>3.1607142857142856</v>
      </c>
      <c r="E110" s="39"/>
      <c r="F110" s="37"/>
      <c r="G110" s="37"/>
      <c r="H110" s="38"/>
      <c r="I110" s="38"/>
      <c r="J110" s="38"/>
      <c r="K110" s="38"/>
      <c r="L110" s="38"/>
      <c r="M110" s="39"/>
      <c r="N110" s="39"/>
      <c r="O110" s="39"/>
      <c r="P110" s="36"/>
      <c r="Q110" s="36"/>
    </row>
    <row r="111" spans="1:17" x14ac:dyDescent="0.3">
      <c r="A111" s="102" t="s">
        <v>322</v>
      </c>
      <c r="B111" s="42">
        <f>kys25_kunnittain!M$54</f>
        <v>3.7408177408177408</v>
      </c>
      <c r="C111" s="76">
        <f>VLOOKUP($B$1,talous_ryhmat,13,FALSE)</f>
        <v>3.7889610389610389</v>
      </c>
      <c r="D111" s="76">
        <f>VLOOKUP(Etusivu!$B$9,talous_kunnat,13,FALSE)</f>
        <v>3.7692307692307692</v>
      </c>
      <c r="E111" s="39"/>
      <c r="F111" s="37"/>
      <c r="G111" s="37"/>
      <c r="H111" s="38"/>
      <c r="I111" s="38"/>
      <c r="J111" s="38"/>
      <c r="K111" s="38"/>
      <c r="L111" s="38"/>
      <c r="M111" s="39"/>
      <c r="N111" s="39"/>
      <c r="O111" s="39"/>
      <c r="P111" s="36"/>
      <c r="Q111" s="36"/>
    </row>
    <row r="112" spans="1:17" x14ac:dyDescent="0.3">
      <c r="A112" s="115" t="s">
        <v>379</v>
      </c>
      <c r="B112" s="37"/>
      <c r="C112" s="37"/>
      <c r="D112" s="38"/>
      <c r="E112" s="39"/>
      <c r="F112" s="37"/>
      <c r="G112" s="37"/>
      <c r="H112" s="38"/>
      <c r="I112" s="38"/>
      <c r="J112" s="38"/>
      <c r="K112" s="38"/>
      <c r="L112" s="38"/>
      <c r="M112" s="39"/>
      <c r="N112" s="39"/>
      <c r="O112" s="39"/>
      <c r="P112" s="36"/>
      <c r="Q112" s="36"/>
    </row>
    <row r="113" spans="1:17" x14ac:dyDescent="0.3">
      <c r="A113" s="36"/>
      <c r="B113" s="24" t="str">
        <f>$B$3</f>
        <v>Kaikki ARTTU kunnat</v>
      </c>
      <c r="C113" s="24" t="str">
        <f>$C$1</f>
        <v>50001-100000 as. kunnat</v>
      </c>
      <c r="D113" s="19" t="str">
        <f>Etusivu!$B$9</f>
        <v>Vaasa</v>
      </c>
      <c r="E113" s="39"/>
      <c r="F113" s="37"/>
      <c r="G113" s="37"/>
      <c r="H113" s="38"/>
      <c r="I113" s="38"/>
      <c r="J113" s="38"/>
      <c r="K113" s="38"/>
      <c r="L113" s="38"/>
      <c r="M113" s="39"/>
      <c r="N113" s="39"/>
      <c r="O113" s="39"/>
      <c r="P113" s="36"/>
      <c r="Q113" s="36"/>
    </row>
    <row r="114" spans="1:17" x14ac:dyDescent="0.3">
      <c r="A114" s="102" t="s">
        <v>323</v>
      </c>
      <c r="B114" s="42">
        <f>kys26_kunnittain!D$53</f>
        <v>3.2213592233009707</v>
      </c>
      <c r="C114" s="76">
        <f>VLOOKUP($B$1,vaikuttaminen_ryhmat,4,FALSE)</f>
        <v>3.1424242424242426</v>
      </c>
      <c r="D114" s="76">
        <f>VLOOKUP(Etusivu!$B$9,vaikuttaminen_kunnat,4,FALSE)</f>
        <v>3.0175438596491229</v>
      </c>
      <c r="E114" s="39"/>
      <c r="F114" s="37"/>
      <c r="G114" s="37"/>
      <c r="H114" s="38"/>
      <c r="I114" s="38"/>
      <c r="J114" s="38"/>
      <c r="K114" s="38"/>
      <c r="L114" s="38"/>
      <c r="M114" s="39"/>
      <c r="N114" s="39"/>
      <c r="O114" s="39"/>
      <c r="P114" s="36"/>
      <c r="Q114" s="36"/>
    </row>
    <row r="115" spans="1:17" x14ac:dyDescent="0.3">
      <c r="A115" s="102" t="s">
        <v>324</v>
      </c>
      <c r="B115" s="42">
        <f>kys26_kunnittain!E$53</f>
        <v>2.948801036941024</v>
      </c>
      <c r="C115" s="76">
        <f>VLOOKUP($B$1,vaikuttaminen_ryhmat,5,FALSE)</f>
        <v>2.8231707317073171</v>
      </c>
      <c r="D115" s="76">
        <f>VLOOKUP(Etusivu!$B$9,vaikuttaminen_kunnat,5,FALSE)</f>
        <v>2.7543859649122808</v>
      </c>
      <c r="E115" s="39"/>
      <c r="F115" s="37"/>
      <c r="G115" s="37"/>
      <c r="H115" s="38"/>
      <c r="I115" s="38"/>
      <c r="J115" s="38"/>
      <c r="K115" s="38"/>
      <c r="L115" s="38"/>
      <c r="M115" s="39"/>
      <c r="N115" s="39"/>
      <c r="O115" s="39"/>
      <c r="P115" s="36"/>
      <c r="Q115" s="36"/>
    </row>
    <row r="116" spans="1:17" x14ac:dyDescent="0.3">
      <c r="A116" s="102" t="s">
        <v>325</v>
      </c>
      <c r="B116" s="42">
        <f>kys26_kunnittain!F$53</f>
        <v>2.8561197916666665</v>
      </c>
      <c r="C116" s="76">
        <f>VLOOKUP($B$1,vaikuttaminen_ryhmat,6,FALSE)</f>
        <v>2.735562310030395</v>
      </c>
      <c r="D116" s="76">
        <f>VLOOKUP(Etusivu!$B$9,vaikuttaminen_kunnat,6,FALSE)</f>
        <v>2.6666666666666665</v>
      </c>
      <c r="E116" s="39"/>
      <c r="F116" s="37"/>
      <c r="G116" s="37"/>
      <c r="H116" s="38"/>
      <c r="I116" s="38"/>
      <c r="J116" s="38"/>
      <c r="K116" s="38"/>
      <c r="L116" s="38"/>
      <c r="M116" s="39"/>
      <c r="N116" s="39"/>
      <c r="O116" s="39"/>
      <c r="P116" s="36"/>
      <c r="Q116" s="36"/>
    </row>
    <row r="117" spans="1:17" x14ac:dyDescent="0.3">
      <c r="A117" s="102" t="s">
        <v>326</v>
      </c>
      <c r="B117" s="42">
        <f>kys26_kunnittain!G$53</f>
        <v>2.8735408560311284</v>
      </c>
      <c r="C117" s="76">
        <f>VLOOKUP($B$1,vaikuttaminen_ryhmat,7,FALSE)</f>
        <v>2.7798165137614679</v>
      </c>
      <c r="D117" s="76">
        <f>VLOOKUP(Etusivu!$B$9,vaikuttaminen_kunnat,7,FALSE)</f>
        <v>2.6785714285714284</v>
      </c>
      <c r="E117" s="39"/>
      <c r="F117" s="37"/>
      <c r="G117" s="37"/>
      <c r="H117" s="38"/>
      <c r="I117" s="38"/>
      <c r="J117" s="38"/>
      <c r="K117" s="38"/>
      <c r="L117" s="38"/>
      <c r="M117" s="39"/>
      <c r="N117" s="39"/>
      <c r="O117" s="39"/>
      <c r="P117" s="36"/>
      <c r="Q117" s="36"/>
    </row>
    <row r="118" spans="1:17" x14ac:dyDescent="0.3">
      <c r="A118" s="102" t="s">
        <v>327</v>
      </c>
      <c r="B118" s="42">
        <f>kys26_kunnittain!H$53</f>
        <v>2.7469095640858816</v>
      </c>
      <c r="C118" s="76">
        <f>VLOOKUP($B$1,vaikuttaminen_ryhmat,8,FALSE)</f>
        <v>2.6128048780487805</v>
      </c>
      <c r="D118" s="76">
        <f>VLOOKUP(Etusivu!$B$9,vaikuttaminen_kunnat,8,FALSE)</f>
        <v>2.5964912280701755</v>
      </c>
      <c r="E118" s="39"/>
      <c r="F118" s="37"/>
      <c r="G118" s="37"/>
      <c r="H118" s="38"/>
      <c r="I118" s="38"/>
      <c r="J118" s="38"/>
      <c r="K118" s="38"/>
      <c r="L118" s="38"/>
      <c r="M118" s="39"/>
      <c r="N118" s="39"/>
      <c r="O118" s="39"/>
      <c r="P118" s="36"/>
      <c r="Q118" s="36"/>
    </row>
    <row r="119" spans="1:17" x14ac:dyDescent="0.3">
      <c r="A119" s="102" t="s">
        <v>328</v>
      </c>
      <c r="B119" s="42">
        <f>kys26_kunnittain!I$53</f>
        <v>2.8219623131903835</v>
      </c>
      <c r="C119" s="76">
        <f>VLOOKUP($B$1,vaikuttaminen_ryhmat,9,FALSE)</f>
        <v>2.7286585365853657</v>
      </c>
      <c r="D119" s="76">
        <f>VLOOKUP(Etusivu!$B$9,vaikuttaminen_kunnat,9,FALSE)</f>
        <v>2.736842105263158</v>
      </c>
      <c r="E119" s="39"/>
      <c r="F119" s="37"/>
      <c r="G119" s="37"/>
      <c r="H119" s="38"/>
      <c r="I119" s="38"/>
      <c r="J119" s="38"/>
      <c r="K119" s="38"/>
      <c r="L119" s="38"/>
      <c r="M119" s="39"/>
      <c r="N119" s="39"/>
      <c r="O119" s="39"/>
      <c r="P119" s="36"/>
      <c r="Q119" s="36"/>
    </row>
    <row r="120" spans="1:17" x14ac:dyDescent="0.3">
      <c r="A120" s="102" t="s">
        <v>329</v>
      </c>
      <c r="B120" s="42">
        <f>kys26_kunnittain!J$53</f>
        <v>2.4147135416666665</v>
      </c>
      <c r="C120" s="76">
        <f>VLOOKUP($B$1,vaikuttaminen_ryhmat,10,FALSE)</f>
        <v>2.3170731707317072</v>
      </c>
      <c r="D120" s="76">
        <f>VLOOKUP(Etusivu!$B$9,vaikuttaminen_kunnat,10,FALSE)</f>
        <v>2.2105263157894739</v>
      </c>
      <c r="E120" s="39"/>
      <c r="F120" s="37"/>
      <c r="G120" s="37"/>
      <c r="H120" s="38"/>
      <c r="I120" s="38"/>
      <c r="J120" s="38"/>
      <c r="K120" s="38"/>
      <c r="L120" s="38"/>
      <c r="M120" s="39"/>
      <c r="N120" s="39"/>
      <c r="O120" s="39"/>
      <c r="P120" s="36"/>
      <c r="Q120" s="36"/>
    </row>
    <row r="121" spans="1:17" x14ac:dyDescent="0.3">
      <c r="A121" s="102" t="s">
        <v>330</v>
      </c>
      <c r="B121" s="42">
        <f>kys26_kunnittain!K$53</f>
        <v>2.6943543153796234</v>
      </c>
      <c r="C121" s="76">
        <f>VLOOKUP($B$1,vaikuttaminen_ryhmat,11,FALSE)</f>
        <v>2.5349544072948329</v>
      </c>
      <c r="D121" s="76">
        <f>VLOOKUP(Etusivu!$B$9,vaikuttaminen_kunnat,11,FALSE)</f>
        <v>2.4210526315789473</v>
      </c>
      <c r="E121" s="39"/>
      <c r="F121" s="41"/>
      <c r="G121" s="41"/>
      <c r="H121" s="39"/>
      <c r="I121" s="39"/>
      <c r="J121" s="39"/>
      <c r="K121" s="39"/>
      <c r="L121" s="39"/>
      <c r="M121" s="42"/>
      <c r="N121" s="39"/>
      <c r="O121" s="39"/>
      <c r="P121" s="36"/>
      <c r="Q121" s="36"/>
    </row>
    <row r="122" spans="1:17" x14ac:dyDescent="0.3">
      <c r="A122" s="102" t="s">
        <v>331</v>
      </c>
      <c r="B122" s="42">
        <f>kys26_kunnittain!L$53</f>
        <v>2.5667098445595853</v>
      </c>
      <c r="C122" s="76">
        <f>VLOOKUP($B$1,vaikuttaminen_ryhmat,12,FALSE)</f>
        <v>2.4194528875379939</v>
      </c>
      <c r="D122" s="76">
        <f>VLOOKUP(Etusivu!$B$9,vaikuttaminen_kunnat,12,FALSE)</f>
        <v>2.4561403508771931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6"/>
      <c r="Q122" s="36"/>
    </row>
    <row r="123" spans="1:17" x14ac:dyDescent="0.3">
      <c r="A123" s="102" t="s">
        <v>332</v>
      </c>
      <c r="B123" s="42">
        <f>kys26_kunnittain!M$53</f>
        <v>2.4633354964308891</v>
      </c>
      <c r="C123" s="76">
        <f>VLOOKUP($B$1,vaikuttaminen_ryhmat,13,FALSE)</f>
        <v>2.4133738601823707</v>
      </c>
      <c r="D123" s="76">
        <f>VLOOKUP(Etusivu!$B$9,vaikuttaminen_kunnat,13,FALSE)</f>
        <v>2.4912280701754388</v>
      </c>
      <c r="E123" s="39"/>
      <c r="F123" s="44"/>
      <c r="G123" s="44"/>
      <c r="H123" s="44"/>
      <c r="I123" s="44"/>
      <c r="J123" s="44"/>
      <c r="K123" s="44"/>
      <c r="L123" s="44"/>
      <c r="M123" s="39"/>
      <c r="N123" s="39"/>
      <c r="O123" s="39"/>
      <c r="P123" s="36"/>
      <c r="Q123" s="36"/>
    </row>
    <row r="124" spans="1:17" x14ac:dyDescent="0.3">
      <c r="A124" s="102" t="s">
        <v>333</v>
      </c>
      <c r="B124" s="42">
        <f>kys26_kunnittain!N$53</f>
        <v>2.1117608836907085</v>
      </c>
      <c r="C124" s="76">
        <f>VLOOKUP($B$1,vaikuttaminen_ryhmat,14,FALSE)</f>
        <v>2.1036585365853657</v>
      </c>
      <c r="D124" s="76">
        <f>VLOOKUP(Etusivu!$B$9,vaikuttaminen_kunnat,14,FALSE)</f>
        <v>1.9824561403508771</v>
      </c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6"/>
      <c r="Q124" s="36"/>
    </row>
    <row r="125" spans="1:17" x14ac:dyDescent="0.3">
      <c r="A125" s="102" t="s">
        <v>334</v>
      </c>
      <c r="B125" s="42">
        <f>kys26_kunnittain!O$53</f>
        <v>2.38296488946684</v>
      </c>
      <c r="C125" s="76">
        <f>VLOOKUP($B$1,vaikuttaminen_ryhmat,15,FALSE)</f>
        <v>2.3525835866261398</v>
      </c>
      <c r="D125" s="76">
        <f>VLOOKUP(Etusivu!$B$9,vaikuttaminen_kunnat,15,FALSE)</f>
        <v>2.1964285714285716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6"/>
      <c r="Q125" s="36"/>
    </row>
    <row r="126" spans="1:17" x14ac:dyDescent="0.3">
      <c r="A126" s="102" t="s">
        <v>335</v>
      </c>
      <c r="B126" s="42">
        <f>kys26_kunnittain!P$53</f>
        <v>2.2918848167539267</v>
      </c>
      <c r="C126" s="76">
        <f>VLOOKUP($B$1,vaikuttaminen_ryhmat,16,FALSE)</f>
        <v>2.3354037267080745</v>
      </c>
      <c r="D126" s="76">
        <f>VLOOKUP(Etusivu!$B$9,vaikuttaminen_kunnat,16,FALSE)</f>
        <v>2.1071428571428572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6"/>
      <c r="Q126" s="36"/>
    </row>
    <row r="127" spans="1:17" x14ac:dyDescent="0.3">
      <c r="A127" s="102" t="s">
        <v>336</v>
      </c>
      <c r="B127" s="42">
        <f>kys26_kunnittain!Q$53</f>
        <v>2.5162972620599739</v>
      </c>
      <c r="C127" s="76">
        <f>VLOOKUP($B$1,vaikuttaminen_ryhmat,17,FALSE)</f>
        <v>2.4189602446483178</v>
      </c>
      <c r="D127" s="76">
        <f>VLOOKUP(Etusivu!$B$9,vaikuttaminen_kunnat,17,FALSE)</f>
        <v>2.2807017543859649</v>
      </c>
      <c r="E127" s="46"/>
      <c r="F127" s="47"/>
      <c r="G127" s="47"/>
      <c r="H127" s="44"/>
      <c r="I127" s="44"/>
      <c r="J127" s="44"/>
      <c r="K127" s="44"/>
      <c r="L127" s="44"/>
      <c r="M127" s="39"/>
      <c r="N127" s="39"/>
      <c r="O127" s="39"/>
      <c r="P127" s="36"/>
      <c r="Q127" s="36"/>
    </row>
    <row r="128" spans="1:17" x14ac:dyDescent="0.3">
      <c r="A128" s="102" t="s">
        <v>337</v>
      </c>
      <c r="B128" s="42">
        <f>kys26_kunnittain!R$53</f>
        <v>2.4263465282284229</v>
      </c>
      <c r="C128" s="76">
        <f>VLOOKUP($B$1,vaikuttaminen_ryhmat,18,FALSE)</f>
        <v>2.3545454545454545</v>
      </c>
      <c r="D128" s="76">
        <f>VLOOKUP(Etusivu!$B$9,vaikuttaminen_kunnat,18,FALSE)</f>
        <v>2.2105263157894739</v>
      </c>
      <c r="E128" s="46"/>
      <c r="F128" s="47"/>
      <c r="G128" s="47"/>
      <c r="H128" s="44"/>
      <c r="I128" s="44"/>
      <c r="J128" s="44"/>
      <c r="K128" s="44"/>
      <c r="L128" s="44"/>
      <c r="M128" s="39"/>
      <c r="N128" s="39"/>
      <c r="O128" s="39"/>
      <c r="P128" s="36"/>
      <c r="Q128" s="36"/>
    </row>
    <row r="129" spans="1:17" x14ac:dyDescent="0.3">
      <c r="A129" s="102" t="s">
        <v>338</v>
      </c>
      <c r="B129" s="42">
        <f>kys26_kunnittain!S$53</f>
        <v>2.5627846454131427</v>
      </c>
      <c r="C129" s="76">
        <f>VLOOKUP($B$1,vaikuttaminen_ryhmat,19,FALSE)</f>
        <v>2.403669724770642</v>
      </c>
      <c r="D129" s="76">
        <f>VLOOKUP(Etusivu!$B$9,vaikuttaminen_kunnat,19,FALSE)</f>
        <v>2.1754385964912282</v>
      </c>
      <c r="E129" s="46"/>
      <c r="F129" s="47"/>
      <c r="G129" s="47"/>
      <c r="H129" s="44"/>
      <c r="I129" s="44"/>
      <c r="J129" s="44"/>
      <c r="K129" s="44"/>
      <c r="L129" s="44"/>
      <c r="M129" s="39"/>
      <c r="N129" s="39"/>
      <c r="O129" s="39"/>
      <c r="P129" s="36"/>
      <c r="Q129" s="36"/>
    </row>
    <row r="130" spans="1:17" x14ac:dyDescent="0.3">
      <c r="A130" s="102" t="s">
        <v>339</v>
      </c>
      <c r="B130" s="42">
        <f>kys26_kunnittain!T$53</f>
        <v>2.7840314136125652</v>
      </c>
      <c r="C130" s="76">
        <f>VLOOKUP($B$1,vaikuttaminen_ryhmat,20,FALSE)</f>
        <v>2.6757575757575758</v>
      </c>
      <c r="D130" s="76">
        <f>VLOOKUP(Etusivu!$B$9,vaikuttaminen_kunnat,20,FALSE)</f>
        <v>2.4736842105263159</v>
      </c>
      <c r="E130" s="46"/>
      <c r="F130" s="47"/>
      <c r="G130" s="47"/>
      <c r="H130" s="44"/>
      <c r="I130" s="44"/>
      <c r="J130" s="44"/>
      <c r="K130" s="44"/>
      <c r="L130" s="44"/>
      <c r="M130" s="39"/>
      <c r="N130" s="39"/>
      <c r="O130" s="39"/>
      <c r="P130" s="36"/>
      <c r="Q130" s="36"/>
    </row>
    <row r="131" spans="1:17" x14ac:dyDescent="0.3">
      <c r="A131" s="115" t="s">
        <v>380</v>
      </c>
      <c r="B131" s="45"/>
      <c r="C131" s="45"/>
      <c r="D131" s="44"/>
      <c r="E131" s="46"/>
      <c r="F131" s="47"/>
      <c r="G131" s="47"/>
      <c r="H131" s="44"/>
      <c r="I131" s="44"/>
      <c r="J131" s="44"/>
      <c r="K131" s="44"/>
      <c r="L131" s="44"/>
      <c r="M131" s="39"/>
      <c r="N131" s="39"/>
      <c r="O131" s="39"/>
      <c r="P131" s="36"/>
      <c r="Q131" s="36"/>
    </row>
    <row r="132" spans="1:17" x14ac:dyDescent="0.3">
      <c r="A132" s="36"/>
      <c r="B132" s="24" t="str">
        <f>$B$3</f>
        <v>Kaikki ARTTU kunnat</v>
      </c>
      <c r="C132" s="24" t="str">
        <f>$C$1</f>
        <v>50001-100000 as. kunnat</v>
      </c>
      <c r="D132" s="19" t="str">
        <f>Etusivu!$B$9</f>
        <v>Vaasa</v>
      </c>
      <c r="E132" s="46"/>
      <c r="F132" s="47"/>
      <c r="G132" s="47"/>
      <c r="H132" s="44"/>
      <c r="I132" s="44"/>
      <c r="J132" s="44"/>
      <c r="K132" s="44"/>
      <c r="L132" s="44"/>
      <c r="M132" s="39"/>
      <c r="N132" s="39"/>
      <c r="O132" s="39"/>
      <c r="P132" s="36"/>
      <c r="Q132" s="36"/>
    </row>
    <row r="133" spans="1:17" x14ac:dyDescent="0.3">
      <c r="A133" s="102" t="s">
        <v>340</v>
      </c>
      <c r="B133" s="114">
        <f>kys27_kunnittain!D$54</f>
        <v>3.7666021921341071</v>
      </c>
      <c r="C133" s="76">
        <f>VLOOKUP($B$1,vaikutusvalta_ryhmat,4,FALSE)</f>
        <v>3.790909090909091</v>
      </c>
      <c r="D133" s="76">
        <f>VLOOKUP(Etusivu!$B$9,vaikutusvalta_kunnat,4,FALSE)</f>
        <v>3.807017543859649</v>
      </c>
      <c r="E133" s="46"/>
      <c r="F133" s="47"/>
      <c r="G133" s="47"/>
      <c r="H133" s="44"/>
      <c r="I133" s="44"/>
      <c r="J133" s="44"/>
      <c r="K133" s="44"/>
      <c r="L133" s="44"/>
      <c r="M133" s="39"/>
      <c r="N133" s="39"/>
      <c r="O133" s="39"/>
      <c r="P133" s="36"/>
      <c r="Q133" s="36"/>
    </row>
    <row r="134" spans="1:17" x14ac:dyDescent="0.3">
      <c r="A134" s="102" t="s">
        <v>341</v>
      </c>
      <c r="B134" s="114">
        <f>kys27_kunnittain!E$54</f>
        <v>4.4405684754521966</v>
      </c>
      <c r="C134" s="76">
        <f>VLOOKUP($B$1,vaikutusvalta_ryhmat,5,FALSE)</f>
        <v>4.3981762917933134</v>
      </c>
      <c r="D134" s="76">
        <f>VLOOKUP(Etusivu!$B$9,vaikutusvalta_kunnat,5,FALSE)</f>
        <v>4.6071428571428568</v>
      </c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6"/>
      <c r="Q134" s="36"/>
    </row>
    <row r="135" spans="1:17" x14ac:dyDescent="0.3">
      <c r="A135" s="102" t="s">
        <v>342</v>
      </c>
      <c r="B135" s="114">
        <f>kys27_kunnittain!F$54</f>
        <v>3.3662979830839297</v>
      </c>
      <c r="C135" s="76">
        <f>VLOOKUP($B$1,vaikutusvalta_ryhmat,6,FALSE)</f>
        <v>3.1809815950920246</v>
      </c>
      <c r="D135" s="76">
        <f>VLOOKUP(Etusivu!$B$9,vaikutusvalta_kunnat,6,FALSE)</f>
        <v>3.0175438596491229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6"/>
      <c r="Q135" s="36"/>
    </row>
    <row r="136" spans="1:17" x14ac:dyDescent="0.3">
      <c r="A136" s="102" t="s">
        <v>343</v>
      </c>
      <c r="B136" s="114">
        <f>kys27_kunnittain!G$54</f>
        <v>3.5339805825242721</v>
      </c>
      <c r="C136" s="76">
        <f>VLOOKUP($B$1,vaikutusvalta_ryhmat,7,FALSE)</f>
        <v>3.5136778115501519</v>
      </c>
      <c r="D136" s="76">
        <f>VLOOKUP(Etusivu!$B$9,vaikutusvalta_kunnat,7,FALSE)</f>
        <v>3.75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6"/>
      <c r="Q136" s="36"/>
    </row>
    <row r="137" spans="1:17" x14ac:dyDescent="0.3">
      <c r="A137" s="102" t="s">
        <v>344</v>
      </c>
      <c r="B137" s="114">
        <f>kys27_kunnittain!H$54</f>
        <v>4.0673139158576053</v>
      </c>
      <c r="C137" s="76">
        <f>VLOOKUP($B$1,vaikutusvalta_ryhmat,8,FALSE)</f>
        <v>3.9606060606060605</v>
      </c>
      <c r="D137" s="76">
        <f>VLOOKUP(Etusivu!$B$9,vaikutusvalta_kunnat,8,FALSE)</f>
        <v>4.1228070175438596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6"/>
      <c r="Q137" s="36"/>
    </row>
    <row r="138" spans="1:17" x14ac:dyDescent="0.3">
      <c r="A138" s="102" t="s">
        <v>345</v>
      </c>
      <c r="B138" s="114">
        <f>kys27_kunnittain!I$54</f>
        <v>4.337662337662338</v>
      </c>
      <c r="C138" s="76">
        <f>VLOOKUP($B$1,vaikutusvalta_ryhmat,9,FALSE)</f>
        <v>4.238670694864048</v>
      </c>
      <c r="D138" s="76">
        <f>VLOOKUP(Etusivu!$B$9,vaikutusvalta_kunnat,9,FALSE)</f>
        <v>4.1228070175438596</v>
      </c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6"/>
      <c r="Q138" s="36"/>
    </row>
    <row r="139" spans="1:17" x14ac:dyDescent="0.3">
      <c r="A139" s="102" t="s">
        <v>346</v>
      </c>
      <c r="B139" s="114">
        <f>kys27_kunnittain!J$54</f>
        <v>3.8914027149321266</v>
      </c>
      <c r="C139" s="76">
        <f>VLOOKUP($B$1,vaikutusvalta_ryhmat,10,FALSE)</f>
        <v>3.9300911854103342</v>
      </c>
      <c r="D139" s="76">
        <f>VLOOKUP(Etusivu!$B$9,vaikutusvalta_kunnat,10,FALSE)</f>
        <v>3.7719298245614037</v>
      </c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1:17" x14ac:dyDescent="0.3">
      <c r="A140" s="102" t="s">
        <v>347</v>
      </c>
      <c r="B140" s="114">
        <f>kys27_kunnittain!K$54</f>
        <v>2.6580478345184226</v>
      </c>
      <c r="C140" s="76">
        <f>VLOOKUP($B$1,vaikutusvalta_ryhmat,11,FALSE)</f>
        <v>2.6261398176291793</v>
      </c>
      <c r="D140" s="76">
        <f>VLOOKUP(Etusivu!$B$9,vaikutusvalta_kunnat,11,FALSE)</f>
        <v>2.3508771929824563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</row>
    <row r="141" spans="1:17" x14ac:dyDescent="0.3">
      <c r="A141" s="102" t="s">
        <v>348</v>
      </c>
      <c r="B141" s="114">
        <f>kys27_kunnittain!L$54</f>
        <v>2.3852140077821011</v>
      </c>
      <c r="C141" s="76">
        <f>VLOOKUP($B$1,vaikutusvalta_ryhmat,12,FALSE)</f>
        <v>2.3696969696969696</v>
      </c>
      <c r="D141" s="76">
        <f>VLOOKUP(Etusivu!$B$9,vaikutusvalta_kunnat,12,FALSE)</f>
        <v>2.1403508771929824</v>
      </c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</row>
    <row r="142" spans="1:17" x14ac:dyDescent="0.3">
      <c r="A142" s="102" t="s">
        <v>349</v>
      </c>
      <c r="B142" s="114">
        <f>kys27_kunnittain!M$54</f>
        <v>3.6391953277092797</v>
      </c>
      <c r="C142" s="76">
        <f>VLOOKUP($B$1,vaikutusvalta_ryhmat,13,FALSE)</f>
        <v>3.603030303030303</v>
      </c>
      <c r="D142" s="76">
        <f>VLOOKUP(Etusivu!$B$9,vaikutusvalta_kunnat,13,FALSE)</f>
        <v>3.5438596491228069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</row>
    <row r="143" spans="1:17" x14ac:dyDescent="0.3">
      <c r="A143" s="102" t="s">
        <v>350</v>
      </c>
      <c r="B143" s="114">
        <f>kys27_kunnittain!N$54</f>
        <v>3.1132075471698113</v>
      </c>
      <c r="C143" s="76">
        <f>VLOOKUP($B$1,vaikutusvalta_ryhmat,14,FALSE)</f>
        <v>3.1717791411042944</v>
      </c>
      <c r="D143" s="76">
        <f>VLOOKUP(Etusivu!$B$9,vaikutusvalta_kunnat,14,FALSE)</f>
        <v>3.2678571428571428</v>
      </c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</row>
    <row r="144" spans="1:17" x14ac:dyDescent="0.3">
      <c r="A144" s="102" t="s">
        <v>351</v>
      </c>
      <c r="B144" s="114">
        <f>kys27_kunnittain!O$54</f>
        <v>3.125</v>
      </c>
      <c r="C144" s="76">
        <f>VLOOKUP($B$1,vaikutusvalta_ryhmat,15,FALSE)</f>
        <v>3.3475609756097562</v>
      </c>
      <c r="D144" s="76">
        <f>VLOOKUP(Etusivu!$B$9,vaikutusvalta_kunnat,15,FALSE)</f>
        <v>3.375</v>
      </c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1:17" x14ac:dyDescent="0.3">
      <c r="A145" s="102" t="s">
        <v>352</v>
      </c>
      <c r="B145" s="114">
        <f>kys27_kunnittain!P$54</f>
        <v>2.5176010430247717</v>
      </c>
      <c r="C145" s="76">
        <f>VLOOKUP($B$1,vaikutusvalta_ryhmat,16,FALSE)</f>
        <v>2.5214723926380369</v>
      </c>
      <c r="D145" s="76">
        <f>VLOOKUP(Etusivu!$B$9,vaikutusvalta_kunnat,16,FALSE)</f>
        <v>2.4107142857142856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</row>
    <row r="146" spans="1:17" x14ac:dyDescent="0.3">
      <c r="A146" s="102" t="s">
        <v>353</v>
      </c>
      <c r="B146" s="114">
        <f>kys27_kunnittain!Q$54</f>
        <v>2.1512005191434134</v>
      </c>
      <c r="C146" s="76">
        <f>VLOOKUP($B$1,vaikutusvalta_ryhmat,17,FALSE)</f>
        <v>2.1707317073170733</v>
      </c>
      <c r="D146" s="76">
        <f>VLOOKUP(Etusivu!$B$9,vaikutusvalta_kunnat,17,FALSE)</f>
        <v>2.2280701754385963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</row>
    <row r="147" spans="1:17" x14ac:dyDescent="0.3">
      <c r="A147" s="102" t="s">
        <v>354</v>
      </c>
      <c r="B147" s="114">
        <f>kys27_kunnittain!R$54</f>
        <v>2.962890625</v>
      </c>
      <c r="C147" s="76">
        <f>VLOOKUP($B$1,vaikutusvalta_ryhmat,18,FALSE)</f>
        <v>2.8328267477203646</v>
      </c>
      <c r="D147" s="76">
        <f>VLOOKUP(Etusivu!$B$9,vaikutusvalta_kunnat,18,FALSE)</f>
        <v>2.7017543859649122</v>
      </c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</row>
    <row r="148" spans="1:17" x14ac:dyDescent="0.3">
      <c r="A148" s="115" t="s">
        <v>381</v>
      </c>
      <c r="B148" s="48"/>
      <c r="C148" s="48"/>
      <c r="D148" s="48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</row>
    <row r="149" spans="1:17" x14ac:dyDescent="0.3">
      <c r="A149" s="36"/>
      <c r="B149" s="24" t="str">
        <f>$B$3</f>
        <v>Kaikki ARTTU kunnat</v>
      </c>
      <c r="C149" s="24" t="str">
        <f>$C$1</f>
        <v>50001-100000 as. kunnat</v>
      </c>
      <c r="D149" s="19" t="str">
        <f>Etusivu!$B$9</f>
        <v>Vaasa</v>
      </c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</row>
    <row r="150" spans="1:17" x14ac:dyDescent="0.3">
      <c r="A150" s="101" t="s">
        <v>355</v>
      </c>
      <c r="B150" s="48">
        <f>kys28_kunnittain!D$54</f>
        <v>67.361563517915314</v>
      </c>
      <c r="C150" s="20">
        <f>VLOOKUP($B$1,paatoksentekotilanne_ryhmat,4,FALSE)</f>
        <v>64.048338368580062</v>
      </c>
      <c r="D150" s="20">
        <f>VLOOKUP(Etusivu!$B$9,paatoksentekotilanne_kunnat,4,FALSE)</f>
        <v>64.912280701754383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</row>
    <row r="151" spans="1:17" x14ac:dyDescent="0.3">
      <c r="A151" s="101" t="s">
        <v>356</v>
      </c>
      <c r="B151" s="48">
        <f>kys28_kunnittain!E$54</f>
        <v>23.973941368078176</v>
      </c>
      <c r="C151" s="20">
        <f>VLOOKUP($B$1,paatoksentekotilanne_ryhmat,5,FALSE)</f>
        <v>25.981873111782477</v>
      </c>
      <c r="D151" s="20">
        <f>VLOOKUP(Etusivu!$B$9,paatoksentekotilanne_kunnat,5,FALSE)</f>
        <v>21.05263157894737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</row>
    <row r="152" spans="1:17" x14ac:dyDescent="0.3">
      <c r="A152" s="101" t="s">
        <v>357</v>
      </c>
      <c r="B152" s="48">
        <f>kys28_kunnittain!F$54</f>
        <v>8.664495114006515</v>
      </c>
      <c r="C152" s="20">
        <f>VLOOKUP($B$1,paatoksentekotilanne_ryhmat,6,FALSE)</f>
        <v>9.9697885196374614</v>
      </c>
      <c r="D152" s="20">
        <f>VLOOKUP(Etusivu!$B$9,paatoksentekotilanne_kunnat,6,FALSE)</f>
        <v>14.035087719298245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</row>
    <row r="153" spans="1:17" x14ac:dyDescent="0.3">
      <c r="A153" s="115" t="s">
        <v>382</v>
      </c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</row>
    <row r="154" spans="1:17" x14ac:dyDescent="0.3">
      <c r="A154" s="36"/>
      <c r="B154" s="24" t="str">
        <f>$B$3</f>
        <v>Kaikki ARTTU kunnat</v>
      </c>
      <c r="C154" s="24" t="str">
        <f>$C$1</f>
        <v>50001-100000 as. kunnat</v>
      </c>
      <c r="D154" s="19" t="str">
        <f>Etusivu!$B$9</f>
        <v>Vaasa</v>
      </c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</row>
    <row r="155" spans="1:17" x14ac:dyDescent="0.3">
      <c r="A155" s="102" t="s">
        <v>358</v>
      </c>
      <c r="B155" s="113">
        <f>kys29_kunnittain!D$53</f>
        <v>3.3005148005148004</v>
      </c>
      <c r="C155" s="76">
        <f>VLOOKUP($B$1,ilmapiiri_ryhmat,4,FALSE)</f>
        <v>3.1287425149700598</v>
      </c>
      <c r="D155" s="76">
        <f>VLOOKUP(Etusivu!$B$9,ilmapiiri_kunnat,4,FALSE)</f>
        <v>3.1228070175438596</v>
      </c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</row>
    <row r="156" spans="1:17" x14ac:dyDescent="0.3">
      <c r="A156" s="102" t="s">
        <v>359</v>
      </c>
      <c r="B156" s="113">
        <f>kys29_kunnittain!E$53</f>
        <v>3.3797549967762732</v>
      </c>
      <c r="C156" s="76">
        <f>VLOOKUP($B$1,ilmapiiri_ryhmat,5,FALSE)</f>
        <v>2.954954954954955</v>
      </c>
      <c r="D156" s="76">
        <f>VLOOKUP(Etusivu!$B$9,ilmapiiri_kunnat,5,FALSE)</f>
        <v>3.0350877192982457</v>
      </c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</row>
    <row r="157" spans="1:17" x14ac:dyDescent="0.3">
      <c r="A157" s="102" t="s">
        <v>360</v>
      </c>
      <c r="B157" s="113">
        <f>kys29_kunnittain!F$53</f>
        <v>3.0637886597938144</v>
      </c>
      <c r="C157" s="76">
        <f>VLOOKUP($B$1,ilmapiiri_ryhmat,6,FALSE)</f>
        <v>2.6906906906906909</v>
      </c>
      <c r="D157" s="76">
        <f>VLOOKUP(Etusivu!$B$9,ilmapiiri_kunnat,6,FALSE)</f>
        <v>2.8245614035087718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</row>
    <row r="158" spans="1:17" x14ac:dyDescent="0.3">
      <c r="A158" s="102" t="s">
        <v>361</v>
      </c>
      <c r="B158" s="113">
        <f>kys29_kunnittain!G$53</f>
        <v>3.3697205977907734</v>
      </c>
      <c r="C158" s="76">
        <f>VLOOKUP($B$1,ilmapiiri_ryhmat,7,FALSE)</f>
        <v>3.1121212121212123</v>
      </c>
      <c r="D158" s="76">
        <f>VLOOKUP(Etusivu!$B$9,ilmapiiri_kunnat,7,FALSE)</f>
        <v>3.375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x14ac:dyDescent="0.3">
      <c r="A159" s="102" t="s">
        <v>362</v>
      </c>
      <c r="B159" s="113">
        <f>kys29_kunnittain!H$53</f>
        <v>3.266102797657775</v>
      </c>
      <c r="C159" s="76">
        <f>VLOOKUP($B$1,ilmapiiri_ryhmat,8,FALSE)</f>
        <v>3.0276073619631902</v>
      </c>
      <c r="D159" s="76">
        <f>VLOOKUP(Etusivu!$B$9,ilmapiiri_kunnat,8,FALSE)</f>
        <v>2.8035714285714284</v>
      </c>
    </row>
    <row r="160" spans="1:17" x14ac:dyDescent="0.3">
      <c r="A160" s="102" t="s">
        <v>363</v>
      </c>
      <c r="B160" s="113">
        <f>kys29_kunnittain!I$53</f>
        <v>2.9583604424202994</v>
      </c>
      <c r="C160" s="76">
        <f>VLOOKUP($B$1,ilmapiiri_ryhmat,9,FALSE)</f>
        <v>2.8685015290519877</v>
      </c>
      <c r="D160" s="76">
        <f>VLOOKUP(Etusivu!$B$9,ilmapiiri_kunnat,9,FALSE)</f>
        <v>3.0181818181818181</v>
      </c>
    </row>
    <row r="161" spans="1:4" x14ac:dyDescent="0.3">
      <c r="A161" s="116" t="s">
        <v>383</v>
      </c>
    </row>
    <row r="162" spans="1:4" x14ac:dyDescent="0.3">
      <c r="B162" s="24" t="str">
        <f>$B$3</f>
        <v>Kaikki ARTTU kunnat</v>
      </c>
      <c r="C162" s="24" t="str">
        <f>$C$1</f>
        <v>50001-100000 as. kunnat</v>
      </c>
      <c r="D162" s="19" t="str">
        <f>Etusivu!$B$9</f>
        <v>Vaasa</v>
      </c>
    </row>
    <row r="163" spans="1:4" x14ac:dyDescent="0.3">
      <c r="A163" s="102" t="s">
        <v>560</v>
      </c>
      <c r="B163" s="20">
        <f>kys30_kunnittain!D53</f>
        <v>29.053177691309987</v>
      </c>
      <c r="C163" s="20">
        <f>VLOOKUP($B$1,palaute_ryhmat,4,FALSE)</f>
        <v>27.627627627627628</v>
      </c>
      <c r="D163" s="20">
        <f>VLOOKUP(Etusivu!$B$9,palaute_kunnat,4,FALSE)</f>
        <v>33.333333333333336</v>
      </c>
    </row>
    <row r="164" spans="1:4" x14ac:dyDescent="0.3">
      <c r="A164" s="115" t="s">
        <v>384</v>
      </c>
    </row>
    <row r="165" spans="1:4" x14ac:dyDescent="0.3">
      <c r="B165" s="24" t="str">
        <f>$B$3</f>
        <v>Kaikki ARTTU kunnat</v>
      </c>
      <c r="C165" s="24" t="str">
        <f>$C$1</f>
        <v>50001-100000 as. kunnat</v>
      </c>
      <c r="D165" s="19" t="str">
        <f>Etusivu!$B$9</f>
        <v>Vaasa</v>
      </c>
    </row>
    <row r="166" spans="1:4" ht="14.15" x14ac:dyDescent="0.35">
      <c r="A166" s="110" t="s">
        <v>559</v>
      </c>
      <c r="B166" s="20">
        <f>kys31_kunnittain!D53</f>
        <v>24.95176848874598</v>
      </c>
      <c r="C166" s="20">
        <f>VLOOKUP($B$1,hairinta_ryhmat,4,FALSE)</f>
        <v>23.652694610778443</v>
      </c>
      <c r="D166" s="20">
        <f>VLOOKUP(Etusivu!$B$9,hairinta_kunnat,4,FALSE)</f>
        <v>19.298245614035089</v>
      </c>
    </row>
    <row r="167" spans="1:4" x14ac:dyDescent="0.3">
      <c r="A167" s="116" t="s">
        <v>385</v>
      </c>
    </row>
    <row r="168" spans="1:4" ht="14.15" x14ac:dyDescent="0.3">
      <c r="A168" s="112"/>
      <c r="B168" s="24" t="str">
        <f>$B$3</f>
        <v>Kaikki ARTTU kunnat</v>
      </c>
      <c r="C168" s="24" t="str">
        <f>$C$1</f>
        <v>50001-100000 as. kunnat</v>
      </c>
      <c r="D168" s="19" t="str">
        <f>Etusivu!$B$9</f>
        <v>Vaasa</v>
      </c>
    </row>
    <row r="169" spans="1:4" x14ac:dyDescent="0.3">
      <c r="A169" s="102" t="s">
        <v>364</v>
      </c>
      <c r="B169" s="76">
        <f>kys34_kunnittain!D$53</f>
        <v>3.5639455782312925</v>
      </c>
      <c r="C169" s="76">
        <f>VLOOKUP($B$1,puolueettomuus_ryhmat,4,FALSE)</f>
        <v>3.4524590163934428</v>
      </c>
      <c r="D169" s="76">
        <f>VLOOKUP(Etusivu!$B$9,puolueettomuus_kunnat,4,FALSE)</f>
        <v>3.32</v>
      </c>
    </row>
    <row r="170" spans="1:4" x14ac:dyDescent="0.3">
      <c r="A170" s="102" t="s">
        <v>365</v>
      </c>
      <c r="B170" s="76">
        <f>kys34_kunnittain!E$53</f>
        <v>3.8355400696864113</v>
      </c>
      <c r="C170" s="76">
        <f>VLOOKUP($B$1,puolueettomuus_ryhmat,5,FALSE)</f>
        <v>3.7871621621621623</v>
      </c>
      <c r="D170" s="76">
        <f>VLOOKUP(Etusivu!$B$9,puolueettomuus_kunnat,5,FALSE)</f>
        <v>3.6808510638297873</v>
      </c>
    </row>
    <row r="171" spans="1:4" x14ac:dyDescent="0.3">
      <c r="A171" s="102" t="s">
        <v>366</v>
      </c>
      <c r="B171" s="76">
        <f>kys34_kunnittain!F$53</f>
        <v>3.8228120516499282</v>
      </c>
      <c r="C171" s="76">
        <f>VLOOKUP($B$1,puolueettomuus_ryhmat,6,FALSE)</f>
        <v>3.7824561403508774</v>
      </c>
      <c r="D171" s="76">
        <f>VLOOKUP(Etusivu!$B$9,puolueettomuus_kunnat,6,FALSE)</f>
        <v>3.5869565217391304</v>
      </c>
    </row>
    <row r="172" spans="1:4" x14ac:dyDescent="0.3">
      <c r="A172" s="102" t="s">
        <v>367</v>
      </c>
      <c r="B172" s="76">
        <f>kys34_kunnittain!G$53</f>
        <v>3.6767955801104972</v>
      </c>
      <c r="C172" s="76">
        <f>VLOOKUP($B$1,puolueettomuus_ryhmat,7,FALSE)</f>
        <v>3.5559210526315788</v>
      </c>
      <c r="D172" s="76">
        <f>VLOOKUP(Etusivu!$B$9,puolueettomuus_kunnat,7,FALSE)</f>
        <v>3.4528301886792452</v>
      </c>
    </row>
    <row r="173" spans="1:4" x14ac:dyDescent="0.3">
      <c r="A173" s="102" t="s">
        <v>368</v>
      </c>
      <c r="B173" s="76">
        <f>kys34_kunnittain!H$53</f>
        <v>3.3614130434782608</v>
      </c>
      <c r="C173" s="76">
        <f>VLOOKUP($B$1,puolueettomuus_ryhmat,8,FALSE)</f>
        <v>3.3656957928802589</v>
      </c>
      <c r="D173" s="76">
        <f>VLOOKUP(Etusivu!$B$9,puolueettomuus_kunnat,8,FALSE)</f>
        <v>3.1509433962264151</v>
      </c>
    </row>
    <row r="174" spans="1:4" x14ac:dyDescent="0.3">
      <c r="A174" s="102" t="s">
        <v>369</v>
      </c>
      <c r="B174" s="76">
        <f>kys34_kunnittain!I$53</f>
        <v>3.5258855585831061</v>
      </c>
      <c r="C174" s="76">
        <f>VLOOKUP($B$1,puolueettomuus_ryhmat,9,FALSE)</f>
        <v>3.3980582524271843</v>
      </c>
      <c r="D174" s="76">
        <f>VLOOKUP(Etusivu!$B$9,puolueettomuus_kunnat,9,FALSE)</f>
        <v>3.3269230769230771</v>
      </c>
    </row>
    <row r="175" spans="1:4" x14ac:dyDescent="0.3">
      <c r="A175" s="102" t="s">
        <v>370</v>
      </c>
      <c r="B175" s="76">
        <f>kys34_kunnittain!J$53</f>
        <v>3.330275229357798</v>
      </c>
      <c r="C175" s="76">
        <f>VLOOKUP($B$1,puolueettomuus_ryhmat,10,FALSE)</f>
        <v>3.2751677852348995</v>
      </c>
      <c r="D175" s="76">
        <f>VLOOKUP(Etusivu!$B$9,puolueettomuus_kunnat,10,FALSE)</f>
        <v>3.2244897959183674</v>
      </c>
    </row>
    <row r="176" spans="1:4" x14ac:dyDescent="0.3">
      <c r="A176" s="67" t="s">
        <v>652</v>
      </c>
    </row>
    <row r="177" spans="1:4" x14ac:dyDescent="0.3">
      <c r="A177" s="24" t="s">
        <v>653</v>
      </c>
      <c r="B177" s="24" t="str">
        <f>$B$3</f>
        <v>Kaikki ARTTU kunnat</v>
      </c>
      <c r="C177" s="24" t="str">
        <f>$C$1</f>
        <v>50001-100000 as. kunnat</v>
      </c>
      <c r="D177" s="19" t="str">
        <f>Etusivu!$B$9</f>
        <v>Vaasa</v>
      </c>
    </row>
    <row r="178" spans="1:4" x14ac:dyDescent="0.3">
      <c r="A178" s="102" t="s">
        <v>654</v>
      </c>
      <c r="B178" s="76">
        <f>Kys35_kunnittain!D$54</f>
        <v>3.4676258992805757</v>
      </c>
      <c r="C178" s="76">
        <f>VLOOKUP($B$1,palveluiden_saatavuus_ryhmat,4,FALSE)</f>
        <v>3.125</v>
      </c>
      <c r="D178" s="76">
        <f>VLOOKUP(Etusivu!$B$9,palveluiden_saatavuus_kunnat,4,FALSE)</f>
        <v>2.6071428571428572</v>
      </c>
    </row>
    <row r="179" spans="1:4" x14ac:dyDescent="0.3">
      <c r="A179" s="102" t="s">
        <v>655</v>
      </c>
      <c r="B179" s="76">
        <f>Kys35_kunnittain!E$54</f>
        <v>3.9043535620052769</v>
      </c>
      <c r="C179" s="76">
        <f>VLOOKUP($B$1,palveluiden_saatavuus_ryhmat,5,FALSE)</f>
        <v>3.6873065015479876</v>
      </c>
      <c r="D179" s="76">
        <f>VLOOKUP(Etusivu!$B$9,palveluiden_saatavuus_kunnat,5,FALSE)</f>
        <v>3.5272727272727273</v>
      </c>
    </row>
    <row r="180" spans="1:4" x14ac:dyDescent="0.3">
      <c r="A180" s="102" t="s">
        <v>656</v>
      </c>
      <c r="B180" s="76">
        <f>Kys35_kunnittain!F$54</f>
        <v>3.3215978334461749</v>
      </c>
      <c r="C180" s="76">
        <f>VLOOKUP($B$1,palveluiden_saatavuus_ryhmat,6,FALSE)</f>
        <v>2.9581993569131835</v>
      </c>
      <c r="D180" s="76">
        <f>VLOOKUP(Etusivu!$B$9,palveluiden_saatavuus_kunnat,6,FALSE)</f>
        <v>2.5192307692307692</v>
      </c>
    </row>
    <row r="181" spans="1:4" x14ac:dyDescent="0.3">
      <c r="A181" s="102" t="s">
        <v>657</v>
      </c>
      <c r="B181" s="76">
        <f>Kys35_kunnittain!G$54</f>
        <v>4.2018853102906517</v>
      </c>
      <c r="C181" s="76">
        <f>VLOOKUP($B$1,palveluiden_saatavuus_ryhmat,7,FALSE)</f>
        <v>4.0807692307692305</v>
      </c>
      <c r="D181" s="76">
        <f>VLOOKUP(Etusivu!$B$9,palveluiden_saatavuus_kunnat,7,FALSE)</f>
        <v>4.0952380952380949</v>
      </c>
    </row>
    <row r="182" spans="1:4" x14ac:dyDescent="0.3">
      <c r="A182" s="102" t="s">
        <v>658</v>
      </c>
      <c r="B182" s="76">
        <f>Kys35_kunnittain!H$54</f>
        <v>3.9599109131403116</v>
      </c>
      <c r="C182" s="76">
        <f>VLOOKUP($B$1,palveluiden_saatavuus_ryhmat,8,FALSE)</f>
        <v>3.7615658362989324</v>
      </c>
      <c r="D182" s="76">
        <f>VLOOKUP(Etusivu!$B$9,palveluiden_saatavuus_kunnat,8,FALSE)</f>
        <v>3.847826086956522</v>
      </c>
    </row>
    <row r="183" spans="1:4" x14ac:dyDescent="0.3">
      <c r="A183" s="102" t="s">
        <v>659</v>
      </c>
      <c r="B183" s="76">
        <f>Kys35_kunnittain!I$54</f>
        <v>3.8895104895104895</v>
      </c>
      <c r="C183" s="76">
        <f>VLOOKUP($B$1,palveluiden_saatavuus_ryhmat,9,FALSE)</f>
        <v>3.8797468354430378</v>
      </c>
      <c r="D183" s="76">
        <f>VLOOKUP(Etusivu!$B$9,palveluiden_saatavuus_kunnat,9,FALSE)</f>
        <v>3.75</v>
      </c>
    </row>
    <row r="184" spans="1:4" x14ac:dyDescent="0.3">
      <c r="A184" s="102" t="s">
        <v>660</v>
      </c>
      <c r="B184" s="76">
        <f>Kys35_kunnittain!J$54</f>
        <v>3.6623897353648758</v>
      </c>
      <c r="C184" s="76">
        <f>VLOOKUP($B$1,palveluiden_saatavuus_ryhmat,10,FALSE)</f>
        <v>3.5836431226765799</v>
      </c>
      <c r="D184" s="76">
        <f>VLOOKUP(Etusivu!$B$9,palveluiden_saatavuus_kunnat,10,FALSE)</f>
        <v>3.4545454545454546</v>
      </c>
    </row>
    <row r="185" spans="1:4" x14ac:dyDescent="0.3">
      <c r="A185" s="102" t="s">
        <v>661</v>
      </c>
      <c r="B185" s="76">
        <f>Kys35_kunnittain!K$54</f>
        <v>3.596930533117932</v>
      </c>
      <c r="C185" s="76">
        <f>VLOOKUP($B$1,palveluiden_saatavuus_ryhmat,11,FALSE)</f>
        <v>3.4210526315789473</v>
      </c>
      <c r="D185" s="76">
        <f>VLOOKUP(Etusivu!$B$9,palveluiden_saatavuus_kunnat,11,FALSE)</f>
        <v>3.0909090909090908</v>
      </c>
    </row>
    <row r="186" spans="1:4" x14ac:dyDescent="0.3">
      <c r="A186" s="102" t="s">
        <v>662</v>
      </c>
      <c r="B186" s="76">
        <f>Kys35_kunnittain!L$54</f>
        <v>3.1711568938193344</v>
      </c>
      <c r="C186" s="76">
        <f>VLOOKUP($B$1,palveluiden_saatavuus_ryhmat,12,FALSE)</f>
        <v>3.0451127819548871</v>
      </c>
      <c r="D186" s="76">
        <f>VLOOKUP(Etusivu!$B$9,palveluiden_saatavuus_kunnat,12,FALSE)</f>
        <v>2.3829787234042552</v>
      </c>
    </row>
    <row r="187" spans="1:4" x14ac:dyDescent="0.3">
      <c r="A187" s="24" t="s">
        <v>663</v>
      </c>
      <c r="B187" s="76" t="str">
        <f>$B$3</f>
        <v>Kaikki ARTTU kunnat</v>
      </c>
      <c r="C187" s="76" t="str">
        <f>$C$1</f>
        <v>50001-100000 as. kunnat</v>
      </c>
      <c r="D187" s="76" t="str">
        <f>Etusivu!$B$9</f>
        <v>Vaasa</v>
      </c>
    </row>
    <row r="188" spans="1:4" x14ac:dyDescent="0.3">
      <c r="A188" s="102" t="s">
        <v>664</v>
      </c>
      <c r="B188" s="76">
        <f>Kys35_kunnittain!M$54</f>
        <v>3.4688618468146029</v>
      </c>
      <c r="C188" s="76">
        <f>VLOOKUP($B$1,palveluiden_saatavuus_ryhmat,13,FALSE)</f>
        <v>3.2857142857142856</v>
      </c>
      <c r="D188" s="76">
        <f>VLOOKUP(Etusivu!$B$9,palveluiden_saatavuus_kunnat,13,FALSE)</f>
        <v>3.1836734693877551</v>
      </c>
    </row>
    <row r="189" spans="1:4" x14ac:dyDescent="0.3">
      <c r="A189" s="102" t="s">
        <v>665</v>
      </c>
      <c r="B189" s="76">
        <f>Kys35_kunnittain!N$54</f>
        <v>3.3002936857562406</v>
      </c>
      <c r="C189" s="76">
        <f>VLOOKUP($B$1,palveluiden_saatavuus_ryhmat,14,FALSE)</f>
        <v>3.049122807017544</v>
      </c>
      <c r="D189" s="76">
        <f>VLOOKUP(Etusivu!$B$9,palveluiden_saatavuus_kunnat,14,FALSE)</f>
        <v>3</v>
      </c>
    </row>
    <row r="190" spans="1:4" x14ac:dyDescent="0.3">
      <c r="A190" s="102" t="s">
        <v>666</v>
      </c>
      <c r="B190" s="76">
        <f>Kys35_kunnittain!O$54</f>
        <v>3.4804630969609263</v>
      </c>
      <c r="C190" s="76">
        <f>VLOOKUP($B$1,palveluiden_saatavuus_ryhmat,15,FALSE)</f>
        <v>3.2696245733788394</v>
      </c>
      <c r="D190" s="76">
        <f>VLOOKUP(Etusivu!$B$9,palveluiden_saatavuus_kunnat,15,FALSE)</f>
        <v>3.28</v>
      </c>
    </row>
    <row r="191" spans="1:4" x14ac:dyDescent="0.3">
      <c r="A191" s="102" t="s">
        <v>667</v>
      </c>
      <c r="B191" s="76">
        <f>Kys35_kunnittain!P$54</f>
        <v>3.0796747967479674</v>
      </c>
      <c r="C191" s="76">
        <f>VLOOKUP($B$1,palveluiden_saatavuus_ryhmat,16,FALSE)</f>
        <v>2.9767441860465116</v>
      </c>
      <c r="D191" s="76">
        <f>VLOOKUP(Etusivu!$B$9,palveluiden_saatavuus_kunnat,16,FALSE)</f>
        <v>3</v>
      </c>
    </row>
    <row r="192" spans="1:4" x14ac:dyDescent="0.3">
      <c r="A192" s="102" t="s">
        <v>668</v>
      </c>
      <c r="B192" s="76">
        <f>Kys35_kunnittain!Q$54</f>
        <v>3.5783521809369954</v>
      </c>
      <c r="C192" s="76">
        <f>VLOOKUP($B$1,palveluiden_saatavuus_ryhmat,17,FALSE)</f>
        <v>3.4594594594594597</v>
      </c>
      <c r="D192" s="76">
        <f>VLOOKUP(Etusivu!$B$9,palveluiden_saatavuus_kunnat,17,FALSE)</f>
        <v>3.2954545454545454</v>
      </c>
    </row>
    <row r="193" spans="1:4" x14ac:dyDescent="0.3">
      <c r="A193" s="102" t="s">
        <v>669</v>
      </c>
      <c r="B193" s="76">
        <f>Kys35_kunnittain!R$54</f>
        <v>3.4150653343581858</v>
      </c>
      <c r="C193" s="76">
        <f>VLOOKUP($B$1,palveluiden_saatavuus_ryhmat,18,FALSE)</f>
        <v>3.283582089552239</v>
      </c>
      <c r="D193" s="76">
        <f>VLOOKUP(Etusivu!$B$9,palveluiden_saatavuus_kunnat,18,FALSE)</f>
        <v>3.1666666666666665</v>
      </c>
    </row>
    <row r="194" spans="1:4" x14ac:dyDescent="0.3">
      <c r="A194" s="102" t="s">
        <v>670</v>
      </c>
      <c r="B194" s="76">
        <f>Kys35_kunnittain!S$54</f>
        <v>3.5936037441497661</v>
      </c>
      <c r="C194" s="76">
        <f>VLOOKUP($B$1,palveluiden_saatavuus_ryhmat,19,FALSE)</f>
        <v>3.4962406015037595</v>
      </c>
      <c r="D194" s="76">
        <f>VLOOKUP(Etusivu!$B$9,palveluiden_saatavuus_kunnat,19,FALSE)</f>
        <v>3.5714285714285716</v>
      </c>
    </row>
    <row r="195" spans="1:4" x14ac:dyDescent="0.3">
      <c r="A195" s="102" t="s">
        <v>671</v>
      </c>
      <c r="B195" s="76">
        <f>Kys35_kunnittain!T$54</f>
        <v>3.3216896831844029</v>
      </c>
      <c r="C195" s="76">
        <f>VLOOKUP($B$1,palveluiden_saatavuus_ryhmat,20,FALSE)</f>
        <v>3.3664122137404582</v>
      </c>
      <c r="D195" s="76">
        <f>VLOOKUP(Etusivu!$B$9,palveluiden_saatavuus_kunnat,20,FALSE)</f>
        <v>3.0217391304347827</v>
      </c>
    </row>
    <row r="196" spans="1:4" x14ac:dyDescent="0.3">
      <c r="A196" s="102" t="s">
        <v>672</v>
      </c>
      <c r="B196" s="76">
        <f>Kys35_kunnittain!U$54</f>
        <v>3.4745351657235246</v>
      </c>
      <c r="C196" s="76">
        <f>VLOOKUP($B$1,palveluiden_saatavuus_ryhmat,21,FALSE)</f>
        <v>3.2781954887218046</v>
      </c>
      <c r="D196" s="76">
        <f>VLOOKUP(Etusivu!$B$9,palveluiden_saatavuus_kunnat,21,FALSE)</f>
        <v>3.1333333333333333</v>
      </c>
    </row>
    <row r="197" spans="1:4" x14ac:dyDescent="0.3">
      <c r="A197" s="24" t="s">
        <v>673</v>
      </c>
      <c r="B197" s="76" t="str">
        <f>$B$3</f>
        <v>Kaikki ARTTU kunnat</v>
      </c>
      <c r="C197" s="76" t="str">
        <f>$C$1</f>
        <v>50001-100000 as. kunnat</v>
      </c>
      <c r="D197" s="76" t="str">
        <f>Etusivu!$B$9</f>
        <v>Vaasa</v>
      </c>
    </row>
    <row r="198" spans="1:4" x14ac:dyDescent="0.3">
      <c r="A198" s="102" t="s">
        <v>674</v>
      </c>
      <c r="B198" s="76">
        <f>Kys35_kunnittain!V$54</f>
        <v>4.2121212121212119</v>
      </c>
      <c r="C198" s="76">
        <f>VLOOKUP($B$1,palveluiden_saatavuus_ryhmat,22,FALSE)</f>
        <v>4.0451612903225804</v>
      </c>
      <c r="D198" s="76">
        <f>VLOOKUP(Etusivu!$B$9,palveluiden_saatavuus_kunnat,22,FALSE)</f>
        <v>4.166666666666667</v>
      </c>
    </row>
    <row r="199" spans="1:4" x14ac:dyDescent="0.3">
      <c r="A199" s="102" t="s">
        <v>675</v>
      </c>
      <c r="B199" s="76">
        <f>Kys35_kunnittain!W$54</f>
        <v>4.3577235772357721</v>
      </c>
      <c r="C199" s="76">
        <f>VLOOKUP($B$1,palveluiden_saatavuus_ryhmat,23,FALSE)</f>
        <v>4.2548387096774194</v>
      </c>
      <c r="D199" s="76">
        <f>VLOOKUP(Etusivu!$B$9,palveluiden_saatavuus_kunnat,23,FALSE)</f>
        <v>4.3888888888888893</v>
      </c>
    </row>
    <row r="200" spans="1:4" x14ac:dyDescent="0.3">
      <c r="A200" s="102" t="s">
        <v>676</v>
      </c>
      <c r="B200" s="76">
        <f>Kys35_kunnittain!X$54</f>
        <v>4.3790540540540537</v>
      </c>
      <c r="C200" s="76">
        <f>VLOOKUP($B$1,palveluiden_saatavuus_ryhmat,24,FALSE)</f>
        <v>4.221498371335505</v>
      </c>
      <c r="D200" s="76">
        <f>VLOOKUP(Etusivu!$B$9,palveluiden_saatavuus_kunnat,24,FALSE)</f>
        <v>4.3214285714285712</v>
      </c>
    </row>
    <row r="201" spans="1:4" x14ac:dyDescent="0.3">
      <c r="A201" s="102" t="s">
        <v>677</v>
      </c>
      <c r="B201" s="76">
        <f>Kys35_kunnittain!Y$54</f>
        <v>4.3700947225981057</v>
      </c>
      <c r="C201" s="76">
        <f>VLOOKUP($B$1,palveluiden_saatavuus_ryhmat,25,FALSE)</f>
        <v>4.2290322580645165</v>
      </c>
      <c r="D201" s="76">
        <f>VLOOKUP(Etusivu!$B$9,palveluiden_saatavuus_kunnat,25,FALSE)</f>
        <v>4.4107142857142856</v>
      </c>
    </row>
    <row r="202" spans="1:4" x14ac:dyDescent="0.3">
      <c r="A202" s="102" t="s">
        <v>678</v>
      </c>
      <c r="B202" s="76">
        <f>Kys35_kunnittain!Z$54</f>
        <v>4.2109533468559839</v>
      </c>
      <c r="C202" s="76">
        <f>VLOOKUP($B$1,palveluiden_saatavuus_ryhmat,26,FALSE)</f>
        <v>4.1560509554140124</v>
      </c>
      <c r="D202" s="76">
        <f>VLOOKUP(Etusivu!$B$9,palveluiden_saatavuus_kunnat,26,FALSE)</f>
        <v>4.4107142857142856</v>
      </c>
    </row>
    <row r="203" spans="1:4" x14ac:dyDescent="0.3">
      <c r="A203" s="102" t="s">
        <v>679</v>
      </c>
      <c r="B203" s="76">
        <f>Kys35_kunnittain!AA$54</f>
        <v>3.8281036834924964</v>
      </c>
      <c r="C203" s="76">
        <f>VLOOKUP($B$1,palveluiden_saatavuus_ryhmat,27,FALSE)</f>
        <v>4.1619047619047622</v>
      </c>
      <c r="D203" s="76">
        <f>VLOOKUP(Etusivu!$B$9,palveluiden_saatavuus_kunnat,27,FALSE)</f>
        <v>4.4210526315789478</v>
      </c>
    </row>
    <row r="204" spans="1:4" x14ac:dyDescent="0.3">
      <c r="A204" s="102" t="s">
        <v>680</v>
      </c>
      <c r="B204" s="76">
        <f>Kys35_kunnittain!AB$54</f>
        <v>3.8870139398385914</v>
      </c>
      <c r="C204" s="76">
        <f>VLOOKUP($B$1,palveluiden_saatavuus_ryhmat,28,FALSE)</f>
        <v>3.8222996515679442</v>
      </c>
      <c r="D204" s="76">
        <f>VLOOKUP(Etusivu!$B$9,palveluiden_saatavuus_kunnat,28,FALSE)</f>
        <v>3.9411764705882355</v>
      </c>
    </row>
    <row r="205" spans="1:4" x14ac:dyDescent="0.3">
      <c r="A205" s="102" t="s">
        <v>681</v>
      </c>
      <c r="B205" s="76">
        <f>Kys35_kunnittain!AC$54</f>
        <v>3.723644578313253</v>
      </c>
      <c r="C205" s="76">
        <f>VLOOKUP($B$1,palveluiden_saatavuus_ryhmat,29,FALSE)</f>
        <v>3.6325088339222615</v>
      </c>
      <c r="D205" s="76">
        <f>VLOOKUP(Etusivu!$B$9,palveluiden_saatavuus_kunnat,29,FALSE)</f>
        <v>3.8163265306122449</v>
      </c>
    </row>
    <row r="206" spans="1:4" x14ac:dyDescent="0.3">
      <c r="A206" s="102" t="s">
        <v>682</v>
      </c>
      <c r="B206" s="76">
        <f>Kys35_kunnittain!AD$54</f>
        <v>3.804614275414564</v>
      </c>
      <c r="C206" s="76">
        <f>VLOOKUP($B$1,palveluiden_saatavuus_ryhmat,30,FALSE)</f>
        <v>3.6271777003484322</v>
      </c>
      <c r="D206" s="76">
        <f>VLOOKUP(Etusivu!$B$9,palveluiden_saatavuus_kunnat,30,FALSE)</f>
        <v>3.66</v>
      </c>
    </row>
    <row r="207" spans="1:4" x14ac:dyDescent="0.3">
      <c r="A207" s="102" t="s">
        <v>683</v>
      </c>
      <c r="B207" s="76">
        <f>Kys35_kunnittain!AE$54</f>
        <v>3.9063400576368874</v>
      </c>
      <c r="C207" s="76">
        <f>VLOOKUP($B$1,palveluiden_saatavuus_ryhmat,31,FALSE)</f>
        <v>3.7132867132867133</v>
      </c>
      <c r="D207" s="76">
        <f>VLOOKUP(Etusivu!$B$9,palveluiden_saatavuus_kunnat,31,FALSE)</f>
        <v>3.6734693877551021</v>
      </c>
    </row>
    <row r="208" spans="1:4" x14ac:dyDescent="0.3">
      <c r="A208" s="24" t="s">
        <v>684</v>
      </c>
      <c r="B208" s="76" t="str">
        <f>$B$3</f>
        <v>Kaikki ARTTU kunnat</v>
      </c>
      <c r="C208" s="76" t="str">
        <f>$C$1</f>
        <v>50001-100000 as. kunnat</v>
      </c>
      <c r="D208" s="76" t="str">
        <f>Etusivu!$B$9</f>
        <v>Vaasa</v>
      </c>
    </row>
    <row r="209" spans="1:4" x14ac:dyDescent="0.3">
      <c r="A209" s="102" t="s">
        <v>685</v>
      </c>
      <c r="B209" s="76">
        <f>Kys35_kunnittain!AF$54</f>
        <v>4.2100334448160535</v>
      </c>
      <c r="C209" s="76">
        <f>VLOOKUP($B$1,palveluiden_saatavuus_ryhmat,32,FALSE)</f>
        <v>4.2093749999999996</v>
      </c>
      <c r="D209" s="76">
        <f>VLOOKUP(Etusivu!$B$9,palveluiden_saatavuus_kunnat,32,FALSE)</f>
        <v>4.5454545454545459</v>
      </c>
    </row>
    <row r="210" spans="1:4" x14ac:dyDescent="0.3">
      <c r="A210" s="102" t="s">
        <v>686</v>
      </c>
      <c r="B210" s="76">
        <f>Kys35_kunnittain!AG$54</f>
        <v>4.4527071102413567</v>
      </c>
      <c r="C210" s="76">
        <f>VLOOKUP($B$1,palveluiden_saatavuus_ryhmat,33,FALSE)</f>
        <v>4.4133738601823707</v>
      </c>
      <c r="D210" s="76">
        <f>VLOOKUP(Etusivu!$B$9,palveluiden_saatavuus_kunnat,33,FALSE)</f>
        <v>4.4385964912280702</v>
      </c>
    </row>
    <row r="211" spans="1:4" x14ac:dyDescent="0.3">
      <c r="A211" s="102" t="s">
        <v>687</v>
      </c>
      <c r="B211" s="76">
        <f>Kys35_kunnittain!AH$54</f>
        <v>4.0033112582781456</v>
      </c>
      <c r="C211" s="76">
        <f>VLOOKUP($B$1,palveluiden_saatavuus_ryhmat,34,FALSE)</f>
        <v>4.2129629629629628</v>
      </c>
      <c r="D211" s="76">
        <f>VLOOKUP(Etusivu!$B$9,palveluiden_saatavuus_kunnat,34,FALSE)</f>
        <v>4.290909090909091</v>
      </c>
    </row>
    <row r="212" spans="1:4" x14ac:dyDescent="0.3">
      <c r="A212" s="102" t="s">
        <v>688</v>
      </c>
      <c r="B212" s="76">
        <f>Kys35_kunnittain!AI$54</f>
        <v>4.2981530343007917</v>
      </c>
      <c r="C212" s="76">
        <f>VLOOKUP($B$1,palveluiden_saatavuus_ryhmat,35,FALSE)</f>
        <v>4.3343653250773997</v>
      </c>
      <c r="D212" s="76">
        <f>VLOOKUP(Etusivu!$B$9,palveluiden_saatavuus_kunnat,35,FALSE)</f>
        <v>4.3207547169811322</v>
      </c>
    </row>
    <row r="213" spans="1:4" x14ac:dyDescent="0.3">
      <c r="A213" s="102" t="s">
        <v>689</v>
      </c>
      <c r="B213" s="76">
        <f>Kys35_kunnittain!AJ$54</f>
        <v>3.8430832759807294</v>
      </c>
      <c r="C213" s="76">
        <f>VLOOKUP($B$1,palveluiden_saatavuus_ryhmat,36,FALSE)</f>
        <v>3.8181818181818183</v>
      </c>
      <c r="D213" s="76">
        <f>VLOOKUP(Etusivu!$B$9,palveluiden_saatavuus_kunnat,36,FALSE)</f>
        <v>3.9074074074074074</v>
      </c>
    </row>
    <row r="214" spans="1:4" x14ac:dyDescent="0.3">
      <c r="A214" s="24" t="s">
        <v>690</v>
      </c>
      <c r="B214" s="76" t="str">
        <f>$B$3</f>
        <v>Kaikki ARTTU kunnat</v>
      </c>
      <c r="C214" s="76" t="str">
        <f>$C$1</f>
        <v>50001-100000 as. kunnat</v>
      </c>
      <c r="D214" s="76" t="str">
        <f>Etusivu!$B$9</f>
        <v>Vaasa</v>
      </c>
    </row>
    <row r="215" spans="1:4" x14ac:dyDescent="0.3">
      <c r="A215" s="102" t="s">
        <v>691</v>
      </c>
      <c r="B215" s="76">
        <f>Kys35_kunnittain!AK$54</f>
        <v>3.5034106412005457</v>
      </c>
      <c r="C215" s="76">
        <f>VLOOKUP($B$1,palveluiden_saatavuus_ryhmat,37,FALSE)</f>
        <v>3.7346278317152102</v>
      </c>
      <c r="D215" s="76">
        <f>VLOOKUP(Etusivu!$B$9,palveluiden_saatavuus_kunnat,37,FALSE)</f>
        <v>3.574074074074074</v>
      </c>
    </row>
    <row r="216" spans="1:4" x14ac:dyDescent="0.3">
      <c r="A216" s="102" t="s">
        <v>692</v>
      </c>
      <c r="B216" s="76">
        <f>Kys35_kunnittain!AL$54</f>
        <v>3.7997293640054126</v>
      </c>
      <c r="C216" s="76">
        <f>VLOOKUP($B$1,palveluiden_saatavuus_ryhmat,38,FALSE)</f>
        <v>3.9902912621359223</v>
      </c>
      <c r="D216" s="76">
        <f>VLOOKUP(Etusivu!$B$9,palveluiden_saatavuus_kunnat,38,FALSE)</f>
        <v>3.7407407407407409</v>
      </c>
    </row>
    <row r="217" spans="1:4" x14ac:dyDescent="0.3">
      <c r="A217" s="102" t="s">
        <v>693</v>
      </c>
      <c r="B217" s="76">
        <f>Kys35_kunnittain!AM$54</f>
        <v>2.9986876640419946</v>
      </c>
      <c r="C217" s="76">
        <f>VLOOKUP($B$1,palveluiden_saatavuus_ryhmat,39,FALSE)</f>
        <v>2.9076923076923076</v>
      </c>
      <c r="D217" s="76">
        <f>VLOOKUP(Etusivu!$B$9,palveluiden_saatavuus_kunnat,39,FALSE)</f>
        <v>2.6909090909090909</v>
      </c>
    </row>
    <row r="218" spans="1:4" x14ac:dyDescent="0.3">
      <c r="A218" s="102" t="s">
        <v>694</v>
      </c>
      <c r="B218" s="76">
        <f>Kys35_kunnittain!AN$54</f>
        <v>3.6768802228412256</v>
      </c>
      <c r="C218" s="76">
        <f>VLOOKUP($B$1,palveluiden_saatavuus_ryhmat,40,FALSE)</f>
        <v>3.5</v>
      </c>
      <c r="D218" s="76">
        <f>VLOOKUP(Etusivu!$B$9,palveluiden_saatavuus_kunnat,40,FALSE)</f>
        <v>3.3617021276595747</v>
      </c>
    </row>
    <row r="219" spans="1:4" x14ac:dyDescent="0.3">
      <c r="A219" s="102" t="s">
        <v>695</v>
      </c>
      <c r="B219" s="76">
        <f>Kys35_kunnittain!AO$54</f>
        <v>4.0634602538410149</v>
      </c>
      <c r="C219" s="76">
        <f>VLOOKUP($B$1,palveluiden_saatavuus_ryhmat,41,FALSE)</f>
        <v>3.975232198142415</v>
      </c>
      <c r="D219" s="76">
        <f>VLOOKUP(Etusivu!$B$9,palveluiden_saatavuus_kunnat,41,FALSE)</f>
        <v>3.9642857142857144</v>
      </c>
    </row>
    <row r="220" spans="1:4" x14ac:dyDescent="0.3">
      <c r="A220" s="102" t="s">
        <v>696</v>
      </c>
      <c r="B220" s="76">
        <f>Kys35_kunnittain!AP$54</f>
        <v>3.9041554959785523</v>
      </c>
      <c r="C220" s="76">
        <f>VLOOKUP($B$1,palveluiden_saatavuus_ryhmat,42,FALSE)</f>
        <v>3.8473520249221185</v>
      </c>
      <c r="D220" s="76">
        <f>VLOOKUP(Etusivu!$B$9,palveluiden_saatavuus_kunnat,42,FALSE)</f>
        <v>4.0370370370370372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2" workbookViewId="0">
      <selection activeCell="A69" sqref="A69:L6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245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18.75</v>
      </c>
      <c r="E2" s="100">
        <v>16</v>
      </c>
    </row>
    <row r="3" spans="1:5" x14ac:dyDescent="0.35">
      <c r="A3" t="s">
        <v>45</v>
      </c>
      <c r="B3" s="100">
        <v>6</v>
      </c>
      <c r="C3" s="100">
        <v>49</v>
      </c>
      <c r="D3" s="90">
        <v>18.518518518518519</v>
      </c>
      <c r="E3" s="100">
        <v>82</v>
      </c>
    </row>
    <row r="4" spans="1:5" x14ac:dyDescent="0.35">
      <c r="A4" t="s">
        <v>46</v>
      </c>
      <c r="B4" s="100">
        <v>2</v>
      </c>
      <c r="C4" s="100">
        <v>82</v>
      </c>
      <c r="D4" s="90">
        <v>47.61904761904762</v>
      </c>
      <c r="E4" s="100">
        <v>21</v>
      </c>
    </row>
    <row r="5" spans="1:5" x14ac:dyDescent="0.35">
      <c r="A5" t="s">
        <v>2</v>
      </c>
      <c r="B5" s="100">
        <v>1</v>
      </c>
      <c r="C5" s="100">
        <v>97</v>
      </c>
      <c r="D5" s="90">
        <v>53.846153846153847</v>
      </c>
      <c r="E5" s="100">
        <v>14</v>
      </c>
    </row>
    <row r="6" spans="1:5" x14ac:dyDescent="0.35">
      <c r="A6" t="s">
        <v>3</v>
      </c>
      <c r="B6" s="100">
        <v>4</v>
      </c>
      <c r="C6" s="100">
        <v>54</v>
      </c>
      <c r="D6" s="90">
        <v>29.032258064516128</v>
      </c>
      <c r="E6" s="100">
        <v>31</v>
      </c>
    </row>
    <row r="7" spans="1:5" x14ac:dyDescent="0.35">
      <c r="A7" t="s">
        <v>4</v>
      </c>
      <c r="B7" s="100">
        <v>5</v>
      </c>
      <c r="C7" s="100">
        <v>109</v>
      </c>
      <c r="D7" s="90">
        <v>29.26829268292683</v>
      </c>
      <c r="E7" s="100">
        <v>41</v>
      </c>
    </row>
    <row r="8" spans="1:5" x14ac:dyDescent="0.35">
      <c r="A8" t="s">
        <v>48</v>
      </c>
      <c r="B8" s="100">
        <v>2</v>
      </c>
      <c r="C8" s="100">
        <v>148</v>
      </c>
      <c r="D8" s="90">
        <v>44.444444444444443</v>
      </c>
      <c r="E8" s="100">
        <v>18</v>
      </c>
    </row>
    <row r="9" spans="1:5" x14ac:dyDescent="0.35">
      <c r="A9" t="s">
        <v>5</v>
      </c>
      <c r="B9" s="100">
        <v>6</v>
      </c>
      <c r="C9" s="100">
        <v>179</v>
      </c>
      <c r="D9" s="90">
        <v>21.428571428571427</v>
      </c>
      <c r="E9" s="100">
        <v>59</v>
      </c>
    </row>
    <row r="10" spans="1:5" x14ac:dyDescent="0.35">
      <c r="A10" t="s">
        <v>50</v>
      </c>
      <c r="B10" s="100">
        <v>3</v>
      </c>
      <c r="C10" s="100">
        <v>214</v>
      </c>
      <c r="D10" s="90">
        <v>25</v>
      </c>
      <c r="E10" s="100">
        <v>25</v>
      </c>
    </row>
    <row r="11" spans="1:5" x14ac:dyDescent="0.35">
      <c r="A11" t="s">
        <v>51</v>
      </c>
      <c r="B11" s="100">
        <v>1</v>
      </c>
      <c r="C11" s="100">
        <v>239</v>
      </c>
      <c r="D11" s="90">
        <v>50</v>
      </c>
      <c r="E11" s="100">
        <v>22</v>
      </c>
    </row>
    <row r="12" spans="1:5" x14ac:dyDescent="0.35">
      <c r="A12" t="s">
        <v>22</v>
      </c>
      <c r="B12" s="100">
        <v>2</v>
      </c>
      <c r="C12" s="100">
        <v>322</v>
      </c>
      <c r="D12" s="90">
        <v>37.037037037037038</v>
      </c>
      <c r="E12" s="100">
        <v>28</v>
      </c>
    </row>
    <row r="13" spans="1:5" x14ac:dyDescent="0.35">
      <c r="A13" t="s">
        <v>52</v>
      </c>
      <c r="B13" s="100">
        <v>3</v>
      </c>
      <c r="C13" s="100">
        <v>249</v>
      </c>
      <c r="D13" s="90">
        <v>51.351351351351354</v>
      </c>
      <c r="E13" s="100">
        <v>37</v>
      </c>
    </row>
    <row r="14" spans="1:5" x14ac:dyDescent="0.35">
      <c r="A14" t="s">
        <v>72</v>
      </c>
      <c r="B14" s="100">
        <v>4</v>
      </c>
      <c r="C14" s="100">
        <v>272</v>
      </c>
      <c r="D14" s="90">
        <v>36.666666666666664</v>
      </c>
      <c r="E14" s="100">
        <v>61</v>
      </c>
    </row>
    <row r="15" spans="1:5" x14ac:dyDescent="0.35">
      <c r="A15" t="s">
        <v>6</v>
      </c>
      <c r="B15" s="100">
        <v>5</v>
      </c>
      <c r="C15" s="100">
        <v>285</v>
      </c>
      <c r="D15" s="90">
        <v>17.391304347826086</v>
      </c>
      <c r="E15" s="100">
        <v>70</v>
      </c>
    </row>
    <row r="16" spans="1:5" x14ac:dyDescent="0.35">
      <c r="A16" t="s">
        <v>73</v>
      </c>
      <c r="B16" s="100">
        <v>3</v>
      </c>
      <c r="C16" s="100">
        <v>301</v>
      </c>
      <c r="D16" s="90">
        <v>25</v>
      </c>
      <c r="E16" s="100">
        <v>36</v>
      </c>
    </row>
    <row r="17" spans="1:5" x14ac:dyDescent="0.35">
      <c r="A17" t="s">
        <v>7</v>
      </c>
      <c r="B17" s="100">
        <v>3</v>
      </c>
      <c r="C17" s="100">
        <v>305</v>
      </c>
      <c r="D17" s="90">
        <v>35.483870967741936</v>
      </c>
      <c r="E17" s="100">
        <v>31</v>
      </c>
    </row>
    <row r="18" spans="1:5" x14ac:dyDescent="0.35">
      <c r="A18" t="s">
        <v>8</v>
      </c>
      <c r="B18" s="100">
        <v>5</v>
      </c>
      <c r="C18" s="100">
        <v>405</v>
      </c>
      <c r="D18" s="90">
        <v>30</v>
      </c>
      <c r="E18" s="100">
        <v>40</v>
      </c>
    </row>
    <row r="19" spans="1:5" x14ac:dyDescent="0.35">
      <c r="A19" t="s">
        <v>9</v>
      </c>
      <c r="B19" s="100">
        <v>4</v>
      </c>
      <c r="C19" s="100">
        <v>418</v>
      </c>
      <c r="D19" s="90">
        <v>25.641025641025642</v>
      </c>
      <c r="E19" s="100">
        <v>40</v>
      </c>
    </row>
    <row r="20" spans="1:5" x14ac:dyDescent="0.35">
      <c r="A20" t="s">
        <v>56</v>
      </c>
      <c r="B20" s="100">
        <v>3</v>
      </c>
      <c r="C20" s="100">
        <v>426</v>
      </c>
      <c r="D20" s="90">
        <v>28.94736842105263</v>
      </c>
      <c r="E20" s="100">
        <v>38</v>
      </c>
    </row>
    <row r="21" spans="1:5" x14ac:dyDescent="0.35">
      <c r="A21" t="s">
        <v>74</v>
      </c>
      <c r="B21" s="100">
        <v>5</v>
      </c>
      <c r="C21" s="100">
        <v>491</v>
      </c>
      <c r="D21" s="90">
        <v>35.2112676056338</v>
      </c>
      <c r="E21" s="100">
        <v>72</v>
      </c>
    </row>
    <row r="22" spans="1:5" x14ac:dyDescent="0.35">
      <c r="A22" t="s">
        <v>10</v>
      </c>
      <c r="B22" s="100">
        <v>2.978723404255319</v>
      </c>
      <c r="C22" s="100">
        <v>499</v>
      </c>
      <c r="D22" s="90">
        <v>23.404255319148938</v>
      </c>
      <c r="E22" s="100">
        <v>47</v>
      </c>
    </row>
    <row r="23" spans="1:5" x14ac:dyDescent="0.35">
      <c r="A23" t="s">
        <v>58</v>
      </c>
      <c r="B23" s="100">
        <v>3</v>
      </c>
      <c r="C23" s="100">
        <v>535</v>
      </c>
      <c r="D23" s="90">
        <v>52.631578947368418</v>
      </c>
      <c r="E23" s="100">
        <v>19</v>
      </c>
    </row>
    <row r="24" spans="1:5" x14ac:dyDescent="0.35">
      <c r="A24" t="s">
        <v>11</v>
      </c>
      <c r="B24" s="100">
        <v>6</v>
      </c>
      <c r="C24" s="100">
        <v>464</v>
      </c>
      <c r="D24" s="90">
        <v>28.571428571428573</v>
      </c>
      <c r="E24" s="100">
        <v>59</v>
      </c>
    </row>
    <row r="25" spans="1:5" x14ac:dyDescent="0.35">
      <c r="A25" t="s">
        <v>60</v>
      </c>
      <c r="B25" s="100">
        <v>1</v>
      </c>
      <c r="C25" s="100">
        <v>578</v>
      </c>
      <c r="D25" s="90">
        <v>42.857142857142854</v>
      </c>
      <c r="E25" s="100">
        <v>21</v>
      </c>
    </row>
    <row r="26" spans="1:5" x14ac:dyDescent="0.35">
      <c r="A26" t="s">
        <v>61</v>
      </c>
      <c r="B26" s="100">
        <v>2</v>
      </c>
      <c r="C26" s="100">
        <v>581</v>
      </c>
      <c r="D26" s="90">
        <v>35.714285714285715</v>
      </c>
      <c r="E26" s="100">
        <v>28</v>
      </c>
    </row>
    <row r="27" spans="1:5" x14ac:dyDescent="0.35">
      <c r="A27" t="s">
        <v>62</v>
      </c>
      <c r="B27" s="100">
        <v>1</v>
      </c>
      <c r="C27" s="100">
        <v>592</v>
      </c>
      <c r="D27" s="90">
        <v>42.10526315789474</v>
      </c>
      <c r="E27" s="100">
        <v>19</v>
      </c>
    </row>
    <row r="28" spans="1:5" x14ac:dyDescent="0.35">
      <c r="A28" t="s">
        <v>12</v>
      </c>
      <c r="B28" s="100">
        <v>2</v>
      </c>
      <c r="C28" s="100">
        <v>615</v>
      </c>
      <c r="D28" s="90">
        <v>47.058823529411768</v>
      </c>
      <c r="E28" s="100">
        <v>17</v>
      </c>
    </row>
    <row r="29" spans="1:5" x14ac:dyDescent="0.35">
      <c r="A29" t="s">
        <v>23</v>
      </c>
      <c r="B29" s="100">
        <v>4</v>
      </c>
      <c r="C29" s="100">
        <v>710</v>
      </c>
      <c r="D29" s="90">
        <v>12.195121951219512</v>
      </c>
      <c r="E29" s="100">
        <v>43</v>
      </c>
    </row>
    <row r="30" spans="1:5" x14ac:dyDescent="0.35">
      <c r="A30" t="s">
        <v>64</v>
      </c>
      <c r="B30" s="100">
        <v>4</v>
      </c>
      <c r="C30" s="100">
        <v>680</v>
      </c>
      <c r="D30" s="90">
        <v>18.181818181818183</v>
      </c>
      <c r="E30" s="100">
        <v>44</v>
      </c>
    </row>
    <row r="31" spans="1:5" x14ac:dyDescent="0.35">
      <c r="A31" t="s">
        <v>65</v>
      </c>
      <c r="B31" s="100">
        <v>1</v>
      </c>
      <c r="C31" s="100">
        <v>686</v>
      </c>
      <c r="D31" s="90">
        <v>29.411764705882351</v>
      </c>
      <c r="E31" s="100">
        <v>17</v>
      </c>
    </row>
    <row r="32" spans="1:5" x14ac:dyDescent="0.35">
      <c r="A32" t="s">
        <v>13</v>
      </c>
      <c r="B32" s="100">
        <v>5</v>
      </c>
      <c r="C32" s="100">
        <v>734</v>
      </c>
      <c r="D32" s="90">
        <v>21.818181818181817</v>
      </c>
      <c r="E32" s="100">
        <v>55</v>
      </c>
    </row>
    <row r="33" spans="1:5" x14ac:dyDescent="0.35">
      <c r="A33" t="s">
        <v>14</v>
      </c>
      <c r="B33" s="100">
        <v>3</v>
      </c>
      <c r="C33" s="100">
        <v>753</v>
      </c>
      <c r="D33" s="90">
        <v>25</v>
      </c>
      <c r="E33" s="100">
        <v>36</v>
      </c>
    </row>
    <row r="34" spans="1:5" x14ac:dyDescent="0.35">
      <c r="A34" t="s">
        <v>67</v>
      </c>
      <c r="B34" s="100">
        <v>1</v>
      </c>
      <c r="C34" s="100">
        <v>783</v>
      </c>
      <c r="D34" s="90">
        <v>34.615384615384613</v>
      </c>
      <c r="E34" s="100">
        <v>26</v>
      </c>
    </row>
    <row r="35" spans="1:5" x14ac:dyDescent="0.35">
      <c r="A35" t="s">
        <v>68</v>
      </c>
      <c r="B35" s="100">
        <v>6</v>
      </c>
      <c r="C35" s="100">
        <v>837</v>
      </c>
      <c r="D35" s="90">
        <v>34.615384615384613</v>
      </c>
      <c r="E35" s="100">
        <v>52</v>
      </c>
    </row>
    <row r="36" spans="1:5" x14ac:dyDescent="0.35">
      <c r="A36" t="s">
        <v>69</v>
      </c>
      <c r="B36" s="100">
        <v>4</v>
      </c>
      <c r="C36" s="100">
        <v>851</v>
      </c>
      <c r="D36" s="90">
        <v>38.46153846153846</v>
      </c>
      <c r="E36" s="100">
        <v>39</v>
      </c>
    </row>
    <row r="37" spans="1:5" x14ac:dyDescent="0.35">
      <c r="A37" t="s">
        <v>15</v>
      </c>
      <c r="B37" s="100">
        <v>6</v>
      </c>
      <c r="C37" s="100">
        <v>853</v>
      </c>
      <c r="D37" s="90">
        <v>15.625</v>
      </c>
      <c r="E37" s="100">
        <v>65</v>
      </c>
    </row>
    <row r="38" spans="1:5" x14ac:dyDescent="0.35">
      <c r="A38" t="s">
        <v>16</v>
      </c>
      <c r="B38" s="100">
        <v>5</v>
      </c>
      <c r="C38" s="100">
        <v>905</v>
      </c>
      <c r="D38" s="90">
        <v>33.333333333333336</v>
      </c>
      <c r="E38" s="100">
        <v>57</v>
      </c>
    </row>
    <row r="39" spans="1:5" x14ac:dyDescent="0.35">
      <c r="A39" t="s">
        <v>71</v>
      </c>
      <c r="B39" s="100">
        <v>6</v>
      </c>
      <c r="C39" s="100">
        <v>92</v>
      </c>
      <c r="D39" s="90">
        <v>20.689655172413794</v>
      </c>
      <c r="E39" s="100">
        <v>89</v>
      </c>
    </row>
    <row r="40" spans="1:5" x14ac:dyDescent="0.35">
      <c r="A40" t="s">
        <v>17</v>
      </c>
      <c r="B40" s="100">
        <v>1</v>
      </c>
      <c r="C40" s="100">
        <v>934</v>
      </c>
      <c r="D40" s="90">
        <v>20</v>
      </c>
      <c r="E40" s="100">
        <v>16</v>
      </c>
    </row>
    <row r="41" spans="1:5" x14ac:dyDescent="0.35">
      <c r="A41" t="s">
        <v>24</v>
      </c>
      <c r="B41" s="100">
        <v>2</v>
      </c>
      <c r="C41" s="100">
        <v>946</v>
      </c>
      <c r="D41" s="90">
        <v>35.483870967741936</v>
      </c>
      <c r="E41" s="100">
        <v>31</v>
      </c>
    </row>
    <row r="44" spans="1:5" x14ac:dyDescent="0.35">
      <c r="A44" t="s">
        <v>126</v>
      </c>
      <c r="D44" t="s">
        <v>245</v>
      </c>
      <c r="E44" t="s">
        <v>79</v>
      </c>
    </row>
    <row r="45" spans="1:5" x14ac:dyDescent="0.35">
      <c r="A45" t="s">
        <v>130</v>
      </c>
      <c r="D45" s="90">
        <v>36.912751677852349</v>
      </c>
      <c r="E45" s="100">
        <v>151</v>
      </c>
    </row>
    <row r="46" spans="1:5" x14ac:dyDescent="0.35">
      <c r="A46" t="s">
        <v>131</v>
      </c>
      <c r="D46" s="90">
        <v>39.86013986013986</v>
      </c>
      <c r="E46" s="100">
        <v>144</v>
      </c>
    </row>
    <row r="47" spans="1:5" x14ac:dyDescent="0.35">
      <c r="A47" t="s">
        <v>132</v>
      </c>
      <c r="D47" s="90">
        <v>32.209737827715358</v>
      </c>
      <c r="E47" s="100">
        <v>268</v>
      </c>
    </row>
    <row r="48" spans="1:5" x14ac:dyDescent="0.35">
      <c r="A48" t="s">
        <v>133</v>
      </c>
      <c r="D48" s="90">
        <v>27.165354330708663</v>
      </c>
      <c r="E48" s="100">
        <v>258</v>
      </c>
    </row>
    <row r="49" spans="1:5" x14ac:dyDescent="0.35">
      <c r="A49" t="s">
        <v>134</v>
      </c>
      <c r="D49" s="90">
        <v>27.627627627627628</v>
      </c>
      <c r="E49" s="100">
        <v>335</v>
      </c>
    </row>
    <row r="50" spans="1:5" x14ac:dyDescent="0.35">
      <c r="A50" t="s">
        <v>135</v>
      </c>
      <c r="D50" s="90">
        <v>22.474747474747474</v>
      </c>
      <c r="E50" s="100">
        <v>406</v>
      </c>
    </row>
    <row r="52" spans="1:5" x14ac:dyDescent="0.35">
      <c r="D52" t="s">
        <v>245</v>
      </c>
      <c r="E52" t="s">
        <v>79</v>
      </c>
    </row>
    <row r="53" spans="1:5" x14ac:dyDescent="0.35">
      <c r="A53" t="s">
        <v>127</v>
      </c>
      <c r="D53" s="90">
        <v>29.053177691309987</v>
      </c>
      <c r="E53" s="100">
        <v>1562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16" workbookViewId="0">
      <selection activeCell="A69" sqref="A69:L6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246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50</v>
      </c>
      <c r="E2" s="100">
        <v>16</v>
      </c>
    </row>
    <row r="3" spans="1:5" x14ac:dyDescent="0.35">
      <c r="A3" t="s">
        <v>45</v>
      </c>
      <c r="B3" s="100">
        <v>6</v>
      </c>
      <c r="C3" s="100">
        <v>49</v>
      </c>
      <c r="D3" s="90">
        <v>23.170731707317074</v>
      </c>
      <c r="E3" s="100">
        <v>82</v>
      </c>
    </row>
    <row r="4" spans="1:5" x14ac:dyDescent="0.35">
      <c r="A4" t="s">
        <v>46</v>
      </c>
      <c r="B4" s="100">
        <v>2</v>
      </c>
      <c r="C4" s="100">
        <v>82</v>
      </c>
      <c r="D4" s="90">
        <v>23.80952380952381</v>
      </c>
      <c r="E4" s="100">
        <v>21</v>
      </c>
    </row>
    <row r="5" spans="1:5" x14ac:dyDescent="0.35">
      <c r="A5" t="s">
        <v>2</v>
      </c>
      <c r="B5" s="100">
        <v>1</v>
      </c>
      <c r="C5" s="100">
        <v>97</v>
      </c>
      <c r="D5" s="90">
        <v>64.285714285714292</v>
      </c>
      <c r="E5" s="100">
        <v>14</v>
      </c>
    </row>
    <row r="6" spans="1:5" x14ac:dyDescent="0.35">
      <c r="A6" t="s">
        <v>3</v>
      </c>
      <c r="B6" s="100">
        <v>4</v>
      </c>
      <c r="C6" s="100">
        <v>54</v>
      </c>
      <c r="D6" s="90">
        <v>35.483870967741936</v>
      </c>
      <c r="E6" s="100">
        <v>31</v>
      </c>
    </row>
    <row r="7" spans="1:5" x14ac:dyDescent="0.35">
      <c r="A7" t="s">
        <v>4</v>
      </c>
      <c r="B7" s="100">
        <v>5</v>
      </c>
      <c r="C7" s="100">
        <v>109</v>
      </c>
      <c r="D7" s="90">
        <v>17.073170731707318</v>
      </c>
      <c r="E7" s="100">
        <v>41</v>
      </c>
    </row>
    <row r="8" spans="1:5" x14ac:dyDescent="0.35">
      <c r="A8" t="s">
        <v>48</v>
      </c>
      <c r="B8" s="100">
        <v>2</v>
      </c>
      <c r="C8" s="100">
        <v>148</v>
      </c>
      <c r="D8" s="90">
        <v>16.666666666666668</v>
      </c>
      <c r="E8" s="100">
        <v>18</v>
      </c>
    </row>
    <row r="9" spans="1:5" x14ac:dyDescent="0.35">
      <c r="A9" t="s">
        <v>5</v>
      </c>
      <c r="B9" s="100">
        <v>6</v>
      </c>
      <c r="C9" s="100">
        <v>179</v>
      </c>
      <c r="D9" s="90">
        <v>22.807017543859651</v>
      </c>
      <c r="E9" s="100">
        <v>59</v>
      </c>
    </row>
    <row r="10" spans="1:5" x14ac:dyDescent="0.35">
      <c r="A10" t="s">
        <v>50</v>
      </c>
      <c r="B10" s="100">
        <v>3</v>
      </c>
      <c r="C10" s="100">
        <v>214</v>
      </c>
      <c r="D10" s="90">
        <v>20</v>
      </c>
      <c r="E10" s="100">
        <v>25</v>
      </c>
    </row>
    <row r="11" spans="1:5" x14ac:dyDescent="0.35">
      <c r="A11" t="s">
        <v>51</v>
      </c>
      <c r="B11" s="100">
        <v>1</v>
      </c>
      <c r="C11" s="100">
        <v>239</v>
      </c>
      <c r="D11" s="90">
        <v>14.285714285714286</v>
      </c>
      <c r="E11" s="100">
        <v>22</v>
      </c>
    </row>
    <row r="12" spans="1:5" x14ac:dyDescent="0.35">
      <c r="A12" t="s">
        <v>22</v>
      </c>
      <c r="B12" s="100">
        <v>2</v>
      </c>
      <c r="C12" s="100">
        <v>322</v>
      </c>
      <c r="D12" s="90">
        <v>32.142857142857146</v>
      </c>
      <c r="E12" s="100">
        <v>28</v>
      </c>
    </row>
    <row r="13" spans="1:5" x14ac:dyDescent="0.35">
      <c r="A13" t="s">
        <v>52</v>
      </c>
      <c r="B13" s="100">
        <v>3</v>
      </c>
      <c r="C13" s="100">
        <v>249</v>
      </c>
      <c r="D13" s="90">
        <v>43.243243243243242</v>
      </c>
      <c r="E13" s="100">
        <v>37</v>
      </c>
    </row>
    <row r="14" spans="1:5" x14ac:dyDescent="0.35">
      <c r="A14" t="s">
        <v>72</v>
      </c>
      <c r="B14" s="100">
        <v>4</v>
      </c>
      <c r="C14" s="100">
        <v>272</v>
      </c>
      <c r="D14" s="90">
        <v>21.311475409836067</v>
      </c>
      <c r="E14" s="100">
        <v>61</v>
      </c>
    </row>
    <row r="15" spans="1:5" x14ac:dyDescent="0.35">
      <c r="A15" t="s">
        <v>6</v>
      </c>
      <c r="B15" s="100">
        <v>5</v>
      </c>
      <c r="C15" s="100">
        <v>285</v>
      </c>
      <c r="D15" s="90">
        <v>20.289855072463769</v>
      </c>
      <c r="E15" s="100">
        <v>70</v>
      </c>
    </row>
    <row r="16" spans="1:5" x14ac:dyDescent="0.35">
      <c r="A16" t="s">
        <v>73</v>
      </c>
      <c r="B16" s="100">
        <v>3</v>
      </c>
      <c r="C16" s="100">
        <v>301</v>
      </c>
      <c r="D16" s="90">
        <v>13.888888888888889</v>
      </c>
      <c r="E16" s="100">
        <v>36</v>
      </c>
    </row>
    <row r="17" spans="1:5" x14ac:dyDescent="0.35">
      <c r="A17" t="s">
        <v>7</v>
      </c>
      <c r="B17" s="100">
        <v>3</v>
      </c>
      <c r="C17" s="100">
        <v>305</v>
      </c>
      <c r="D17" s="90">
        <v>13.333333333333334</v>
      </c>
      <c r="E17" s="100">
        <v>31</v>
      </c>
    </row>
    <row r="18" spans="1:5" x14ac:dyDescent="0.35">
      <c r="A18" t="s">
        <v>8</v>
      </c>
      <c r="B18" s="100">
        <v>5</v>
      </c>
      <c r="C18" s="100">
        <v>405</v>
      </c>
      <c r="D18" s="90">
        <v>20</v>
      </c>
      <c r="E18" s="100">
        <v>40</v>
      </c>
    </row>
    <row r="19" spans="1:5" x14ac:dyDescent="0.35">
      <c r="A19" t="s">
        <v>9</v>
      </c>
      <c r="B19" s="100">
        <v>4</v>
      </c>
      <c r="C19" s="100">
        <v>418</v>
      </c>
      <c r="D19" s="90">
        <v>15</v>
      </c>
      <c r="E19" s="100">
        <v>40</v>
      </c>
    </row>
    <row r="20" spans="1:5" x14ac:dyDescent="0.35">
      <c r="A20" t="s">
        <v>56</v>
      </c>
      <c r="B20" s="100">
        <v>3</v>
      </c>
      <c r="C20" s="100">
        <v>426</v>
      </c>
      <c r="D20" s="90">
        <v>50</v>
      </c>
      <c r="E20" s="100">
        <v>38</v>
      </c>
    </row>
    <row r="21" spans="1:5" x14ac:dyDescent="0.35">
      <c r="A21" t="s">
        <v>74</v>
      </c>
      <c r="B21" s="100">
        <v>5</v>
      </c>
      <c r="C21" s="100">
        <v>491</v>
      </c>
      <c r="D21" s="90">
        <v>25</v>
      </c>
      <c r="E21" s="100">
        <v>72</v>
      </c>
    </row>
    <row r="22" spans="1:5" x14ac:dyDescent="0.35">
      <c r="A22" t="s">
        <v>10</v>
      </c>
      <c r="B22" s="100">
        <v>2.978723404255319</v>
      </c>
      <c r="C22" s="100">
        <v>499</v>
      </c>
      <c r="D22" s="90">
        <v>17.021276595744681</v>
      </c>
      <c r="E22" s="100">
        <v>47</v>
      </c>
    </row>
    <row r="23" spans="1:5" x14ac:dyDescent="0.35">
      <c r="A23" t="s">
        <v>58</v>
      </c>
      <c r="B23" s="100">
        <v>3</v>
      </c>
      <c r="C23" s="100">
        <v>535</v>
      </c>
      <c r="D23" s="90">
        <v>10.526315789473685</v>
      </c>
      <c r="E23" s="100">
        <v>19</v>
      </c>
    </row>
    <row r="24" spans="1:5" x14ac:dyDescent="0.35">
      <c r="A24" t="s">
        <v>11</v>
      </c>
      <c r="B24" s="100">
        <v>6</v>
      </c>
      <c r="C24" s="100">
        <v>464</v>
      </c>
      <c r="D24" s="90">
        <v>24.137931034482758</v>
      </c>
      <c r="E24" s="100">
        <v>59</v>
      </c>
    </row>
    <row r="25" spans="1:5" x14ac:dyDescent="0.35">
      <c r="A25" t="s">
        <v>60</v>
      </c>
      <c r="B25" s="100">
        <v>1</v>
      </c>
      <c r="C25" s="100">
        <v>578</v>
      </c>
      <c r="D25" s="90">
        <v>9.5238095238095237</v>
      </c>
      <c r="E25" s="100">
        <v>21</v>
      </c>
    </row>
    <row r="26" spans="1:5" x14ac:dyDescent="0.35">
      <c r="A26" t="s">
        <v>61</v>
      </c>
      <c r="B26" s="100">
        <v>2</v>
      </c>
      <c r="C26" s="100">
        <v>581</v>
      </c>
      <c r="D26" s="90">
        <v>10.714285714285714</v>
      </c>
      <c r="E26" s="100">
        <v>28</v>
      </c>
    </row>
    <row r="27" spans="1:5" x14ac:dyDescent="0.35">
      <c r="A27" t="s">
        <v>62</v>
      </c>
      <c r="B27" s="100">
        <v>1</v>
      </c>
      <c r="C27" s="100">
        <v>592</v>
      </c>
      <c r="D27" s="90">
        <v>26.315789473684209</v>
      </c>
      <c r="E27" s="100">
        <v>19</v>
      </c>
    </row>
    <row r="28" spans="1:5" x14ac:dyDescent="0.35">
      <c r="A28" t="s">
        <v>12</v>
      </c>
      <c r="B28" s="100">
        <v>2</v>
      </c>
      <c r="C28" s="100">
        <v>615</v>
      </c>
      <c r="D28" s="90">
        <v>29.411764705882351</v>
      </c>
      <c r="E28" s="100">
        <v>17</v>
      </c>
    </row>
    <row r="29" spans="1:5" x14ac:dyDescent="0.35">
      <c r="A29" t="s">
        <v>23</v>
      </c>
      <c r="B29" s="100">
        <v>4</v>
      </c>
      <c r="C29" s="100">
        <v>710</v>
      </c>
      <c r="D29" s="90">
        <v>28.571428571428573</v>
      </c>
      <c r="E29" s="100">
        <v>43</v>
      </c>
    </row>
    <row r="30" spans="1:5" x14ac:dyDescent="0.35">
      <c r="A30" t="s">
        <v>64</v>
      </c>
      <c r="B30" s="100">
        <v>4</v>
      </c>
      <c r="C30" s="100">
        <v>680</v>
      </c>
      <c r="D30" s="90">
        <v>6.8181818181818183</v>
      </c>
      <c r="E30" s="100">
        <v>44</v>
      </c>
    </row>
    <row r="31" spans="1:5" x14ac:dyDescent="0.35">
      <c r="A31" t="s">
        <v>65</v>
      </c>
      <c r="B31" s="100">
        <v>1</v>
      </c>
      <c r="C31" s="100">
        <v>686</v>
      </c>
      <c r="D31" s="90">
        <v>17.647058823529413</v>
      </c>
      <c r="E31" s="100">
        <v>17</v>
      </c>
    </row>
    <row r="32" spans="1:5" x14ac:dyDescent="0.35">
      <c r="A32" t="s">
        <v>13</v>
      </c>
      <c r="B32" s="100">
        <v>5</v>
      </c>
      <c r="C32" s="100">
        <v>734</v>
      </c>
      <c r="D32" s="90">
        <v>38.18181818181818</v>
      </c>
      <c r="E32" s="100">
        <v>55</v>
      </c>
    </row>
    <row r="33" spans="1:5" x14ac:dyDescent="0.35">
      <c r="A33" t="s">
        <v>14</v>
      </c>
      <c r="B33" s="100">
        <v>3</v>
      </c>
      <c r="C33" s="100">
        <v>753</v>
      </c>
      <c r="D33" s="90">
        <v>8.3333333333333339</v>
      </c>
      <c r="E33" s="100">
        <v>36</v>
      </c>
    </row>
    <row r="34" spans="1:5" x14ac:dyDescent="0.35">
      <c r="A34" t="s">
        <v>67</v>
      </c>
      <c r="B34" s="100">
        <v>1</v>
      </c>
      <c r="C34" s="100">
        <v>783</v>
      </c>
      <c r="D34" s="90">
        <v>34.615384615384613</v>
      </c>
      <c r="E34" s="100">
        <v>26</v>
      </c>
    </row>
    <row r="35" spans="1:5" x14ac:dyDescent="0.35">
      <c r="A35" t="s">
        <v>68</v>
      </c>
      <c r="B35" s="100">
        <v>6</v>
      </c>
      <c r="C35" s="100">
        <v>837</v>
      </c>
      <c r="D35" s="90">
        <v>38.46153846153846</v>
      </c>
      <c r="E35" s="100">
        <v>52</v>
      </c>
    </row>
    <row r="36" spans="1:5" x14ac:dyDescent="0.35">
      <c r="A36" t="s">
        <v>69</v>
      </c>
      <c r="B36" s="100">
        <v>4</v>
      </c>
      <c r="C36" s="100">
        <v>851</v>
      </c>
      <c r="D36" s="90">
        <v>23.076923076923077</v>
      </c>
      <c r="E36" s="100">
        <v>39</v>
      </c>
    </row>
    <row r="37" spans="1:5" x14ac:dyDescent="0.35">
      <c r="A37" t="s">
        <v>15</v>
      </c>
      <c r="B37" s="100">
        <v>6</v>
      </c>
      <c r="C37" s="100">
        <v>853</v>
      </c>
      <c r="D37" s="90">
        <v>27.692307692307693</v>
      </c>
      <c r="E37" s="100">
        <v>65</v>
      </c>
    </row>
    <row r="38" spans="1:5" x14ac:dyDescent="0.35">
      <c r="A38" t="s">
        <v>16</v>
      </c>
      <c r="B38" s="100">
        <v>5</v>
      </c>
      <c r="C38" s="100">
        <v>905</v>
      </c>
      <c r="D38" s="90">
        <v>19.298245614035089</v>
      </c>
      <c r="E38" s="100">
        <v>57</v>
      </c>
    </row>
    <row r="39" spans="1:5" x14ac:dyDescent="0.35">
      <c r="A39" t="s">
        <v>71</v>
      </c>
      <c r="B39" s="100">
        <v>6</v>
      </c>
      <c r="C39" s="100">
        <v>92</v>
      </c>
      <c r="D39" s="90">
        <v>32.584269662921351</v>
      </c>
      <c r="E39" s="100">
        <v>89</v>
      </c>
    </row>
    <row r="40" spans="1:5" x14ac:dyDescent="0.35">
      <c r="A40" t="s">
        <v>17</v>
      </c>
      <c r="B40" s="100">
        <v>1</v>
      </c>
      <c r="C40" s="100">
        <v>934</v>
      </c>
      <c r="D40" s="90">
        <v>25</v>
      </c>
      <c r="E40" s="100">
        <v>16</v>
      </c>
    </row>
    <row r="41" spans="1:5" x14ac:dyDescent="0.35">
      <c r="A41" t="s">
        <v>24</v>
      </c>
      <c r="B41" s="100">
        <v>2</v>
      </c>
      <c r="C41" s="100">
        <v>946</v>
      </c>
      <c r="D41" s="90">
        <v>38.70967741935484</v>
      </c>
      <c r="E41" s="100">
        <v>31</v>
      </c>
    </row>
    <row r="44" spans="1:5" x14ac:dyDescent="0.35">
      <c r="A44" t="s">
        <v>126</v>
      </c>
      <c r="D44" t="s">
        <v>246</v>
      </c>
      <c r="E44" t="s">
        <v>79</v>
      </c>
    </row>
    <row r="45" spans="1:5" x14ac:dyDescent="0.35">
      <c r="A45" t="s">
        <v>130</v>
      </c>
      <c r="D45" s="90">
        <v>28.666666666666668</v>
      </c>
      <c r="E45" s="100">
        <v>151</v>
      </c>
    </row>
    <row r="46" spans="1:5" x14ac:dyDescent="0.35">
      <c r="A46" t="s">
        <v>131</v>
      </c>
      <c r="D46" s="90">
        <v>25.694444444444443</v>
      </c>
      <c r="E46" s="100">
        <v>144</v>
      </c>
    </row>
    <row r="47" spans="1:5" x14ac:dyDescent="0.35">
      <c r="A47" t="s">
        <v>132</v>
      </c>
      <c r="D47" s="90">
        <v>23.220973782771537</v>
      </c>
      <c r="E47" s="100">
        <v>268</v>
      </c>
    </row>
    <row r="48" spans="1:5" x14ac:dyDescent="0.35">
      <c r="A48" t="s">
        <v>133</v>
      </c>
      <c r="D48" s="90">
        <v>21.011673151750973</v>
      </c>
      <c r="E48" s="100">
        <v>258</v>
      </c>
    </row>
    <row r="49" spans="1:5" x14ac:dyDescent="0.35">
      <c r="A49" t="s">
        <v>134</v>
      </c>
      <c r="D49" s="90">
        <v>23.652694610778443</v>
      </c>
      <c r="E49" s="100">
        <v>335</v>
      </c>
    </row>
    <row r="50" spans="1:5" x14ac:dyDescent="0.35">
      <c r="A50" t="s">
        <v>135</v>
      </c>
      <c r="D50" s="90">
        <v>28.039702233250619</v>
      </c>
      <c r="E50" s="100">
        <v>406</v>
      </c>
    </row>
    <row r="52" spans="1:5" x14ac:dyDescent="0.35">
      <c r="D52" t="s">
        <v>246</v>
      </c>
      <c r="E52" t="s">
        <v>79</v>
      </c>
    </row>
    <row r="53" spans="1:5" x14ac:dyDescent="0.35">
      <c r="A53" t="s">
        <v>127</v>
      </c>
      <c r="D53" s="90">
        <v>24.95176848874598</v>
      </c>
      <c r="E53" s="100">
        <v>1562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3" workbookViewId="0">
      <selection activeCell="A69" sqref="A69:L69"/>
    </sheetView>
  </sheetViews>
  <sheetFormatPr defaultRowHeight="14.6" x14ac:dyDescent="0.35"/>
  <sheetData>
    <row r="1" spans="1:11" x14ac:dyDescent="0.35">
      <c r="A1" t="s">
        <v>122</v>
      </c>
      <c r="B1" t="s">
        <v>123</v>
      </c>
      <c r="C1" t="s">
        <v>124</v>
      </c>
      <c r="D1" t="s">
        <v>247</v>
      </c>
      <c r="E1" t="s">
        <v>248</v>
      </c>
      <c r="F1" t="s">
        <v>249</v>
      </c>
      <c r="G1" t="s">
        <v>250</v>
      </c>
      <c r="H1" t="s">
        <v>251</v>
      </c>
      <c r="I1" t="s">
        <v>252</v>
      </c>
      <c r="J1" t="s">
        <v>253</v>
      </c>
      <c r="K1" t="s">
        <v>79</v>
      </c>
    </row>
    <row r="2" spans="1:11" x14ac:dyDescent="0.35">
      <c r="A2" t="s">
        <v>44</v>
      </c>
      <c r="B2" s="100">
        <v>1</v>
      </c>
      <c r="C2" s="100">
        <v>18</v>
      </c>
      <c r="D2" s="90">
        <v>3.8571428571428572</v>
      </c>
      <c r="E2" s="90">
        <v>4.2142857142857144</v>
      </c>
      <c r="F2" s="90">
        <v>4.2307692307692308</v>
      </c>
      <c r="G2" s="90">
        <v>4</v>
      </c>
      <c r="H2" s="90">
        <v>3.5</v>
      </c>
      <c r="I2" s="90">
        <v>3.5625</v>
      </c>
      <c r="J2" s="90">
        <v>3.0625</v>
      </c>
      <c r="K2" s="100">
        <v>16</v>
      </c>
    </row>
    <row r="3" spans="1:11" x14ac:dyDescent="0.35">
      <c r="A3" t="s">
        <v>45</v>
      </c>
      <c r="B3" s="100">
        <v>6</v>
      </c>
      <c r="C3" s="100">
        <v>49</v>
      </c>
      <c r="D3" s="90">
        <v>3.1645569620253164</v>
      </c>
      <c r="E3" s="90">
        <v>3.4210526315789473</v>
      </c>
      <c r="F3" s="90">
        <v>3.5789473684210527</v>
      </c>
      <c r="G3" s="90">
        <v>3.2567567567567566</v>
      </c>
      <c r="H3" s="90">
        <v>2.7820512820512819</v>
      </c>
      <c r="I3" s="90">
        <v>3.4935064935064934</v>
      </c>
      <c r="J3" s="90">
        <v>3.3835616438356166</v>
      </c>
      <c r="K3" s="100">
        <v>82</v>
      </c>
    </row>
    <row r="4" spans="1:11" x14ac:dyDescent="0.35">
      <c r="A4" t="s">
        <v>46</v>
      </c>
      <c r="B4" s="100">
        <v>2</v>
      </c>
      <c r="C4" s="100">
        <v>82</v>
      </c>
      <c r="D4" s="90">
        <v>3.9</v>
      </c>
      <c r="E4" s="90">
        <v>4.1500000000000004</v>
      </c>
      <c r="F4" s="90">
        <v>3.7894736842105261</v>
      </c>
      <c r="G4" s="90">
        <v>3.7619047619047619</v>
      </c>
      <c r="H4" s="90">
        <v>3.85</v>
      </c>
      <c r="I4" s="90">
        <v>3.8095238095238093</v>
      </c>
      <c r="J4" s="90">
        <v>3.1764705882352939</v>
      </c>
      <c r="K4" s="100">
        <v>21</v>
      </c>
    </row>
    <row r="5" spans="1:11" x14ac:dyDescent="0.35">
      <c r="A5" t="s">
        <v>2</v>
      </c>
      <c r="B5" s="100">
        <v>1</v>
      </c>
      <c r="C5" s="100">
        <v>97</v>
      </c>
      <c r="D5" s="90">
        <v>4.5</v>
      </c>
      <c r="E5" s="90">
        <v>4.6428571428571432</v>
      </c>
      <c r="F5" s="90">
        <v>4.6923076923076925</v>
      </c>
      <c r="G5" s="90">
        <v>4.384615384615385</v>
      </c>
      <c r="H5" s="90">
        <v>3.7857142857142856</v>
      </c>
      <c r="I5" s="90">
        <v>3.3846153846153846</v>
      </c>
      <c r="J5" s="90">
        <v>3.8333333333333335</v>
      </c>
      <c r="K5" s="100">
        <v>14</v>
      </c>
    </row>
    <row r="6" spans="1:11" x14ac:dyDescent="0.35">
      <c r="A6" t="s">
        <v>3</v>
      </c>
      <c r="B6" s="100">
        <v>4</v>
      </c>
      <c r="C6" s="100">
        <v>54</v>
      </c>
      <c r="D6" s="90">
        <v>4.161290322580645</v>
      </c>
      <c r="E6" s="90">
        <v>4.2333333333333334</v>
      </c>
      <c r="F6" s="90">
        <v>3.9333333333333331</v>
      </c>
      <c r="G6" s="90">
        <v>4.290322580645161</v>
      </c>
      <c r="H6" s="90">
        <v>4.333333333333333</v>
      </c>
      <c r="I6" s="90">
        <v>4.1071428571428568</v>
      </c>
      <c r="J6" s="90">
        <v>4</v>
      </c>
      <c r="K6" s="100">
        <v>31</v>
      </c>
    </row>
    <row r="7" spans="1:11" x14ac:dyDescent="0.35">
      <c r="A7" t="s">
        <v>4</v>
      </c>
      <c r="B7" s="100">
        <v>5</v>
      </c>
      <c r="C7" s="100">
        <v>109</v>
      </c>
      <c r="D7" s="90">
        <v>3.8974358974358974</v>
      </c>
      <c r="E7" s="90">
        <v>4</v>
      </c>
      <c r="F7" s="90">
        <v>4.1142857142857139</v>
      </c>
      <c r="G7" s="90">
        <v>4</v>
      </c>
      <c r="H7" s="90">
        <v>3.8461538461538463</v>
      </c>
      <c r="I7" s="90">
        <v>3.65</v>
      </c>
      <c r="J7" s="90">
        <v>3.5128205128205128</v>
      </c>
      <c r="K7" s="100">
        <v>41</v>
      </c>
    </row>
    <row r="8" spans="1:11" x14ac:dyDescent="0.35">
      <c r="A8" t="s">
        <v>48</v>
      </c>
      <c r="B8" s="100">
        <v>2</v>
      </c>
      <c r="C8" s="100">
        <v>148</v>
      </c>
      <c r="D8" s="90">
        <v>3.7777777777777777</v>
      </c>
      <c r="E8" s="90">
        <v>4.2941176470588234</v>
      </c>
      <c r="F8" s="90">
        <v>4.1111111111111107</v>
      </c>
      <c r="G8" s="90">
        <v>4.0555555555555554</v>
      </c>
      <c r="H8" s="90">
        <v>3.3333333333333335</v>
      </c>
      <c r="I8" s="90">
        <v>3.75</v>
      </c>
      <c r="J8" s="90">
        <v>3.4117647058823528</v>
      </c>
      <c r="K8" s="100">
        <v>18</v>
      </c>
    </row>
    <row r="9" spans="1:11" x14ac:dyDescent="0.35">
      <c r="A9" t="s">
        <v>5</v>
      </c>
      <c r="B9" s="100">
        <v>6</v>
      </c>
      <c r="C9" s="100">
        <v>179</v>
      </c>
      <c r="D9" s="90">
        <v>3.8113207547169812</v>
      </c>
      <c r="E9" s="90">
        <v>3.7358490566037736</v>
      </c>
      <c r="F9" s="90">
        <v>3.9245283018867925</v>
      </c>
      <c r="G9" s="90">
        <v>3.7692307692307692</v>
      </c>
      <c r="H9" s="90">
        <v>3.3018867924528301</v>
      </c>
      <c r="I9" s="90">
        <v>3.4074074074074074</v>
      </c>
      <c r="J9" s="90">
        <v>3.1153846153846154</v>
      </c>
      <c r="K9" s="100">
        <v>59</v>
      </c>
    </row>
    <row r="10" spans="1:11" x14ac:dyDescent="0.35">
      <c r="A10" t="s">
        <v>50</v>
      </c>
      <c r="B10" s="100">
        <v>3</v>
      </c>
      <c r="C10" s="100">
        <v>214</v>
      </c>
      <c r="D10" s="90">
        <v>3.9166666666666665</v>
      </c>
      <c r="E10" s="90">
        <v>4.208333333333333</v>
      </c>
      <c r="F10" s="90">
        <v>3.9583333333333335</v>
      </c>
      <c r="G10" s="90">
        <v>3.75</v>
      </c>
      <c r="H10" s="90">
        <v>3.25</v>
      </c>
      <c r="I10" s="90">
        <v>3.2916666666666665</v>
      </c>
      <c r="J10" s="90">
        <v>3.4782608695652173</v>
      </c>
      <c r="K10" s="100">
        <v>25</v>
      </c>
    </row>
    <row r="11" spans="1:11" x14ac:dyDescent="0.35">
      <c r="A11" t="s">
        <v>51</v>
      </c>
      <c r="B11" s="100">
        <v>1</v>
      </c>
      <c r="C11" s="100">
        <v>239</v>
      </c>
      <c r="D11" s="90">
        <v>4.1818181818181817</v>
      </c>
      <c r="E11" s="90">
        <v>4.2857142857142856</v>
      </c>
      <c r="F11" s="90">
        <v>4.1904761904761907</v>
      </c>
      <c r="G11" s="90">
        <v>4.1363636363636367</v>
      </c>
      <c r="H11" s="90">
        <v>4.2272727272727275</v>
      </c>
      <c r="I11" s="90">
        <v>4.4090909090909092</v>
      </c>
      <c r="J11" s="90">
        <v>3.9411764705882355</v>
      </c>
      <c r="K11" s="100">
        <v>22</v>
      </c>
    </row>
    <row r="12" spans="1:11" x14ac:dyDescent="0.35">
      <c r="A12" t="s">
        <v>22</v>
      </c>
      <c r="B12" s="100">
        <v>2</v>
      </c>
      <c r="C12" s="100">
        <v>322</v>
      </c>
      <c r="D12" s="90">
        <v>3.4285714285714284</v>
      </c>
      <c r="E12" s="90">
        <v>3.9642857142857144</v>
      </c>
      <c r="F12" s="90">
        <v>3.7307692307692308</v>
      </c>
      <c r="G12" s="90">
        <v>3.1785714285714284</v>
      </c>
      <c r="H12" s="90">
        <v>2.75</v>
      </c>
      <c r="I12" s="90">
        <v>3.5</v>
      </c>
      <c r="J12" s="90">
        <v>2.5</v>
      </c>
      <c r="K12" s="100">
        <v>28</v>
      </c>
    </row>
    <row r="13" spans="1:11" x14ac:dyDescent="0.35">
      <c r="A13" t="s">
        <v>52</v>
      </c>
      <c r="B13" s="100">
        <v>3</v>
      </c>
      <c r="C13" s="100">
        <v>249</v>
      </c>
      <c r="D13" s="90">
        <v>4.0294117647058822</v>
      </c>
      <c r="E13" s="90">
        <v>4.117647058823529</v>
      </c>
      <c r="F13" s="90">
        <v>4.0285714285714285</v>
      </c>
      <c r="G13" s="90">
        <v>3.6285714285714286</v>
      </c>
      <c r="H13" s="90">
        <v>3.7142857142857144</v>
      </c>
      <c r="I13" s="90">
        <v>3.8611111111111112</v>
      </c>
      <c r="J13" s="90">
        <v>3.5428571428571427</v>
      </c>
      <c r="K13" s="100">
        <v>37</v>
      </c>
    </row>
    <row r="14" spans="1:11" x14ac:dyDescent="0.35">
      <c r="A14" t="s">
        <v>72</v>
      </c>
      <c r="B14" s="100">
        <v>4</v>
      </c>
      <c r="C14" s="100">
        <v>272</v>
      </c>
      <c r="D14" s="90">
        <v>3.2241379310344827</v>
      </c>
      <c r="E14" s="90">
        <v>3.2931034482758621</v>
      </c>
      <c r="F14" s="90">
        <v>3.4814814814814814</v>
      </c>
      <c r="G14" s="90">
        <v>3.5714285714285716</v>
      </c>
      <c r="H14" s="90">
        <v>3.4827586206896552</v>
      </c>
      <c r="I14" s="90">
        <v>3.2982456140350878</v>
      </c>
      <c r="J14" s="90">
        <v>3.2545454545454544</v>
      </c>
      <c r="K14" s="100">
        <v>61</v>
      </c>
    </row>
    <row r="15" spans="1:11" x14ac:dyDescent="0.35">
      <c r="A15" t="s">
        <v>6</v>
      </c>
      <c r="B15" s="100">
        <v>5</v>
      </c>
      <c r="C15" s="100">
        <v>285</v>
      </c>
      <c r="D15" s="90">
        <v>3.6379310344827585</v>
      </c>
      <c r="E15" s="90">
        <v>3.8301886792452828</v>
      </c>
      <c r="F15" s="90">
        <v>3.8703703703703702</v>
      </c>
      <c r="G15" s="90">
        <v>3.406779661016949</v>
      </c>
      <c r="H15" s="90">
        <v>3.0491803278688523</v>
      </c>
      <c r="I15" s="90">
        <v>3.3225806451612905</v>
      </c>
      <c r="J15" s="90">
        <v>3.0689655172413794</v>
      </c>
      <c r="K15" s="100">
        <v>70</v>
      </c>
    </row>
    <row r="16" spans="1:11" x14ac:dyDescent="0.35">
      <c r="A16" t="s">
        <v>73</v>
      </c>
      <c r="B16" s="100">
        <v>3</v>
      </c>
      <c r="C16" s="100">
        <v>301</v>
      </c>
      <c r="D16" s="90">
        <v>3.6285714285714286</v>
      </c>
      <c r="E16" s="90">
        <v>4.117647058823529</v>
      </c>
      <c r="F16" s="90">
        <v>3.9375</v>
      </c>
      <c r="G16" s="90">
        <v>3.6470588235294117</v>
      </c>
      <c r="H16" s="90">
        <v>3.40625</v>
      </c>
      <c r="I16" s="90">
        <v>3</v>
      </c>
      <c r="J16" s="90">
        <v>3.1875</v>
      </c>
      <c r="K16" s="100">
        <v>36</v>
      </c>
    </row>
    <row r="17" spans="1:11" x14ac:dyDescent="0.35">
      <c r="A17" t="s">
        <v>7</v>
      </c>
      <c r="B17" s="100">
        <v>3</v>
      </c>
      <c r="C17" s="100">
        <v>305</v>
      </c>
      <c r="D17" s="90">
        <v>3.5666666666666669</v>
      </c>
      <c r="E17" s="90">
        <v>3.6451612903225805</v>
      </c>
      <c r="F17" s="90">
        <v>3.8214285714285716</v>
      </c>
      <c r="G17" s="90">
        <v>3.5666666666666669</v>
      </c>
      <c r="H17" s="90">
        <v>3.3225806451612905</v>
      </c>
      <c r="I17" s="90">
        <v>3.8333333333333335</v>
      </c>
      <c r="J17" s="90">
        <v>3.6206896551724137</v>
      </c>
      <c r="K17" s="100">
        <v>31</v>
      </c>
    </row>
    <row r="18" spans="1:11" x14ac:dyDescent="0.35">
      <c r="A18" t="s">
        <v>8</v>
      </c>
      <c r="B18" s="100">
        <v>5</v>
      </c>
      <c r="C18" s="100">
        <v>405</v>
      </c>
      <c r="D18" s="90">
        <v>3.5263157894736841</v>
      </c>
      <c r="E18" s="90">
        <v>3.8333333333333335</v>
      </c>
      <c r="F18" s="90">
        <v>3.6944444444444446</v>
      </c>
      <c r="G18" s="90">
        <v>3.6666666666666665</v>
      </c>
      <c r="H18" s="90">
        <v>3.6578947368421053</v>
      </c>
      <c r="I18" s="90">
        <v>3.4324324324324325</v>
      </c>
      <c r="J18" s="90">
        <v>3.2702702702702702</v>
      </c>
      <c r="K18" s="100">
        <v>40</v>
      </c>
    </row>
    <row r="19" spans="1:11" x14ac:dyDescent="0.35">
      <c r="A19" t="s">
        <v>9</v>
      </c>
      <c r="B19" s="100">
        <v>4</v>
      </c>
      <c r="C19" s="100">
        <v>418</v>
      </c>
      <c r="D19" s="90">
        <v>3.1025641025641026</v>
      </c>
      <c r="E19" s="90">
        <v>3.5789473684210527</v>
      </c>
      <c r="F19" s="90">
        <v>3.5945945945945947</v>
      </c>
      <c r="G19" s="90">
        <v>3.3</v>
      </c>
      <c r="H19" s="90">
        <v>3.5789473684210527</v>
      </c>
      <c r="I19" s="90">
        <v>3.5641025641025643</v>
      </c>
      <c r="J19" s="90">
        <v>3.2162162162162162</v>
      </c>
      <c r="K19" s="100">
        <v>40</v>
      </c>
    </row>
    <row r="20" spans="1:11" x14ac:dyDescent="0.35">
      <c r="A20" t="s">
        <v>56</v>
      </c>
      <c r="B20" s="100">
        <v>3</v>
      </c>
      <c r="C20" s="100">
        <v>426</v>
      </c>
      <c r="D20" s="90">
        <v>4</v>
      </c>
      <c r="E20" s="90">
        <v>4.3529411764705879</v>
      </c>
      <c r="F20" s="90">
        <v>4.1764705882352944</v>
      </c>
      <c r="G20" s="90">
        <v>4.1351351351351351</v>
      </c>
      <c r="H20" s="90">
        <v>3.6216216216216215</v>
      </c>
      <c r="I20" s="90">
        <v>3.9090909090909092</v>
      </c>
      <c r="J20" s="90">
        <v>3.3333333333333335</v>
      </c>
      <c r="K20" s="100">
        <v>38</v>
      </c>
    </row>
    <row r="21" spans="1:11" x14ac:dyDescent="0.35">
      <c r="A21" t="s">
        <v>74</v>
      </c>
      <c r="B21" s="100">
        <v>5</v>
      </c>
      <c r="C21" s="100">
        <v>491</v>
      </c>
      <c r="D21" s="90">
        <v>3.1739130434782608</v>
      </c>
      <c r="E21" s="90">
        <v>3.6086956521739131</v>
      </c>
      <c r="F21" s="90">
        <v>3.7384615384615385</v>
      </c>
      <c r="G21" s="90">
        <v>3.3823529411764706</v>
      </c>
      <c r="H21" s="90">
        <v>3.3582089552238807</v>
      </c>
      <c r="I21" s="90">
        <v>3.2058823529411766</v>
      </c>
      <c r="J21" s="90">
        <v>3.4</v>
      </c>
      <c r="K21" s="100">
        <v>72</v>
      </c>
    </row>
    <row r="22" spans="1:11" x14ac:dyDescent="0.35">
      <c r="A22" t="s">
        <v>10</v>
      </c>
      <c r="B22" s="100">
        <v>2.978723404255319</v>
      </c>
      <c r="C22" s="100">
        <v>499</v>
      </c>
      <c r="D22" s="90">
        <v>3.9</v>
      </c>
      <c r="E22" s="90">
        <v>4.2051282051282053</v>
      </c>
      <c r="F22" s="90">
        <v>3.9714285714285715</v>
      </c>
      <c r="G22" s="90">
        <v>4.0256410256410255</v>
      </c>
      <c r="H22" s="90">
        <v>3.6341463414634148</v>
      </c>
      <c r="I22" s="90">
        <v>3.4761904761904763</v>
      </c>
      <c r="J22" s="90">
        <v>3.1707317073170733</v>
      </c>
      <c r="K22" s="100">
        <v>47</v>
      </c>
    </row>
    <row r="23" spans="1:11" x14ac:dyDescent="0.35">
      <c r="A23" t="s">
        <v>58</v>
      </c>
      <c r="B23" s="100">
        <v>3</v>
      </c>
      <c r="C23" s="100">
        <v>535</v>
      </c>
      <c r="D23" s="90">
        <v>3.5789473684210527</v>
      </c>
      <c r="E23" s="90">
        <v>4.1052631578947372</v>
      </c>
      <c r="F23" s="90">
        <v>3.9444444444444446</v>
      </c>
      <c r="G23" s="90">
        <v>3.8947368421052633</v>
      </c>
      <c r="H23" s="90">
        <v>3.5789473684210527</v>
      </c>
      <c r="I23" s="90">
        <v>3.6315789473684212</v>
      </c>
      <c r="J23" s="90">
        <v>3.2222222222222223</v>
      </c>
      <c r="K23" s="100">
        <v>19</v>
      </c>
    </row>
    <row r="24" spans="1:11" x14ac:dyDescent="0.35">
      <c r="A24" t="s">
        <v>11</v>
      </c>
      <c r="B24" s="100">
        <v>6</v>
      </c>
      <c r="C24" s="100">
        <v>464</v>
      </c>
      <c r="D24" s="90">
        <v>3.2777777777777777</v>
      </c>
      <c r="E24" s="90">
        <v>3.5294117647058822</v>
      </c>
      <c r="F24" s="90">
        <v>3.5625</v>
      </c>
      <c r="G24" s="90">
        <v>3.574074074074074</v>
      </c>
      <c r="H24" s="90">
        <v>3.2407407407407409</v>
      </c>
      <c r="I24" s="90">
        <v>3.6037735849056602</v>
      </c>
      <c r="J24" s="90">
        <v>3.0909090909090908</v>
      </c>
      <c r="K24" s="100">
        <v>59</v>
      </c>
    </row>
    <row r="25" spans="1:11" x14ac:dyDescent="0.35">
      <c r="A25" t="s">
        <v>60</v>
      </c>
      <c r="B25" s="100">
        <v>1</v>
      </c>
      <c r="C25" s="100">
        <v>578</v>
      </c>
      <c r="D25" s="90">
        <v>4.2</v>
      </c>
      <c r="E25" s="90">
        <v>4.5999999999999996</v>
      </c>
      <c r="F25" s="90">
        <v>4.4444444444444446</v>
      </c>
      <c r="G25" s="90">
        <v>4</v>
      </c>
      <c r="H25" s="90">
        <v>4.1052631578947372</v>
      </c>
      <c r="I25" s="90">
        <v>3.7</v>
      </c>
      <c r="J25" s="90">
        <v>3.7058823529411766</v>
      </c>
      <c r="K25" s="100">
        <v>21</v>
      </c>
    </row>
    <row r="26" spans="1:11" x14ac:dyDescent="0.35">
      <c r="A26" t="s">
        <v>61</v>
      </c>
      <c r="B26" s="100">
        <v>2</v>
      </c>
      <c r="C26" s="100">
        <v>581</v>
      </c>
      <c r="D26" s="90">
        <v>3.6666666666666665</v>
      </c>
      <c r="E26" s="90">
        <v>3.9642857142857144</v>
      </c>
      <c r="F26" s="90">
        <v>3.7857142857142856</v>
      </c>
      <c r="G26" s="90">
        <v>3.3333333333333335</v>
      </c>
      <c r="H26" s="90">
        <v>2.4814814814814814</v>
      </c>
      <c r="I26" s="90">
        <v>3.5555555555555554</v>
      </c>
      <c r="J26" s="90">
        <v>3.5555555555555554</v>
      </c>
      <c r="K26" s="100">
        <v>28</v>
      </c>
    </row>
    <row r="27" spans="1:11" x14ac:dyDescent="0.35">
      <c r="A27" t="s">
        <v>62</v>
      </c>
      <c r="B27" s="100">
        <v>1</v>
      </c>
      <c r="C27" s="100">
        <v>592</v>
      </c>
      <c r="D27" s="90">
        <v>3.4736842105263159</v>
      </c>
      <c r="E27" s="90">
        <v>3.8947368421052633</v>
      </c>
      <c r="F27" s="90">
        <v>3.3684210526315788</v>
      </c>
      <c r="G27" s="90">
        <v>3</v>
      </c>
      <c r="H27" s="90">
        <v>3.3333333333333335</v>
      </c>
      <c r="I27" s="90">
        <v>3.3157894736842106</v>
      </c>
      <c r="J27" s="90">
        <v>2.8947368421052633</v>
      </c>
      <c r="K27" s="100">
        <v>19</v>
      </c>
    </row>
    <row r="28" spans="1:11" x14ac:dyDescent="0.35">
      <c r="A28" t="s">
        <v>12</v>
      </c>
      <c r="B28" s="100">
        <v>2</v>
      </c>
      <c r="C28" s="100">
        <v>615</v>
      </c>
      <c r="D28" s="90">
        <v>3.9375</v>
      </c>
      <c r="E28" s="90">
        <v>4.25</v>
      </c>
      <c r="F28" s="90">
        <v>4.3125</v>
      </c>
      <c r="G28" s="90">
        <v>3.875</v>
      </c>
      <c r="H28" s="90">
        <v>3.75</v>
      </c>
      <c r="I28" s="90">
        <v>4.117647058823529</v>
      </c>
      <c r="J28" s="90">
        <v>3.875</v>
      </c>
      <c r="K28" s="100">
        <v>17</v>
      </c>
    </row>
    <row r="29" spans="1:11" x14ac:dyDescent="0.35">
      <c r="A29" t="s">
        <v>23</v>
      </c>
      <c r="B29" s="100">
        <v>4</v>
      </c>
      <c r="C29" s="100">
        <v>710</v>
      </c>
      <c r="D29" s="90">
        <v>3.4358974358974357</v>
      </c>
      <c r="E29" s="90">
        <v>3.5789473684210527</v>
      </c>
      <c r="F29" s="90">
        <v>3.2432432432432434</v>
      </c>
      <c r="G29" s="90">
        <v>3.7073170731707319</v>
      </c>
      <c r="H29" s="90">
        <v>3.3095238095238093</v>
      </c>
      <c r="I29" s="90">
        <v>3.2926829268292681</v>
      </c>
      <c r="J29" s="90">
        <v>2.7317073170731709</v>
      </c>
      <c r="K29" s="100">
        <v>43</v>
      </c>
    </row>
    <row r="30" spans="1:11" x14ac:dyDescent="0.35">
      <c r="A30" t="s">
        <v>64</v>
      </c>
      <c r="B30" s="100">
        <v>4</v>
      </c>
      <c r="C30" s="100">
        <v>680</v>
      </c>
      <c r="D30" s="90">
        <v>3.7727272727272729</v>
      </c>
      <c r="E30" s="90">
        <v>4.1190476190476186</v>
      </c>
      <c r="F30" s="90">
        <v>4.1162790697674421</v>
      </c>
      <c r="G30" s="90">
        <v>3.9523809523809526</v>
      </c>
      <c r="H30" s="90">
        <v>3.4651162790697674</v>
      </c>
      <c r="I30" s="90">
        <v>3.4761904761904763</v>
      </c>
      <c r="J30" s="90">
        <v>3.4878048780487805</v>
      </c>
      <c r="K30" s="100">
        <v>44</v>
      </c>
    </row>
    <row r="31" spans="1:11" x14ac:dyDescent="0.35">
      <c r="A31" t="s">
        <v>65</v>
      </c>
      <c r="B31" s="100">
        <v>1</v>
      </c>
      <c r="C31" s="100">
        <v>686</v>
      </c>
      <c r="D31" s="90">
        <v>3.3333333333333335</v>
      </c>
      <c r="E31" s="90">
        <v>3.8</v>
      </c>
      <c r="F31" s="90">
        <v>3.8666666666666667</v>
      </c>
      <c r="G31" s="90">
        <v>3.6</v>
      </c>
      <c r="H31" s="90">
        <v>3.4666666666666668</v>
      </c>
      <c r="I31" s="90">
        <v>3.7333333333333334</v>
      </c>
      <c r="J31" s="90">
        <v>3.0714285714285716</v>
      </c>
      <c r="K31" s="100">
        <v>17</v>
      </c>
    </row>
    <row r="32" spans="1:11" x14ac:dyDescent="0.35">
      <c r="A32" t="s">
        <v>13</v>
      </c>
      <c r="B32" s="100">
        <v>5</v>
      </c>
      <c r="C32" s="100">
        <v>734</v>
      </c>
      <c r="D32" s="90">
        <v>3.3529411764705883</v>
      </c>
      <c r="E32" s="90">
        <v>3.8823529411764706</v>
      </c>
      <c r="F32" s="90">
        <v>3.7551020408163267</v>
      </c>
      <c r="G32" s="90">
        <v>3.6538461538461537</v>
      </c>
      <c r="H32" s="90">
        <v>3.392156862745098</v>
      </c>
      <c r="I32" s="90">
        <v>3.6</v>
      </c>
      <c r="J32" s="90">
        <v>3.22</v>
      </c>
      <c r="K32" s="100">
        <v>55</v>
      </c>
    </row>
    <row r="33" spans="1:11" x14ac:dyDescent="0.35">
      <c r="A33" t="s">
        <v>14</v>
      </c>
      <c r="B33" s="100">
        <v>3</v>
      </c>
      <c r="C33" s="100">
        <v>753</v>
      </c>
      <c r="D33" s="90">
        <v>3.8</v>
      </c>
      <c r="E33" s="90">
        <v>3.7428571428571429</v>
      </c>
      <c r="F33" s="90">
        <v>3.8181818181818183</v>
      </c>
      <c r="G33" s="90">
        <v>3.6666666666666665</v>
      </c>
      <c r="H33" s="90">
        <v>3.2571428571428571</v>
      </c>
      <c r="I33" s="90">
        <v>3.6764705882352939</v>
      </c>
      <c r="J33" s="90">
        <v>3.6857142857142855</v>
      </c>
      <c r="K33" s="100">
        <v>36</v>
      </c>
    </row>
    <row r="34" spans="1:11" x14ac:dyDescent="0.35">
      <c r="A34" t="s">
        <v>67</v>
      </c>
      <c r="B34" s="100">
        <v>1</v>
      </c>
      <c r="C34" s="100">
        <v>783</v>
      </c>
      <c r="D34" s="90">
        <v>3.84</v>
      </c>
      <c r="E34" s="90">
        <v>3.8333333333333335</v>
      </c>
      <c r="F34" s="90">
        <v>4.166666666666667</v>
      </c>
      <c r="G34" s="90">
        <v>4.04</v>
      </c>
      <c r="H34" s="90">
        <v>3.92</v>
      </c>
      <c r="I34" s="90">
        <v>4.04</v>
      </c>
      <c r="J34" s="90">
        <v>3.84</v>
      </c>
      <c r="K34" s="100">
        <v>26</v>
      </c>
    </row>
    <row r="35" spans="1:11" x14ac:dyDescent="0.35">
      <c r="A35" t="s">
        <v>68</v>
      </c>
      <c r="B35" s="100">
        <v>6</v>
      </c>
      <c r="C35" s="100">
        <v>837</v>
      </c>
      <c r="D35" s="90">
        <v>3.4117647058823528</v>
      </c>
      <c r="E35" s="90">
        <v>3.6326530612244898</v>
      </c>
      <c r="F35" s="90">
        <v>3.795918367346939</v>
      </c>
      <c r="G35" s="90">
        <v>3.8979591836734695</v>
      </c>
      <c r="H35" s="90">
        <v>3.1</v>
      </c>
      <c r="I35" s="90">
        <v>3.4705882352941178</v>
      </c>
      <c r="J35" s="90">
        <v>3.2826086956521738</v>
      </c>
      <c r="K35" s="100">
        <v>52</v>
      </c>
    </row>
    <row r="36" spans="1:11" x14ac:dyDescent="0.35">
      <c r="A36" t="s">
        <v>69</v>
      </c>
      <c r="B36" s="100">
        <v>4</v>
      </c>
      <c r="C36" s="100">
        <v>851</v>
      </c>
      <c r="D36" s="90">
        <v>3.9473684210526314</v>
      </c>
      <c r="E36" s="90">
        <v>3.8947368421052633</v>
      </c>
      <c r="F36" s="90">
        <v>3.8611111111111112</v>
      </c>
      <c r="G36" s="90">
        <v>3.7222222222222223</v>
      </c>
      <c r="H36" s="90">
        <v>3.3783783783783785</v>
      </c>
      <c r="I36" s="90">
        <v>3.2222222222222223</v>
      </c>
      <c r="J36" s="90">
        <v>3.3714285714285714</v>
      </c>
      <c r="K36" s="100">
        <v>39</v>
      </c>
    </row>
    <row r="37" spans="1:11" x14ac:dyDescent="0.35">
      <c r="A37" t="s">
        <v>15</v>
      </c>
      <c r="B37" s="100">
        <v>6</v>
      </c>
      <c r="C37" s="100">
        <v>853</v>
      </c>
      <c r="D37" s="90">
        <v>2.6984126984126986</v>
      </c>
      <c r="E37" s="90">
        <v>3.1666666666666665</v>
      </c>
      <c r="F37" s="90">
        <v>3.2758620689655173</v>
      </c>
      <c r="G37" s="90">
        <v>3.5423728813559321</v>
      </c>
      <c r="H37" s="90">
        <v>2.8412698412698414</v>
      </c>
      <c r="I37" s="90">
        <v>3.3015873015873014</v>
      </c>
      <c r="J37" s="90">
        <v>3.2931034482758621</v>
      </c>
      <c r="K37" s="100">
        <v>65</v>
      </c>
    </row>
    <row r="38" spans="1:11" x14ac:dyDescent="0.35">
      <c r="A38" t="s">
        <v>16</v>
      </c>
      <c r="B38" s="100">
        <v>5</v>
      </c>
      <c r="C38" s="100">
        <v>905</v>
      </c>
      <c r="D38" s="90">
        <v>3.32</v>
      </c>
      <c r="E38" s="90">
        <v>3.6808510638297873</v>
      </c>
      <c r="F38" s="90">
        <v>3.5869565217391304</v>
      </c>
      <c r="G38" s="90">
        <v>3.4528301886792452</v>
      </c>
      <c r="H38" s="90">
        <v>3.1509433962264151</v>
      </c>
      <c r="I38" s="90">
        <v>3.3269230769230771</v>
      </c>
      <c r="J38" s="90">
        <v>3.2244897959183674</v>
      </c>
      <c r="K38" s="100">
        <v>57</v>
      </c>
    </row>
    <row r="39" spans="1:11" x14ac:dyDescent="0.35">
      <c r="A39" t="s">
        <v>71</v>
      </c>
      <c r="B39" s="100">
        <v>6</v>
      </c>
      <c r="C39" s="100">
        <v>92</v>
      </c>
      <c r="D39" s="90">
        <v>3.4117647058823528</v>
      </c>
      <c r="E39" s="90">
        <v>3.7051282051282053</v>
      </c>
      <c r="F39" s="90">
        <v>3.8026315789473686</v>
      </c>
      <c r="G39" s="90">
        <v>3.7349397590361444</v>
      </c>
      <c r="H39" s="90">
        <v>3.1851851851851851</v>
      </c>
      <c r="I39" s="90">
        <v>3.5238095238095237</v>
      </c>
      <c r="J39" s="90">
        <v>3.5783132530120483</v>
      </c>
      <c r="K39" s="100">
        <v>89</v>
      </c>
    </row>
    <row r="40" spans="1:11" x14ac:dyDescent="0.35">
      <c r="A40" t="s">
        <v>17</v>
      </c>
      <c r="B40" s="100">
        <v>1</v>
      </c>
      <c r="C40" s="100">
        <v>934</v>
      </c>
      <c r="D40" s="90">
        <v>3.4285714285714284</v>
      </c>
      <c r="E40" s="90">
        <v>4.2</v>
      </c>
      <c r="F40" s="90">
        <v>4.1428571428571432</v>
      </c>
      <c r="G40" s="90">
        <v>3.6428571428571428</v>
      </c>
      <c r="H40" s="90">
        <v>3</v>
      </c>
      <c r="I40" s="90">
        <v>3.2666666666666666</v>
      </c>
      <c r="J40" s="90">
        <v>2.9333333333333331</v>
      </c>
      <c r="K40" s="100">
        <v>16</v>
      </c>
    </row>
    <row r="41" spans="1:11" x14ac:dyDescent="0.35">
      <c r="A41" t="s">
        <v>24</v>
      </c>
      <c r="B41" s="100">
        <v>2</v>
      </c>
      <c r="C41" s="100">
        <v>946</v>
      </c>
      <c r="D41" s="90">
        <v>4.3214285714285712</v>
      </c>
      <c r="E41" s="90">
        <v>4.5925925925925926</v>
      </c>
      <c r="F41" s="90">
        <v>4.5172413793103452</v>
      </c>
      <c r="G41" s="90">
        <v>3.875</v>
      </c>
      <c r="H41" s="90">
        <v>3.6896551724137931</v>
      </c>
      <c r="I41" s="90">
        <v>4</v>
      </c>
      <c r="J41" s="90">
        <v>3.4285714285714284</v>
      </c>
      <c r="K41" s="100">
        <v>31</v>
      </c>
    </row>
    <row r="44" spans="1:11" x14ac:dyDescent="0.35">
      <c r="A44" t="s">
        <v>126</v>
      </c>
      <c r="D44" t="s">
        <v>247</v>
      </c>
      <c r="E44" t="s">
        <v>248</v>
      </c>
      <c r="F44" t="s">
        <v>249</v>
      </c>
      <c r="G44" t="s">
        <v>250</v>
      </c>
      <c r="H44" t="s">
        <v>251</v>
      </c>
      <c r="I44" t="s">
        <v>252</v>
      </c>
      <c r="J44" t="s">
        <v>253</v>
      </c>
      <c r="K44" t="s">
        <v>79</v>
      </c>
    </row>
    <row r="45" spans="1:11" x14ac:dyDescent="0.35">
      <c r="A45" t="s">
        <v>130</v>
      </c>
      <c r="D45" s="90">
        <v>3.8671328671328671</v>
      </c>
      <c r="E45" s="90">
        <v>4.169014084507042</v>
      </c>
      <c r="F45" s="90">
        <v>4.1167883211678831</v>
      </c>
      <c r="G45" s="90">
        <v>3.852112676056338</v>
      </c>
      <c r="H45" s="90">
        <v>3.7152777777777777</v>
      </c>
      <c r="I45" s="90">
        <v>3.7310344827586208</v>
      </c>
      <c r="J45" s="90">
        <v>3.4296296296296296</v>
      </c>
      <c r="K45" s="100">
        <v>151</v>
      </c>
    </row>
    <row r="46" spans="1:11" x14ac:dyDescent="0.35">
      <c r="A46" t="s">
        <v>131</v>
      </c>
      <c r="D46" s="90">
        <v>3.8405797101449277</v>
      </c>
      <c r="E46" s="90">
        <v>4.1970802919708028</v>
      </c>
      <c r="F46" s="90">
        <v>4.0437956204379564</v>
      </c>
      <c r="G46" s="90">
        <v>3.6370370370370368</v>
      </c>
      <c r="H46" s="90">
        <v>3.2589928057553958</v>
      </c>
      <c r="I46" s="90">
        <v>3.7826086956521738</v>
      </c>
      <c r="J46" s="90">
        <v>3.3030303030303032</v>
      </c>
      <c r="K46" s="100">
        <v>144</v>
      </c>
    </row>
    <row r="47" spans="1:11" x14ac:dyDescent="0.35">
      <c r="A47" t="s">
        <v>132</v>
      </c>
      <c r="D47" s="90">
        <v>3.8119999999999998</v>
      </c>
      <c r="E47" s="90">
        <v>4.0562248995983934</v>
      </c>
      <c r="F47" s="90">
        <v>3.9579831932773111</v>
      </c>
      <c r="G47" s="90">
        <v>3.7919999999999998</v>
      </c>
      <c r="H47" s="90">
        <v>3.4782608695652173</v>
      </c>
      <c r="I47" s="90">
        <v>3.5816733067729083</v>
      </c>
      <c r="J47" s="90">
        <v>3.399193548387097</v>
      </c>
      <c r="K47" s="100">
        <v>268</v>
      </c>
    </row>
    <row r="48" spans="1:11" x14ac:dyDescent="0.35">
      <c r="A48" t="s">
        <v>133</v>
      </c>
      <c r="D48" s="90">
        <v>3.5622489959839356</v>
      </c>
      <c r="E48" s="90">
        <v>3.7336065573770494</v>
      </c>
      <c r="F48" s="90">
        <v>3.6919831223628692</v>
      </c>
      <c r="G48" s="90">
        <v>3.7276422764227641</v>
      </c>
      <c r="H48" s="90">
        <v>3.5524193548387095</v>
      </c>
      <c r="I48" s="90">
        <v>3.4526748971193415</v>
      </c>
      <c r="J48" s="90">
        <v>3.3037974683544302</v>
      </c>
      <c r="K48" s="100">
        <v>258</v>
      </c>
    </row>
    <row r="49" spans="1:11" x14ac:dyDescent="0.35">
      <c r="A49" t="s">
        <v>134</v>
      </c>
      <c r="D49" s="90">
        <v>3.4524590163934428</v>
      </c>
      <c r="E49" s="90">
        <v>3.7871621621621623</v>
      </c>
      <c r="F49" s="90">
        <v>3.7824561403508774</v>
      </c>
      <c r="G49" s="90">
        <v>3.5559210526315788</v>
      </c>
      <c r="H49" s="90">
        <v>3.3656957928802589</v>
      </c>
      <c r="I49" s="90">
        <v>3.3980582524271843</v>
      </c>
      <c r="J49" s="90">
        <v>3.2751677852348995</v>
      </c>
      <c r="K49" s="100">
        <v>335</v>
      </c>
    </row>
    <row r="50" spans="1:11" x14ac:dyDescent="0.35">
      <c r="A50" t="s">
        <v>135</v>
      </c>
      <c r="D50" s="90">
        <v>3.2805194805194806</v>
      </c>
      <c r="E50" s="90">
        <v>3.5286103542234333</v>
      </c>
      <c r="F50" s="90">
        <v>3.6555555555555554</v>
      </c>
      <c r="G50" s="90">
        <v>3.6118598382749325</v>
      </c>
      <c r="H50" s="90">
        <v>3.0580474934036941</v>
      </c>
      <c r="I50" s="90">
        <v>3.4685863874345548</v>
      </c>
      <c r="J50" s="90">
        <v>3.3188010899182561</v>
      </c>
      <c r="K50" s="100">
        <v>406</v>
      </c>
    </row>
    <row r="52" spans="1:11" x14ac:dyDescent="0.35">
      <c r="D52" t="s">
        <v>247</v>
      </c>
      <c r="E52" t="s">
        <v>248</v>
      </c>
      <c r="F52" t="s">
        <v>249</v>
      </c>
      <c r="G52" t="s">
        <v>250</v>
      </c>
      <c r="H52" t="s">
        <v>251</v>
      </c>
      <c r="I52" t="s">
        <v>252</v>
      </c>
      <c r="J52" t="s">
        <v>253</v>
      </c>
      <c r="K52" t="s">
        <v>79</v>
      </c>
    </row>
    <row r="53" spans="1:11" x14ac:dyDescent="0.35">
      <c r="A53" t="s">
        <v>127</v>
      </c>
      <c r="D53" s="90">
        <v>3.5639455782312925</v>
      </c>
      <c r="E53" s="90">
        <v>3.8355400696864113</v>
      </c>
      <c r="F53" s="90">
        <v>3.8228120516499282</v>
      </c>
      <c r="G53" s="90">
        <v>3.6767955801104972</v>
      </c>
      <c r="H53" s="90">
        <v>3.3614130434782608</v>
      </c>
      <c r="I53" s="90">
        <v>3.5258855585831061</v>
      </c>
      <c r="J53" s="90">
        <v>3.330275229357798</v>
      </c>
      <c r="K53" s="100">
        <v>1562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opLeftCell="A15" workbookViewId="0">
      <selection activeCell="A69" sqref="A69:L69"/>
    </sheetView>
  </sheetViews>
  <sheetFormatPr defaultColWidth="8.76171875" defaultRowHeight="14.6" x14ac:dyDescent="0.35"/>
  <cols>
    <col min="1" max="16384" width="8.76171875" style="119"/>
  </cols>
  <sheetData>
    <row r="1" spans="1:43" x14ac:dyDescent="0.35">
      <c r="A1" s="119" t="s">
        <v>122</v>
      </c>
      <c r="B1" s="119" t="s">
        <v>123</v>
      </c>
      <c r="C1" s="119" t="s">
        <v>124</v>
      </c>
      <c r="D1" s="119" t="s">
        <v>597</v>
      </c>
      <c r="E1" s="119" t="s">
        <v>598</v>
      </c>
      <c r="F1" s="119" t="s">
        <v>599</v>
      </c>
      <c r="G1" s="119" t="s">
        <v>600</v>
      </c>
      <c r="H1" s="119" t="s">
        <v>601</v>
      </c>
      <c r="I1" s="119" t="s">
        <v>602</v>
      </c>
      <c r="J1" s="119" t="s">
        <v>603</v>
      </c>
      <c r="K1" s="119" t="s">
        <v>604</v>
      </c>
      <c r="L1" s="119" t="s">
        <v>605</v>
      </c>
      <c r="M1" s="119" t="s">
        <v>606</v>
      </c>
      <c r="N1" s="119" t="s">
        <v>607</v>
      </c>
      <c r="O1" s="119" t="s">
        <v>608</v>
      </c>
      <c r="P1" s="119" t="s">
        <v>609</v>
      </c>
      <c r="Q1" s="119" t="s">
        <v>610</v>
      </c>
      <c r="R1" s="119" t="s">
        <v>611</v>
      </c>
      <c r="S1" s="119" t="s">
        <v>612</v>
      </c>
      <c r="T1" s="119" t="s">
        <v>613</v>
      </c>
      <c r="U1" s="119" t="s">
        <v>614</v>
      </c>
      <c r="V1" s="119" t="s">
        <v>615</v>
      </c>
      <c r="W1" s="119" t="s">
        <v>616</v>
      </c>
      <c r="X1" s="119" t="s">
        <v>617</v>
      </c>
      <c r="Y1" s="119" t="s">
        <v>618</v>
      </c>
      <c r="Z1" s="119" t="s">
        <v>619</v>
      </c>
      <c r="AA1" s="119" t="s">
        <v>620</v>
      </c>
      <c r="AB1" s="119" t="s">
        <v>621</v>
      </c>
      <c r="AC1" s="119" t="s">
        <v>622</v>
      </c>
      <c r="AD1" s="119" t="s">
        <v>623</v>
      </c>
      <c r="AE1" s="119" t="s">
        <v>624</v>
      </c>
      <c r="AF1" s="119" t="s">
        <v>625</v>
      </c>
      <c r="AG1" s="119" t="s">
        <v>626</v>
      </c>
      <c r="AH1" s="119" t="s">
        <v>627</v>
      </c>
      <c r="AI1" s="119" t="s">
        <v>628</v>
      </c>
      <c r="AJ1" s="119" t="s">
        <v>629</v>
      </c>
      <c r="AK1" s="119" t="s">
        <v>630</v>
      </c>
      <c r="AL1" s="119" t="s">
        <v>631</v>
      </c>
      <c r="AM1" s="119" t="s">
        <v>632</v>
      </c>
      <c r="AN1" s="119" t="s">
        <v>633</v>
      </c>
      <c r="AO1" s="119" t="s">
        <v>634</v>
      </c>
      <c r="AP1" s="119" t="s">
        <v>635</v>
      </c>
      <c r="AQ1" s="119" t="s">
        <v>79</v>
      </c>
    </row>
    <row r="2" spans="1:43" x14ac:dyDescent="0.35">
      <c r="A2" s="119" t="s">
        <v>44</v>
      </c>
      <c r="B2" s="100">
        <v>1</v>
      </c>
      <c r="C2" s="100">
        <v>18</v>
      </c>
      <c r="D2" s="90">
        <v>3.0625</v>
      </c>
      <c r="E2" s="90">
        <v>3.8125</v>
      </c>
      <c r="F2" s="90">
        <v>4.5625</v>
      </c>
      <c r="G2" s="90">
        <v>4.333333333333333</v>
      </c>
      <c r="H2" s="90">
        <v>3.875</v>
      </c>
      <c r="I2" s="90">
        <v>3.6153846153846154</v>
      </c>
      <c r="J2" s="90">
        <v>3.5714285714285716</v>
      </c>
      <c r="K2" s="90">
        <v>2.6666666666666665</v>
      </c>
      <c r="L2" s="90">
        <v>3.6923076923076925</v>
      </c>
      <c r="M2" s="90">
        <v>3.5333333333333332</v>
      </c>
      <c r="N2" s="90">
        <v>3.7333333333333334</v>
      </c>
      <c r="O2" s="90">
        <v>3.625</v>
      </c>
      <c r="P2" s="90">
        <v>2.7857142857142856</v>
      </c>
      <c r="Q2" s="90">
        <v>3.7142857142857144</v>
      </c>
      <c r="R2" s="90">
        <v>3.75</v>
      </c>
      <c r="S2" s="90">
        <v>3.75</v>
      </c>
      <c r="T2" s="90">
        <v>3.2307692307692308</v>
      </c>
      <c r="U2" s="90">
        <v>3.6363636363636362</v>
      </c>
      <c r="V2" s="90">
        <v>4.3125</v>
      </c>
      <c r="W2" s="90">
        <v>4.625</v>
      </c>
      <c r="X2" s="90">
        <v>4.333333333333333</v>
      </c>
      <c r="Y2" s="90">
        <v>4.625</v>
      </c>
      <c r="Z2" s="90">
        <v>4.8125</v>
      </c>
      <c r="AA2" s="90">
        <v>4.375</v>
      </c>
      <c r="AB2" s="90">
        <v>3.9333333333333331</v>
      </c>
      <c r="AC2" s="90">
        <v>4</v>
      </c>
      <c r="AD2" s="90">
        <v>3.3571428571428572</v>
      </c>
      <c r="AE2" s="90">
        <v>3.4375</v>
      </c>
      <c r="AF2" s="90">
        <v>3.7142857142857144</v>
      </c>
      <c r="AG2" s="90">
        <v>4.3125</v>
      </c>
      <c r="AH2" s="90">
        <v>2.9375</v>
      </c>
      <c r="AI2" s="90">
        <v>3.5</v>
      </c>
      <c r="AJ2" s="90">
        <v>3.3333333333333335</v>
      </c>
      <c r="AK2" s="90">
        <v>2.8666666666666667</v>
      </c>
      <c r="AL2" s="90">
        <v>4</v>
      </c>
      <c r="AM2" s="90">
        <v>2.375</v>
      </c>
      <c r="AN2" s="90">
        <v>4.1428571428571432</v>
      </c>
      <c r="AO2" s="90">
        <v>3.9375</v>
      </c>
      <c r="AP2" s="90">
        <v>3.75</v>
      </c>
      <c r="AQ2" s="100">
        <v>16</v>
      </c>
    </row>
    <row r="3" spans="1:43" x14ac:dyDescent="0.35">
      <c r="A3" s="119" t="s">
        <v>45</v>
      </c>
      <c r="B3" s="100">
        <v>6</v>
      </c>
      <c r="C3" s="100">
        <v>49</v>
      </c>
      <c r="D3" s="90">
        <v>3.5750000000000002</v>
      </c>
      <c r="E3" s="90">
        <v>3.8227848101265822</v>
      </c>
      <c r="F3" s="90">
        <v>3.2702702702702702</v>
      </c>
      <c r="G3" s="90">
        <v>4.0847457627118642</v>
      </c>
      <c r="H3" s="90">
        <v>3.5483870967741935</v>
      </c>
      <c r="I3" s="90">
        <v>3.8857142857142857</v>
      </c>
      <c r="J3" s="90">
        <v>3.38</v>
      </c>
      <c r="K3" s="90">
        <v>3.36</v>
      </c>
      <c r="L3" s="90">
        <v>2.609375</v>
      </c>
      <c r="M3" s="90">
        <v>3.0307692307692307</v>
      </c>
      <c r="N3" s="90">
        <v>2.8333333333333335</v>
      </c>
      <c r="O3" s="90">
        <v>3.0491803278688523</v>
      </c>
      <c r="P3" s="90">
        <v>2.6875</v>
      </c>
      <c r="Q3" s="90">
        <v>3.3035714285714284</v>
      </c>
      <c r="R3" s="90">
        <v>3.0952380952380953</v>
      </c>
      <c r="S3" s="90">
        <v>3.3333333333333335</v>
      </c>
      <c r="T3" s="90">
        <v>2.8679245283018866</v>
      </c>
      <c r="U3" s="90">
        <v>3.3934426229508197</v>
      </c>
      <c r="V3" s="90">
        <v>3.8815789473684212</v>
      </c>
      <c r="W3" s="90">
        <v>4.1710526315789478</v>
      </c>
      <c r="X3" s="90">
        <v>4.2236842105263159</v>
      </c>
      <c r="Y3" s="90">
        <v>4.25</v>
      </c>
      <c r="Z3" s="90">
        <v>4.2894736842105265</v>
      </c>
      <c r="AA3" s="90">
        <v>4.0666666666666664</v>
      </c>
      <c r="AB3" s="90">
        <v>3.765625</v>
      </c>
      <c r="AC3" s="90">
        <v>3.46875</v>
      </c>
      <c r="AD3" s="90">
        <v>3.4179104477611939</v>
      </c>
      <c r="AE3" s="90">
        <v>3.65</v>
      </c>
      <c r="AF3" s="90">
        <v>3.8918918918918921</v>
      </c>
      <c r="AG3" s="90">
        <v>4.3875000000000002</v>
      </c>
      <c r="AH3" s="90">
        <v>3.8461538461538463</v>
      </c>
      <c r="AI3" s="90">
        <v>4.0519480519480515</v>
      </c>
      <c r="AJ3" s="90">
        <v>3.4428571428571431</v>
      </c>
      <c r="AK3" s="90">
        <v>2.68</v>
      </c>
      <c r="AL3" s="90">
        <v>2.3648648648648649</v>
      </c>
      <c r="AM3" s="90">
        <v>3.2716049382716048</v>
      </c>
      <c r="AN3" s="90">
        <v>2.6086956521739131</v>
      </c>
      <c r="AO3" s="90">
        <v>4.0253164556962027</v>
      </c>
      <c r="AP3" s="90">
        <v>3.8205128205128207</v>
      </c>
      <c r="AQ3" s="100">
        <v>82</v>
      </c>
    </row>
    <row r="4" spans="1:43" x14ac:dyDescent="0.35">
      <c r="A4" s="119" t="s">
        <v>46</v>
      </c>
      <c r="B4" s="100">
        <v>2</v>
      </c>
      <c r="C4" s="100">
        <v>82</v>
      </c>
      <c r="D4" s="90">
        <v>4.3809523809523814</v>
      </c>
      <c r="E4" s="90">
        <v>4.55</v>
      </c>
      <c r="F4" s="90">
        <v>4.2</v>
      </c>
      <c r="G4" s="90">
        <v>4.333333333333333</v>
      </c>
      <c r="H4" s="90">
        <v>4.2777777777777777</v>
      </c>
      <c r="I4" s="90">
        <v>3.8</v>
      </c>
      <c r="J4" s="90">
        <v>4.2222222222222223</v>
      </c>
      <c r="K4" s="90">
        <v>4.4444444444444446</v>
      </c>
      <c r="L4" s="90">
        <v>3.7222222222222223</v>
      </c>
      <c r="M4" s="90">
        <v>4.25</v>
      </c>
      <c r="N4" s="90">
        <v>3.7777777777777777</v>
      </c>
      <c r="O4" s="90">
        <v>4</v>
      </c>
      <c r="P4" s="90">
        <v>4</v>
      </c>
      <c r="Q4" s="90">
        <v>3.9411764705882355</v>
      </c>
      <c r="R4" s="90">
        <v>4.1111111111111107</v>
      </c>
      <c r="S4" s="90">
        <v>3.8947368421052633</v>
      </c>
      <c r="T4" s="90">
        <v>3.5</v>
      </c>
      <c r="U4" s="90">
        <v>4</v>
      </c>
      <c r="V4" s="90">
        <v>4.3809523809523814</v>
      </c>
      <c r="W4" s="90">
        <v>4.45</v>
      </c>
      <c r="X4" s="90">
        <v>4.4000000000000004</v>
      </c>
      <c r="Y4" s="90">
        <v>4.4736842105263159</v>
      </c>
      <c r="Z4" s="90">
        <v>4.5263157894736841</v>
      </c>
      <c r="AA4" s="90">
        <v>4.1111111111111107</v>
      </c>
      <c r="AB4" s="90">
        <v>4.1052631578947372</v>
      </c>
      <c r="AC4" s="90">
        <v>4.0526315789473681</v>
      </c>
      <c r="AD4" s="90">
        <v>4.0476190476190474</v>
      </c>
      <c r="AE4" s="90">
        <v>3.7619047619047619</v>
      </c>
      <c r="AF4" s="90">
        <v>3.75</v>
      </c>
      <c r="AG4" s="90">
        <v>4.4761904761904763</v>
      </c>
      <c r="AH4" s="90">
        <v>3.4761904761904763</v>
      </c>
      <c r="AI4" s="90">
        <v>3.9523809523809526</v>
      </c>
      <c r="AJ4" s="90">
        <v>3.95</v>
      </c>
      <c r="AK4" s="90">
        <v>3.8095238095238093</v>
      </c>
      <c r="AL4" s="90">
        <v>4.4761904761904763</v>
      </c>
      <c r="AM4" s="90">
        <v>2.7619047619047619</v>
      </c>
      <c r="AN4" s="90">
        <v>3.45</v>
      </c>
      <c r="AO4" s="90">
        <v>3.85</v>
      </c>
      <c r="AP4" s="90">
        <v>3.7777777777777777</v>
      </c>
      <c r="AQ4" s="100">
        <v>21</v>
      </c>
    </row>
    <row r="5" spans="1:43" x14ac:dyDescent="0.35">
      <c r="A5" s="119" t="s">
        <v>2</v>
      </c>
      <c r="B5" s="100">
        <v>1</v>
      </c>
      <c r="C5" s="100">
        <v>97</v>
      </c>
      <c r="D5" s="90">
        <v>3.3571428571428572</v>
      </c>
      <c r="E5" s="90">
        <v>3.7142857142857144</v>
      </c>
      <c r="F5" s="90">
        <v>3</v>
      </c>
      <c r="G5" s="90">
        <v>4.1538461538461542</v>
      </c>
      <c r="H5" s="90">
        <v>4.4615384615384617</v>
      </c>
      <c r="I5" s="90">
        <v>3.8333333333333335</v>
      </c>
      <c r="J5" s="90">
        <v>4.083333333333333</v>
      </c>
      <c r="K5" s="90">
        <v>4.1111111111111107</v>
      </c>
      <c r="L5" s="90">
        <v>3.3636363636363638</v>
      </c>
      <c r="M5" s="90">
        <v>4.2857142857142856</v>
      </c>
      <c r="N5" s="90">
        <v>4.4285714285714288</v>
      </c>
      <c r="O5" s="90">
        <v>4.2857142857142856</v>
      </c>
      <c r="P5" s="90">
        <v>3.6153846153846154</v>
      </c>
      <c r="Q5" s="90">
        <v>3.9166666666666665</v>
      </c>
      <c r="R5" s="90">
        <v>3.5384615384615383</v>
      </c>
      <c r="S5" s="90">
        <v>3.6923076923076925</v>
      </c>
      <c r="T5" s="90">
        <v>3.7692307692307692</v>
      </c>
      <c r="U5" s="90">
        <v>3.75</v>
      </c>
      <c r="V5" s="90">
        <v>4.5384615384615383</v>
      </c>
      <c r="W5" s="90">
        <v>4.7692307692307692</v>
      </c>
      <c r="X5" s="90">
        <v>4.7692307692307692</v>
      </c>
      <c r="Y5" s="90">
        <v>4.7692307692307692</v>
      </c>
      <c r="Z5" s="90">
        <v>4.1111111111111107</v>
      </c>
      <c r="AA5" s="90">
        <v>4.1111111111111107</v>
      </c>
      <c r="AB5" s="90">
        <v>4.333333333333333</v>
      </c>
      <c r="AC5" s="90">
        <v>3.9166666666666665</v>
      </c>
      <c r="AD5" s="90">
        <v>4.1818181818181817</v>
      </c>
      <c r="AE5" s="90">
        <v>4.4615384615384617</v>
      </c>
      <c r="AF5" s="90">
        <v>4.1428571428571432</v>
      </c>
      <c r="AG5" s="90">
        <v>4.6428571428571432</v>
      </c>
      <c r="AH5" s="90">
        <v>3.2307692307692308</v>
      </c>
      <c r="AI5" s="90">
        <v>3.9285714285714284</v>
      </c>
      <c r="AJ5" s="90">
        <v>3.7857142857142856</v>
      </c>
      <c r="AK5" s="90">
        <v>4.5</v>
      </c>
      <c r="AL5" s="90">
        <v>4.6428571428571432</v>
      </c>
      <c r="AM5" s="90">
        <v>3</v>
      </c>
      <c r="AN5" s="90">
        <v>4.4285714285714288</v>
      </c>
      <c r="AO5" s="90">
        <v>4.1428571428571432</v>
      </c>
      <c r="AP5" s="90">
        <v>3.7857142857142856</v>
      </c>
      <c r="AQ5" s="100">
        <v>14</v>
      </c>
    </row>
    <row r="6" spans="1:43" x14ac:dyDescent="0.35">
      <c r="A6" s="119" t="s">
        <v>3</v>
      </c>
      <c r="B6" s="100">
        <v>4</v>
      </c>
      <c r="C6" s="100">
        <v>54</v>
      </c>
      <c r="D6" s="90">
        <v>4.4516129032258061</v>
      </c>
      <c r="E6" s="90">
        <v>4.580645161290323</v>
      </c>
      <c r="F6" s="90">
        <v>4.4000000000000004</v>
      </c>
      <c r="G6" s="90">
        <v>4.615384615384615</v>
      </c>
      <c r="H6" s="90">
        <v>4.3666666666666663</v>
      </c>
      <c r="I6" s="90">
        <v>4.2592592592592595</v>
      </c>
      <c r="J6" s="90">
        <v>3.9583333333333335</v>
      </c>
      <c r="K6" s="90">
        <v>4.0434782608695654</v>
      </c>
      <c r="L6" s="90">
        <v>3.5</v>
      </c>
      <c r="M6" s="90">
        <v>3.9655172413793105</v>
      </c>
      <c r="N6" s="90">
        <v>3.5925925925925926</v>
      </c>
      <c r="O6" s="90">
        <v>3.7692307692307692</v>
      </c>
      <c r="P6" s="90">
        <v>3.5384615384615383</v>
      </c>
      <c r="Q6" s="90">
        <v>3.6296296296296298</v>
      </c>
      <c r="R6" s="90">
        <v>3.7241379310344827</v>
      </c>
      <c r="S6" s="90">
        <v>3.92</v>
      </c>
      <c r="T6" s="90">
        <v>3.4166666666666665</v>
      </c>
      <c r="U6" s="90">
        <v>3.9090909090909092</v>
      </c>
      <c r="V6" s="90">
        <v>4.4333333333333336</v>
      </c>
      <c r="W6" s="90">
        <v>4.4482758620689653</v>
      </c>
      <c r="X6" s="90">
        <v>4.4000000000000004</v>
      </c>
      <c r="Y6" s="90">
        <v>4.2666666666666666</v>
      </c>
      <c r="Z6" s="90">
        <v>2</v>
      </c>
      <c r="AA6" s="90">
        <v>2.4827586206896552</v>
      </c>
      <c r="AB6" s="90">
        <v>3.8333333333333335</v>
      </c>
      <c r="AC6" s="90">
        <v>3.5862068965517242</v>
      </c>
      <c r="AD6" s="90">
        <v>3.5517241379310347</v>
      </c>
      <c r="AE6" s="90">
        <v>3.7666666666666666</v>
      </c>
      <c r="AF6" s="90">
        <v>3.8214285714285716</v>
      </c>
      <c r="AG6" s="90">
        <v>4.2</v>
      </c>
      <c r="AH6" s="90">
        <v>3</v>
      </c>
      <c r="AI6" s="90">
        <v>4</v>
      </c>
      <c r="AJ6" s="90">
        <v>3.4827586206896552</v>
      </c>
      <c r="AK6" s="90">
        <v>3.5806451612903225</v>
      </c>
      <c r="AL6" s="90">
        <v>3.903225806451613</v>
      </c>
      <c r="AM6" s="90">
        <v>3.4193548387096775</v>
      </c>
      <c r="AN6" s="90">
        <v>3.9310344827586206</v>
      </c>
      <c r="AO6" s="90">
        <v>3.8620689655172415</v>
      </c>
      <c r="AP6" s="90">
        <v>3.838709677419355</v>
      </c>
      <c r="AQ6" s="100">
        <v>31</v>
      </c>
    </row>
    <row r="7" spans="1:43" x14ac:dyDescent="0.35">
      <c r="A7" s="119" t="s">
        <v>4</v>
      </c>
      <c r="B7" s="100">
        <v>5</v>
      </c>
      <c r="C7" s="100">
        <v>109</v>
      </c>
      <c r="D7" s="90">
        <v>3.2749999999999999</v>
      </c>
      <c r="E7" s="90">
        <v>3.8250000000000002</v>
      </c>
      <c r="F7" s="90">
        <v>2.9249999999999998</v>
      </c>
      <c r="G7" s="90">
        <v>4.2222222222222223</v>
      </c>
      <c r="H7" s="90">
        <v>3.5277777777777777</v>
      </c>
      <c r="I7" s="90">
        <v>3.7250000000000001</v>
      </c>
      <c r="J7" s="90">
        <v>3.4857142857142858</v>
      </c>
      <c r="K7" s="90">
        <v>3.4054054054054053</v>
      </c>
      <c r="L7" s="90">
        <v>3.3055555555555554</v>
      </c>
      <c r="M7" s="90">
        <v>3.4871794871794872</v>
      </c>
      <c r="N7" s="90">
        <v>3.0512820512820511</v>
      </c>
      <c r="O7" s="90">
        <v>3.35</v>
      </c>
      <c r="P7" s="90">
        <v>3.1764705882352939</v>
      </c>
      <c r="Q7" s="90">
        <v>3.4</v>
      </c>
      <c r="R7" s="90">
        <v>3.4722222222222223</v>
      </c>
      <c r="S7" s="90">
        <v>3.5142857142857142</v>
      </c>
      <c r="T7" s="90">
        <v>3.25</v>
      </c>
      <c r="U7" s="90">
        <v>3.3333333333333335</v>
      </c>
      <c r="V7" s="90">
        <v>3.8684210526315788</v>
      </c>
      <c r="W7" s="90">
        <v>4.2162162162162158</v>
      </c>
      <c r="X7" s="90">
        <v>4.2894736842105265</v>
      </c>
      <c r="Y7" s="90">
        <v>4.0769230769230766</v>
      </c>
      <c r="Z7" s="90">
        <v>4.1794871794871797</v>
      </c>
      <c r="AA7" s="90">
        <v>4.2051282051282053</v>
      </c>
      <c r="AB7" s="90">
        <v>3.8888888888888888</v>
      </c>
      <c r="AC7" s="90">
        <v>3.6470588235294117</v>
      </c>
      <c r="AD7" s="90">
        <v>3.7058823529411766</v>
      </c>
      <c r="AE7" s="90">
        <v>3.8333333333333335</v>
      </c>
      <c r="AF7" s="90">
        <v>4.25</v>
      </c>
      <c r="AG7" s="90">
        <v>4.4749999999999996</v>
      </c>
      <c r="AH7" s="90">
        <v>4.5999999999999996</v>
      </c>
      <c r="AI7" s="90">
        <v>4.5250000000000004</v>
      </c>
      <c r="AJ7" s="90">
        <v>3.8947368421052633</v>
      </c>
      <c r="AK7" s="90">
        <v>3.641025641025641</v>
      </c>
      <c r="AL7" s="90">
        <v>4.0999999999999996</v>
      </c>
      <c r="AM7" s="90">
        <v>2.6153846153846154</v>
      </c>
      <c r="AN7" s="90">
        <v>3.5135135135135136</v>
      </c>
      <c r="AO7" s="90">
        <v>3.8974358974358974</v>
      </c>
      <c r="AP7" s="90">
        <v>3.5750000000000002</v>
      </c>
      <c r="AQ7" s="100">
        <v>41</v>
      </c>
    </row>
    <row r="8" spans="1:43" x14ac:dyDescent="0.35">
      <c r="A8" s="119" t="s">
        <v>48</v>
      </c>
      <c r="B8" s="100">
        <v>2</v>
      </c>
      <c r="C8" s="100">
        <v>148</v>
      </c>
      <c r="D8" s="90">
        <v>3.4705882352941178</v>
      </c>
      <c r="E8" s="90">
        <v>3.875</v>
      </c>
      <c r="F8" s="90">
        <v>3.6470588235294117</v>
      </c>
      <c r="G8" s="90">
        <v>4.166666666666667</v>
      </c>
      <c r="H8" s="90">
        <v>4.0714285714285712</v>
      </c>
      <c r="I8" s="90">
        <v>3.6666666666666665</v>
      </c>
      <c r="J8" s="90">
        <v>4.25</v>
      </c>
      <c r="K8" s="90">
        <v>4</v>
      </c>
      <c r="L8" s="90">
        <v>3.7692307692307692</v>
      </c>
      <c r="M8" s="90">
        <v>3.6666666666666665</v>
      </c>
      <c r="N8" s="90">
        <v>3.7222222222222223</v>
      </c>
      <c r="O8" s="90">
        <v>3.7777777777777777</v>
      </c>
      <c r="P8" s="90">
        <v>3.1333333333333333</v>
      </c>
      <c r="Q8" s="90">
        <v>3.6428571428571428</v>
      </c>
      <c r="R8" s="90">
        <v>3.375</v>
      </c>
      <c r="S8" s="90">
        <v>3.5625</v>
      </c>
      <c r="T8" s="90">
        <v>3.375</v>
      </c>
      <c r="U8" s="90">
        <v>3.6470588235294117</v>
      </c>
      <c r="V8" s="90">
        <v>4.5</v>
      </c>
      <c r="W8" s="90">
        <v>4.3529411764705879</v>
      </c>
      <c r="X8" s="90">
        <v>4.2222222222222223</v>
      </c>
      <c r="Y8" s="90">
        <v>4.2222222222222223</v>
      </c>
      <c r="Z8" s="90">
        <v>4.4444444444444446</v>
      </c>
      <c r="AA8" s="90">
        <v>3.2352941176470589</v>
      </c>
      <c r="AB8" s="90">
        <v>4.0666666666666664</v>
      </c>
      <c r="AC8" s="90">
        <v>3.8571428571428572</v>
      </c>
      <c r="AD8" s="90">
        <v>4.1764705882352944</v>
      </c>
      <c r="AE8" s="90">
        <v>4.333333333333333</v>
      </c>
      <c r="AF8" s="90">
        <v>4.6111111111111107</v>
      </c>
      <c r="AG8" s="90">
        <v>4.7647058823529411</v>
      </c>
      <c r="AH8" s="90">
        <v>4.2222222222222223</v>
      </c>
      <c r="AI8" s="90">
        <v>4.2222222222222223</v>
      </c>
      <c r="AJ8" s="90">
        <v>4.1875</v>
      </c>
      <c r="AK8" s="90">
        <v>2.2941176470588234</v>
      </c>
      <c r="AL8" s="90">
        <v>3.6470588235294117</v>
      </c>
      <c r="AM8" s="90">
        <v>1.9444444444444444</v>
      </c>
      <c r="AN8" s="90">
        <v>3.625</v>
      </c>
      <c r="AO8" s="90">
        <v>4</v>
      </c>
      <c r="AP8" s="90">
        <v>3.5555555555555554</v>
      </c>
      <c r="AQ8" s="100">
        <v>18</v>
      </c>
    </row>
    <row r="9" spans="1:43" x14ac:dyDescent="0.35">
      <c r="A9" s="119" t="s">
        <v>5</v>
      </c>
      <c r="B9" s="100">
        <v>6</v>
      </c>
      <c r="C9" s="100">
        <v>179</v>
      </c>
      <c r="D9" s="90">
        <v>2.5964912280701755</v>
      </c>
      <c r="E9" s="90">
        <v>3.2807017543859649</v>
      </c>
      <c r="F9" s="90">
        <v>2.8363636363636364</v>
      </c>
      <c r="G9" s="90">
        <v>3.76</v>
      </c>
      <c r="H9" s="90">
        <v>3.5510204081632653</v>
      </c>
      <c r="I9" s="90">
        <v>3.8947368421052633</v>
      </c>
      <c r="J9" s="90">
        <v>3.3333333333333335</v>
      </c>
      <c r="K9" s="90">
        <v>3.3913043478260869</v>
      </c>
      <c r="L9" s="90">
        <v>2.82</v>
      </c>
      <c r="M9" s="90">
        <v>2.9622641509433962</v>
      </c>
      <c r="N9" s="90">
        <v>2.8545454545454545</v>
      </c>
      <c r="O9" s="90">
        <v>3</v>
      </c>
      <c r="P9" s="90">
        <v>2.84</v>
      </c>
      <c r="Q9" s="90">
        <v>3.4468085106382977</v>
      </c>
      <c r="R9" s="90">
        <v>3.3829787234042552</v>
      </c>
      <c r="S9" s="90">
        <v>3.38</v>
      </c>
      <c r="T9" s="90">
        <v>3.1836734693877551</v>
      </c>
      <c r="U9" s="90">
        <v>3.44</v>
      </c>
      <c r="V9" s="90">
        <v>3.8571428571428572</v>
      </c>
      <c r="W9" s="90">
        <v>4.2264150943396226</v>
      </c>
      <c r="X9" s="90">
        <v>4.2777777777777777</v>
      </c>
      <c r="Y9" s="90">
        <v>4.2549019607843137</v>
      </c>
      <c r="Z9" s="90">
        <v>3.8113207547169812</v>
      </c>
      <c r="AA9" s="90">
        <v>4.1481481481481479</v>
      </c>
      <c r="AB9" s="90">
        <v>3.6458333333333335</v>
      </c>
      <c r="AC9" s="90">
        <v>3.48</v>
      </c>
      <c r="AD9" s="90">
        <v>3.8431372549019609</v>
      </c>
      <c r="AE9" s="90">
        <v>3.5957446808510638</v>
      </c>
      <c r="AF9" s="90">
        <v>4.3703703703703702</v>
      </c>
      <c r="AG9" s="90">
        <v>4.163636363636364</v>
      </c>
      <c r="AH9" s="90">
        <v>4.2363636363636363</v>
      </c>
      <c r="AI9" s="90">
        <v>4.3636363636363633</v>
      </c>
      <c r="AJ9" s="90">
        <v>3.7450980392156863</v>
      </c>
      <c r="AK9" s="90">
        <v>3.7777777777777777</v>
      </c>
      <c r="AL9" s="90">
        <v>3.7592592592592591</v>
      </c>
      <c r="AM9" s="90">
        <v>3.7272727272727271</v>
      </c>
      <c r="AN9" s="90">
        <v>3.4814814814814814</v>
      </c>
      <c r="AO9" s="90">
        <v>4.125</v>
      </c>
      <c r="AP9" s="90">
        <v>4.1296296296296298</v>
      </c>
      <c r="AQ9" s="100">
        <v>59</v>
      </c>
    </row>
    <row r="10" spans="1:43" x14ac:dyDescent="0.35">
      <c r="A10" s="119" t="s">
        <v>50</v>
      </c>
      <c r="B10" s="100">
        <v>3</v>
      </c>
      <c r="C10" s="100">
        <v>214</v>
      </c>
      <c r="D10" s="90">
        <v>3.375</v>
      </c>
      <c r="E10" s="90">
        <v>4.08</v>
      </c>
      <c r="F10" s="90">
        <v>2.88</v>
      </c>
      <c r="G10" s="90">
        <v>4.2380952380952381</v>
      </c>
      <c r="H10" s="90">
        <v>4.2173913043478262</v>
      </c>
      <c r="I10" s="90">
        <v>3.7916666666666665</v>
      </c>
      <c r="J10" s="90">
        <v>4</v>
      </c>
      <c r="K10" s="90">
        <v>3.875</v>
      </c>
      <c r="L10" s="90">
        <v>3.7619047619047619</v>
      </c>
      <c r="M10" s="90">
        <v>3.5</v>
      </c>
      <c r="N10" s="90">
        <v>3.5833333333333335</v>
      </c>
      <c r="O10" s="90">
        <v>3.75</v>
      </c>
      <c r="P10" s="90">
        <v>3.4545454545454546</v>
      </c>
      <c r="Q10" s="90">
        <v>3.8</v>
      </c>
      <c r="R10" s="90">
        <v>3.6666666666666665</v>
      </c>
      <c r="S10" s="90">
        <v>3.95</v>
      </c>
      <c r="T10" s="90">
        <v>3.9523809523809526</v>
      </c>
      <c r="U10" s="90">
        <v>3.7222222222222223</v>
      </c>
      <c r="V10" s="90">
        <v>4.416666666666667</v>
      </c>
      <c r="W10" s="90">
        <v>4.4000000000000004</v>
      </c>
      <c r="X10" s="90">
        <v>4.5199999999999996</v>
      </c>
      <c r="Y10" s="90">
        <v>4.5599999999999996</v>
      </c>
      <c r="Z10" s="90">
        <v>4.5599999999999996</v>
      </c>
      <c r="AA10" s="90">
        <v>4</v>
      </c>
      <c r="AB10" s="90">
        <v>4.04</v>
      </c>
      <c r="AC10" s="90">
        <v>4</v>
      </c>
      <c r="AD10" s="90">
        <v>3.88</v>
      </c>
      <c r="AE10" s="90">
        <v>3.9166666666666665</v>
      </c>
      <c r="AF10" s="90">
        <v>4.4400000000000004</v>
      </c>
      <c r="AG10" s="90">
        <v>4.75</v>
      </c>
      <c r="AH10" s="90">
        <v>4.16</v>
      </c>
      <c r="AI10" s="90">
        <v>4.875</v>
      </c>
      <c r="AJ10" s="90">
        <v>3.875</v>
      </c>
      <c r="AK10" s="90">
        <v>3.75</v>
      </c>
      <c r="AL10" s="90">
        <v>4.2</v>
      </c>
      <c r="AM10" s="90">
        <v>2.48</v>
      </c>
      <c r="AN10" s="90">
        <v>3.92</v>
      </c>
      <c r="AO10" s="90">
        <v>4.12</v>
      </c>
      <c r="AP10" s="90">
        <v>3.6</v>
      </c>
      <c r="AQ10" s="100">
        <v>25</v>
      </c>
    </row>
    <row r="11" spans="1:43" x14ac:dyDescent="0.35">
      <c r="A11" s="119" t="s">
        <v>51</v>
      </c>
      <c r="B11" s="100">
        <v>1</v>
      </c>
      <c r="C11" s="100">
        <v>239</v>
      </c>
      <c r="D11" s="90">
        <v>3.9090909090909092</v>
      </c>
      <c r="E11" s="90">
        <v>4.2727272727272725</v>
      </c>
      <c r="F11" s="90">
        <v>4.1818181818181817</v>
      </c>
      <c r="G11" s="90">
        <v>4.4000000000000004</v>
      </c>
      <c r="H11" s="90">
        <v>4.4285714285714288</v>
      </c>
      <c r="I11" s="90">
        <v>4.0952380952380949</v>
      </c>
      <c r="J11" s="90">
        <v>4.1363636363636367</v>
      </c>
      <c r="K11" s="90">
        <v>4.3181818181818183</v>
      </c>
      <c r="L11" s="90">
        <v>3.7</v>
      </c>
      <c r="M11" s="90">
        <v>4.4285714285714288</v>
      </c>
      <c r="N11" s="90">
        <v>4</v>
      </c>
      <c r="O11" s="90">
        <v>4</v>
      </c>
      <c r="P11" s="90">
        <v>3.9047619047619047</v>
      </c>
      <c r="Q11" s="90">
        <v>4</v>
      </c>
      <c r="R11" s="90">
        <v>3.8</v>
      </c>
      <c r="S11" s="90">
        <v>3.9090909090909092</v>
      </c>
      <c r="T11" s="90">
        <v>3.4736842105263159</v>
      </c>
      <c r="U11" s="90">
        <v>3.85</v>
      </c>
      <c r="V11" s="90">
        <v>4.6818181818181817</v>
      </c>
      <c r="W11" s="90">
        <v>4.7727272727272725</v>
      </c>
      <c r="X11" s="90">
        <v>4.5909090909090908</v>
      </c>
      <c r="Y11" s="90">
        <v>4.6363636363636367</v>
      </c>
      <c r="Z11" s="90">
        <v>2.3809523809523809</v>
      </c>
      <c r="AA11" s="90">
        <v>2.2857142857142856</v>
      </c>
      <c r="AB11" s="90">
        <v>4.2727272727272725</v>
      </c>
      <c r="AC11" s="90">
        <v>4.0999999999999996</v>
      </c>
      <c r="AD11" s="90">
        <v>4.3809523809523814</v>
      </c>
      <c r="AE11" s="90">
        <v>4.3636363636363633</v>
      </c>
      <c r="AF11" s="90">
        <v>4</v>
      </c>
      <c r="AG11" s="90">
        <v>4.6363636363636367</v>
      </c>
      <c r="AH11" s="90">
        <v>4.0909090909090908</v>
      </c>
      <c r="AI11" s="90">
        <v>4.5454545454545459</v>
      </c>
      <c r="AJ11" s="90">
        <v>4.0999999999999996</v>
      </c>
      <c r="AK11" s="90">
        <v>4.0454545454545459</v>
      </c>
      <c r="AL11" s="90">
        <v>3.8181818181818183</v>
      </c>
      <c r="AM11" s="90">
        <v>2.4090909090909092</v>
      </c>
      <c r="AN11" s="90">
        <v>3.6818181818181817</v>
      </c>
      <c r="AO11" s="90">
        <v>3.5714285714285716</v>
      </c>
      <c r="AP11" s="90">
        <v>3.6363636363636362</v>
      </c>
      <c r="AQ11" s="100">
        <v>22</v>
      </c>
    </row>
    <row r="12" spans="1:43" x14ac:dyDescent="0.35">
      <c r="A12" s="119" t="s">
        <v>22</v>
      </c>
      <c r="B12" s="100">
        <v>2</v>
      </c>
      <c r="C12" s="100">
        <v>322</v>
      </c>
      <c r="D12" s="90">
        <v>3.5</v>
      </c>
      <c r="E12" s="90">
        <v>4.0384615384615383</v>
      </c>
      <c r="F12" s="90">
        <v>3.5357142857142856</v>
      </c>
      <c r="G12" s="90">
        <v>4.1363636363636367</v>
      </c>
      <c r="H12" s="90">
        <v>4.25</v>
      </c>
      <c r="I12" s="90">
        <v>3.64</v>
      </c>
      <c r="J12" s="90">
        <v>3.8095238095238093</v>
      </c>
      <c r="K12" s="90">
        <v>3.6956521739130435</v>
      </c>
      <c r="L12" s="90">
        <v>3</v>
      </c>
      <c r="M12" s="90">
        <v>3.36</v>
      </c>
      <c r="N12" s="90">
        <v>3.5</v>
      </c>
      <c r="O12" s="90">
        <v>3.925925925925926</v>
      </c>
      <c r="P12" s="90">
        <v>3.2380952380952381</v>
      </c>
      <c r="Q12" s="90">
        <v>3.3684210526315788</v>
      </c>
      <c r="R12" s="90">
        <v>3.4090909090909092</v>
      </c>
      <c r="S12" s="90">
        <v>3.6315789473684212</v>
      </c>
      <c r="T12" s="90">
        <v>3.3888888888888888</v>
      </c>
      <c r="U12" s="90">
        <v>3.5</v>
      </c>
      <c r="V12" s="90">
        <v>4.4814814814814818</v>
      </c>
      <c r="W12" s="90">
        <v>4.6071428571428568</v>
      </c>
      <c r="X12" s="90">
        <v>4.4444444444444446</v>
      </c>
      <c r="Y12" s="90">
        <v>4.4814814814814818</v>
      </c>
      <c r="Z12" s="90">
        <v>4.2857142857142856</v>
      </c>
      <c r="AA12" s="90">
        <v>3.2692307692307692</v>
      </c>
      <c r="AB12" s="90">
        <v>3.8095238095238093</v>
      </c>
      <c r="AC12" s="90">
        <v>3.9523809523809526</v>
      </c>
      <c r="AD12" s="90">
        <v>3.9230769230769229</v>
      </c>
      <c r="AE12" s="90">
        <v>4.3571428571428568</v>
      </c>
      <c r="AF12" s="90">
        <v>4.5714285714285712</v>
      </c>
      <c r="AG12" s="90">
        <v>4.6428571428571432</v>
      </c>
      <c r="AH12" s="90">
        <v>4.5357142857142856</v>
      </c>
      <c r="AI12" s="90">
        <v>4.4642857142857144</v>
      </c>
      <c r="AJ12" s="90">
        <v>3.7407407407407409</v>
      </c>
      <c r="AK12" s="90">
        <v>3.75</v>
      </c>
      <c r="AL12" s="90">
        <v>3.8571428571428572</v>
      </c>
      <c r="AM12" s="90">
        <v>1.8928571428571428</v>
      </c>
      <c r="AN12" s="90">
        <v>4</v>
      </c>
      <c r="AO12" s="90">
        <v>4.1785714285714288</v>
      </c>
      <c r="AP12" s="90">
        <v>3.8214285714285716</v>
      </c>
      <c r="AQ12" s="100">
        <v>28</v>
      </c>
    </row>
    <row r="13" spans="1:43" x14ac:dyDescent="0.35">
      <c r="A13" s="119" t="s">
        <v>52</v>
      </c>
      <c r="B13" s="100">
        <v>3</v>
      </c>
      <c r="C13" s="100">
        <v>249</v>
      </c>
      <c r="D13" s="90">
        <v>3.1081081081081079</v>
      </c>
      <c r="E13" s="90">
        <v>3.4864864864864864</v>
      </c>
      <c r="F13" s="90">
        <v>3.0833333333333335</v>
      </c>
      <c r="G13" s="90">
        <v>3.9642857142857144</v>
      </c>
      <c r="H13" s="90">
        <v>3.75</v>
      </c>
      <c r="I13" s="90">
        <v>3.6111111111111112</v>
      </c>
      <c r="J13" s="90">
        <v>3.4642857142857144</v>
      </c>
      <c r="K13" s="90">
        <v>3.5151515151515151</v>
      </c>
      <c r="L13" s="90">
        <v>3.1071428571428572</v>
      </c>
      <c r="M13" s="90">
        <v>3.7142857142857144</v>
      </c>
      <c r="N13" s="90">
        <v>3.7428571428571429</v>
      </c>
      <c r="O13" s="90">
        <v>3.393939393939394</v>
      </c>
      <c r="P13" s="90">
        <v>3.04</v>
      </c>
      <c r="Q13" s="90">
        <v>3.64</v>
      </c>
      <c r="R13" s="90">
        <v>3.5666666666666669</v>
      </c>
      <c r="S13" s="90">
        <v>4.1212121212121211</v>
      </c>
      <c r="T13" s="90">
        <v>3.3928571428571428</v>
      </c>
      <c r="U13" s="90">
        <v>3.4</v>
      </c>
      <c r="V13" s="90">
        <v>4.2972972972972974</v>
      </c>
      <c r="W13" s="90">
        <v>4.4054054054054053</v>
      </c>
      <c r="X13" s="90">
        <v>4.5555555555555554</v>
      </c>
      <c r="Y13" s="90">
        <v>4.5555555555555554</v>
      </c>
      <c r="Z13" s="90">
        <v>4.3611111111111107</v>
      </c>
      <c r="AA13" s="90">
        <v>2.9166666666666665</v>
      </c>
      <c r="AB13" s="90">
        <v>3.84375</v>
      </c>
      <c r="AC13" s="90">
        <v>3.806451612903226</v>
      </c>
      <c r="AD13" s="90">
        <v>3.9090909090909092</v>
      </c>
      <c r="AE13" s="90">
        <v>4.1388888888888893</v>
      </c>
      <c r="AF13" s="90">
        <v>4.5</v>
      </c>
      <c r="AG13" s="90">
        <v>4.7297297297297298</v>
      </c>
      <c r="AH13" s="90">
        <v>4.5675675675675675</v>
      </c>
      <c r="AI13" s="90">
        <v>4.6756756756756754</v>
      </c>
      <c r="AJ13" s="90">
        <v>4.3235294117647056</v>
      </c>
      <c r="AK13" s="90">
        <v>3.8333333333333335</v>
      </c>
      <c r="AL13" s="90">
        <v>4.3888888888888893</v>
      </c>
      <c r="AM13" s="90">
        <v>2.8055555555555554</v>
      </c>
      <c r="AN13" s="90">
        <v>4.243243243243243</v>
      </c>
      <c r="AO13" s="90">
        <v>4.1944444444444446</v>
      </c>
      <c r="AP13" s="90">
        <v>4.083333333333333</v>
      </c>
      <c r="AQ13" s="100">
        <v>37</v>
      </c>
    </row>
    <row r="14" spans="1:43" x14ac:dyDescent="0.35">
      <c r="A14" s="119" t="s">
        <v>72</v>
      </c>
      <c r="B14" s="100">
        <v>4</v>
      </c>
      <c r="C14" s="100">
        <v>272</v>
      </c>
      <c r="D14" s="90">
        <v>3.95</v>
      </c>
      <c r="E14" s="90">
        <v>4.1166666666666663</v>
      </c>
      <c r="F14" s="90">
        <v>3.4</v>
      </c>
      <c r="G14" s="90">
        <v>4.1960784313725492</v>
      </c>
      <c r="H14" s="90">
        <v>3.9272727272727272</v>
      </c>
      <c r="I14" s="90">
        <v>4.0517241379310347</v>
      </c>
      <c r="J14" s="90">
        <v>3.7636363636363637</v>
      </c>
      <c r="K14" s="90">
        <v>3.4363636363636365</v>
      </c>
      <c r="L14" s="90">
        <v>3.62</v>
      </c>
      <c r="M14" s="90">
        <v>3.4642857142857144</v>
      </c>
      <c r="N14" s="90">
        <v>3.4642857142857144</v>
      </c>
      <c r="O14" s="90">
        <v>3.5357142857142856</v>
      </c>
      <c r="P14" s="90">
        <v>3.215686274509804</v>
      </c>
      <c r="Q14" s="90">
        <v>3.5882352941176472</v>
      </c>
      <c r="R14" s="90">
        <v>3.510204081632653</v>
      </c>
      <c r="S14" s="90">
        <v>3.5306122448979593</v>
      </c>
      <c r="T14" s="90">
        <v>3.9166666666666665</v>
      </c>
      <c r="U14" s="90">
        <v>3.6458333333333335</v>
      </c>
      <c r="V14" s="90">
        <v>4.1551724137931032</v>
      </c>
      <c r="W14" s="90">
        <v>4.3448275862068968</v>
      </c>
      <c r="X14" s="90">
        <v>4.3220338983050848</v>
      </c>
      <c r="Y14" s="90">
        <v>4.3620689655172411</v>
      </c>
      <c r="Z14" s="90">
        <v>4.2711864406779663</v>
      </c>
      <c r="AA14" s="90">
        <v>4.3898305084745761</v>
      </c>
      <c r="AB14" s="90">
        <v>3.96</v>
      </c>
      <c r="AC14" s="90">
        <v>3.7346938775510203</v>
      </c>
      <c r="AD14" s="90">
        <v>3.8909090909090911</v>
      </c>
      <c r="AE14" s="90">
        <v>4.0545454545454547</v>
      </c>
      <c r="AF14" s="90">
        <v>4.333333333333333</v>
      </c>
      <c r="AG14" s="90">
        <v>4.6333333333333337</v>
      </c>
      <c r="AH14" s="90">
        <v>4.2542372881355934</v>
      </c>
      <c r="AI14" s="90">
        <v>4.4827586206896548</v>
      </c>
      <c r="AJ14" s="90">
        <v>4.1754385964912277</v>
      </c>
      <c r="AK14" s="90">
        <v>3.4385964912280702</v>
      </c>
      <c r="AL14" s="90">
        <v>3.8245614035087718</v>
      </c>
      <c r="AM14" s="90">
        <v>2.5762711864406778</v>
      </c>
      <c r="AN14" s="90">
        <v>3.2931034482758621</v>
      </c>
      <c r="AO14" s="90">
        <v>4.1578947368421053</v>
      </c>
      <c r="AP14" s="90">
        <v>4.375</v>
      </c>
      <c r="AQ14" s="100">
        <v>61</v>
      </c>
    </row>
    <row r="15" spans="1:43" x14ac:dyDescent="0.35">
      <c r="A15" s="119" t="s">
        <v>6</v>
      </c>
      <c r="B15" s="100">
        <v>5</v>
      </c>
      <c r="C15" s="100">
        <v>285</v>
      </c>
      <c r="D15" s="90">
        <v>3.08955223880597</v>
      </c>
      <c r="E15" s="90">
        <v>3.5882352941176472</v>
      </c>
      <c r="F15" s="90">
        <v>2.896551724137931</v>
      </c>
      <c r="G15" s="90">
        <v>3.9811320754716979</v>
      </c>
      <c r="H15" s="90">
        <v>3.5</v>
      </c>
      <c r="I15" s="90">
        <v>3.9242424242424243</v>
      </c>
      <c r="J15" s="90">
        <v>3.5961538461538463</v>
      </c>
      <c r="K15" s="90">
        <v>3.58</v>
      </c>
      <c r="L15" s="90">
        <v>3.0769230769230771</v>
      </c>
      <c r="M15" s="90">
        <v>3.6896551724137931</v>
      </c>
      <c r="N15" s="90">
        <v>3.4583333333333335</v>
      </c>
      <c r="O15" s="90">
        <v>3.5185185185185186</v>
      </c>
      <c r="P15" s="90">
        <v>3.0754716981132075</v>
      </c>
      <c r="Q15" s="90">
        <v>3.5454545454545454</v>
      </c>
      <c r="R15" s="90">
        <v>3.290909090909091</v>
      </c>
      <c r="S15" s="90">
        <v>3.4035087719298245</v>
      </c>
      <c r="T15" s="90">
        <v>3.5192307692307692</v>
      </c>
      <c r="U15" s="90">
        <v>3.2307692307692308</v>
      </c>
      <c r="V15" s="90">
        <v>4.1587301587301591</v>
      </c>
      <c r="W15" s="90">
        <v>4.28125</v>
      </c>
      <c r="X15" s="90">
        <v>4.1864406779661021</v>
      </c>
      <c r="Y15" s="90">
        <v>4.1311475409836067</v>
      </c>
      <c r="Z15" s="90">
        <v>4.0625</v>
      </c>
      <c r="AA15" s="90">
        <v>4</v>
      </c>
      <c r="AB15" s="90">
        <v>3.5</v>
      </c>
      <c r="AC15" s="90">
        <v>3.45</v>
      </c>
      <c r="AD15" s="90">
        <v>3.4642857142857144</v>
      </c>
      <c r="AE15" s="90">
        <v>3.6153846153846154</v>
      </c>
      <c r="AF15" s="90">
        <v>3.9696969696969697</v>
      </c>
      <c r="AG15" s="90">
        <v>4.2463768115942031</v>
      </c>
      <c r="AH15" s="90">
        <v>4.1791044776119399</v>
      </c>
      <c r="AI15" s="90">
        <v>4.2205882352941178</v>
      </c>
      <c r="AJ15" s="90">
        <v>3.838709677419355</v>
      </c>
      <c r="AK15" s="90">
        <v>3.467741935483871</v>
      </c>
      <c r="AL15" s="90">
        <v>3.6885245901639343</v>
      </c>
      <c r="AM15" s="90">
        <v>2.9558823529411766</v>
      </c>
      <c r="AN15" s="90">
        <v>3.5789473684210527</v>
      </c>
      <c r="AO15" s="90">
        <v>3.9545454545454546</v>
      </c>
      <c r="AP15" s="90">
        <v>3.9253731343283582</v>
      </c>
      <c r="AQ15" s="100">
        <v>70</v>
      </c>
    </row>
    <row r="16" spans="1:43" x14ac:dyDescent="0.35">
      <c r="A16" s="119" t="s">
        <v>73</v>
      </c>
      <c r="B16" s="100">
        <v>3</v>
      </c>
      <c r="C16" s="100">
        <v>301</v>
      </c>
      <c r="D16" s="90">
        <v>3.657142857142857</v>
      </c>
      <c r="E16" s="90">
        <v>4.2941176470588234</v>
      </c>
      <c r="F16" s="90">
        <v>3.4848484848484849</v>
      </c>
      <c r="G16" s="90">
        <v>4.5625</v>
      </c>
      <c r="H16" s="90">
        <v>4.354838709677419</v>
      </c>
      <c r="I16" s="90">
        <v>4.096774193548387</v>
      </c>
      <c r="J16" s="90">
        <v>3.7666666666666666</v>
      </c>
      <c r="K16" s="90">
        <v>4.096774193548387</v>
      </c>
      <c r="L16" s="90">
        <v>3.7857142857142856</v>
      </c>
      <c r="M16" s="90">
        <v>3.4705882352941178</v>
      </c>
      <c r="N16" s="90">
        <v>3.4242424242424243</v>
      </c>
      <c r="O16" s="90">
        <v>3.3636363636363638</v>
      </c>
      <c r="P16" s="90">
        <v>3.2580645161290325</v>
      </c>
      <c r="Q16" s="90">
        <v>4.0333333333333332</v>
      </c>
      <c r="R16" s="90">
        <v>3.5517241379310347</v>
      </c>
      <c r="S16" s="90">
        <v>4.032258064516129</v>
      </c>
      <c r="T16" s="90">
        <v>3.2857142857142856</v>
      </c>
      <c r="U16" s="90">
        <v>3.5357142857142856</v>
      </c>
      <c r="V16" s="90">
        <v>4.5555555555555554</v>
      </c>
      <c r="W16" s="90">
        <v>4.583333333333333</v>
      </c>
      <c r="X16" s="90">
        <v>4.6111111111111107</v>
      </c>
      <c r="Y16" s="90">
        <v>4.5555555555555554</v>
      </c>
      <c r="Z16" s="90">
        <v>4.7222222222222223</v>
      </c>
      <c r="AA16" s="90">
        <v>4.25</v>
      </c>
      <c r="AB16" s="90">
        <v>4.0277777777777777</v>
      </c>
      <c r="AC16" s="90">
        <v>4.125</v>
      </c>
      <c r="AD16" s="90">
        <v>3.9444444444444446</v>
      </c>
      <c r="AE16" s="90">
        <v>4.4444444444444446</v>
      </c>
      <c r="AF16" s="90">
        <v>4.6944444444444446</v>
      </c>
      <c r="AG16" s="90">
        <v>4.8055555555555554</v>
      </c>
      <c r="AH16" s="90">
        <v>4.083333333333333</v>
      </c>
      <c r="AI16" s="90">
        <v>4.6944444444444446</v>
      </c>
      <c r="AJ16" s="90">
        <v>4.5</v>
      </c>
      <c r="AK16" s="90">
        <v>4.0285714285714285</v>
      </c>
      <c r="AL16" s="90">
        <v>4.3611111111111107</v>
      </c>
      <c r="AM16" s="90">
        <v>2.342857142857143</v>
      </c>
      <c r="AN16" s="90">
        <v>3.8857142857142857</v>
      </c>
      <c r="AO16" s="90">
        <v>4.4411764705882355</v>
      </c>
      <c r="AP16" s="90">
        <v>4.1764705882352944</v>
      </c>
      <c r="AQ16" s="100">
        <v>36</v>
      </c>
    </row>
    <row r="17" spans="1:43" x14ac:dyDescent="0.35">
      <c r="A17" s="119" t="s">
        <v>7</v>
      </c>
      <c r="B17" s="100">
        <v>3</v>
      </c>
      <c r="C17" s="100">
        <v>305</v>
      </c>
      <c r="D17" s="90">
        <v>3.806451612903226</v>
      </c>
      <c r="E17" s="90">
        <v>4.0999999999999996</v>
      </c>
      <c r="F17" s="90">
        <v>3.7</v>
      </c>
      <c r="G17" s="90">
        <v>4.1724137931034484</v>
      </c>
      <c r="H17" s="90">
        <v>3.7857142857142856</v>
      </c>
      <c r="I17" s="90">
        <v>3.9</v>
      </c>
      <c r="J17" s="90">
        <v>3.7407407407407409</v>
      </c>
      <c r="K17" s="90">
        <v>3.8518518518518516</v>
      </c>
      <c r="L17" s="90">
        <v>3.5357142857142856</v>
      </c>
      <c r="M17" s="90">
        <v>4.032258064516129</v>
      </c>
      <c r="N17" s="90">
        <v>3.7931034482758621</v>
      </c>
      <c r="O17" s="90">
        <v>3.7666666666666666</v>
      </c>
      <c r="P17" s="90">
        <v>3.5666666666666669</v>
      </c>
      <c r="Q17" s="90">
        <v>3.7241379310344827</v>
      </c>
      <c r="R17" s="90">
        <v>3.3448275862068964</v>
      </c>
      <c r="S17" s="90">
        <v>3.7857142857142856</v>
      </c>
      <c r="T17" s="90">
        <v>3.4074074074074074</v>
      </c>
      <c r="U17" s="90">
        <v>3.32</v>
      </c>
      <c r="V17" s="90">
        <v>4.193548387096774</v>
      </c>
      <c r="W17" s="90">
        <v>4.129032258064516</v>
      </c>
      <c r="X17" s="90">
        <v>4.225806451612903</v>
      </c>
      <c r="Y17" s="90">
        <v>4.290322580645161</v>
      </c>
      <c r="Z17" s="90">
        <v>4.387096774193548</v>
      </c>
      <c r="AA17" s="90">
        <v>4.129032258064516</v>
      </c>
      <c r="AB17" s="90">
        <v>3.870967741935484</v>
      </c>
      <c r="AC17" s="90">
        <v>3.6774193548387095</v>
      </c>
      <c r="AD17" s="90">
        <v>3.8</v>
      </c>
      <c r="AE17" s="90">
        <v>3.8666666666666667</v>
      </c>
      <c r="AF17" s="90">
        <v>4.258064516129032</v>
      </c>
      <c r="AG17" s="90">
        <v>4.5161290322580649</v>
      </c>
      <c r="AH17" s="90">
        <v>4.064516129032258</v>
      </c>
      <c r="AI17" s="90">
        <v>4.580645161290323</v>
      </c>
      <c r="AJ17" s="90">
        <v>3.7</v>
      </c>
      <c r="AK17" s="90">
        <v>4.225806451612903</v>
      </c>
      <c r="AL17" s="90">
        <v>3.806451612903226</v>
      </c>
      <c r="AM17" s="90">
        <v>2.6333333333333333</v>
      </c>
      <c r="AN17" s="90">
        <v>3.806451612903226</v>
      </c>
      <c r="AO17" s="90">
        <v>3.7</v>
      </c>
      <c r="AP17" s="90">
        <v>3.4137931034482758</v>
      </c>
      <c r="AQ17" s="100">
        <v>31</v>
      </c>
    </row>
    <row r="18" spans="1:43" x14ac:dyDescent="0.35">
      <c r="A18" s="119" t="s">
        <v>8</v>
      </c>
      <c r="B18" s="100">
        <v>5</v>
      </c>
      <c r="C18" s="100">
        <v>405</v>
      </c>
      <c r="D18" s="90">
        <v>3.125</v>
      </c>
      <c r="E18" s="90">
        <v>3.9210526315789473</v>
      </c>
      <c r="F18" s="90">
        <v>3.1315789473684212</v>
      </c>
      <c r="G18" s="90">
        <v>4.225806451612903</v>
      </c>
      <c r="H18" s="90">
        <v>3.9705882352941178</v>
      </c>
      <c r="I18" s="90">
        <v>3.8974358974358974</v>
      </c>
      <c r="J18" s="90">
        <v>3.4571428571428573</v>
      </c>
      <c r="K18" s="90">
        <v>3.2413793103448274</v>
      </c>
      <c r="L18" s="90">
        <v>3.3571428571428572</v>
      </c>
      <c r="M18" s="90">
        <v>3.1621621621621623</v>
      </c>
      <c r="N18" s="90">
        <v>2.8918918918918921</v>
      </c>
      <c r="O18" s="90">
        <v>3.0526315789473686</v>
      </c>
      <c r="P18" s="90">
        <v>2.8888888888888888</v>
      </c>
      <c r="Q18" s="90">
        <v>3.7586206896551726</v>
      </c>
      <c r="R18" s="90">
        <v>3.6333333333333333</v>
      </c>
      <c r="S18" s="90">
        <v>3.5483870967741935</v>
      </c>
      <c r="T18" s="90">
        <v>3.3793103448275863</v>
      </c>
      <c r="U18" s="90">
        <v>3.5</v>
      </c>
      <c r="V18" s="90">
        <v>3.9473684210526314</v>
      </c>
      <c r="W18" s="90">
        <v>4.1351351351351351</v>
      </c>
      <c r="X18" s="90">
        <v>4.0263157894736841</v>
      </c>
      <c r="Y18" s="90">
        <v>4.1315789473684212</v>
      </c>
      <c r="Z18" s="90">
        <v>3.5526315789473686</v>
      </c>
      <c r="AA18" s="90">
        <v>4.0263157894736841</v>
      </c>
      <c r="AB18" s="90">
        <v>3.7647058823529411</v>
      </c>
      <c r="AC18" s="90">
        <v>3.7222222222222223</v>
      </c>
      <c r="AD18" s="90">
        <v>3.7428571428571429</v>
      </c>
      <c r="AE18" s="90">
        <v>3.6842105263157894</v>
      </c>
      <c r="AF18" s="90">
        <v>4.0526315789473681</v>
      </c>
      <c r="AG18" s="90">
        <v>4.4102564102564106</v>
      </c>
      <c r="AH18" s="90">
        <v>4.0769230769230766</v>
      </c>
      <c r="AI18" s="90">
        <v>4.3076923076923075</v>
      </c>
      <c r="AJ18" s="90">
        <v>4.0270270270270272</v>
      </c>
      <c r="AK18" s="90">
        <v>3.8918918918918921</v>
      </c>
      <c r="AL18" s="90">
        <v>4.1621621621621623</v>
      </c>
      <c r="AM18" s="90">
        <v>3.358974358974359</v>
      </c>
      <c r="AN18" s="90">
        <v>3.1081081081081079</v>
      </c>
      <c r="AO18" s="90">
        <v>4.0256410256410255</v>
      </c>
      <c r="AP18" s="90">
        <v>4.0789473684210522</v>
      </c>
      <c r="AQ18" s="100">
        <v>40</v>
      </c>
    </row>
    <row r="19" spans="1:43" x14ac:dyDescent="0.35">
      <c r="A19" s="119" t="s">
        <v>9</v>
      </c>
      <c r="B19" s="100">
        <v>4</v>
      </c>
      <c r="C19" s="100">
        <v>418</v>
      </c>
      <c r="D19" s="90">
        <v>4.2</v>
      </c>
      <c r="E19" s="90">
        <v>4.45</v>
      </c>
      <c r="F19" s="90">
        <v>3.3157894736842106</v>
      </c>
      <c r="G19" s="90">
        <v>4.4722222222222223</v>
      </c>
      <c r="H19" s="90">
        <v>4.371428571428571</v>
      </c>
      <c r="I19" s="90">
        <v>4.1470588235294121</v>
      </c>
      <c r="J19" s="90">
        <v>4.04</v>
      </c>
      <c r="K19" s="90">
        <v>4.2666666666666666</v>
      </c>
      <c r="L19" s="90">
        <v>3.6875</v>
      </c>
      <c r="M19" s="90">
        <v>3.84375</v>
      </c>
      <c r="N19" s="90">
        <v>3.7878787878787881</v>
      </c>
      <c r="O19" s="90">
        <v>3.6</v>
      </c>
      <c r="P19" s="90">
        <v>3.2857142857142856</v>
      </c>
      <c r="Q19" s="90">
        <v>3.6363636363636362</v>
      </c>
      <c r="R19" s="90">
        <v>3.4838709677419355</v>
      </c>
      <c r="S19" s="90">
        <v>3.9333333333333331</v>
      </c>
      <c r="T19" s="90">
        <v>3.4583333333333335</v>
      </c>
      <c r="U19" s="90">
        <v>3.6923076923076925</v>
      </c>
      <c r="V19" s="90">
        <v>4.6410256410256414</v>
      </c>
      <c r="W19" s="90">
        <v>4.5250000000000004</v>
      </c>
      <c r="X19" s="90">
        <v>4.6923076923076925</v>
      </c>
      <c r="Y19" s="90">
        <v>4.5789473684210522</v>
      </c>
      <c r="Z19" s="90">
        <v>4.3947368421052628</v>
      </c>
      <c r="AA19" s="90">
        <v>4.0263157894736841</v>
      </c>
      <c r="AB19" s="90">
        <v>4.416666666666667</v>
      </c>
      <c r="AC19" s="90">
        <v>4.1818181818181817</v>
      </c>
      <c r="AD19" s="90">
        <v>4.3783783783783781</v>
      </c>
      <c r="AE19" s="90">
        <v>4.4864864864864868</v>
      </c>
      <c r="AF19" s="90">
        <v>4.0789473684210522</v>
      </c>
      <c r="AG19" s="90">
        <v>4.2249999999999996</v>
      </c>
      <c r="AH19" s="90">
        <v>3.6315789473684212</v>
      </c>
      <c r="AI19" s="90">
        <v>4.1500000000000004</v>
      </c>
      <c r="AJ19" s="90">
        <v>3.9230769230769229</v>
      </c>
      <c r="AK19" s="90">
        <v>3.3611111111111112</v>
      </c>
      <c r="AL19" s="90">
        <v>3.1315789473684212</v>
      </c>
      <c r="AM19" s="90">
        <v>3.8717948717948718</v>
      </c>
      <c r="AN19" s="90">
        <v>3.4054054054054053</v>
      </c>
      <c r="AO19" s="90">
        <v>3.9230769230769229</v>
      </c>
      <c r="AP19" s="90">
        <v>3.6052631578947367</v>
      </c>
      <c r="AQ19" s="100">
        <v>40</v>
      </c>
    </row>
    <row r="20" spans="1:43" x14ac:dyDescent="0.35">
      <c r="A20" s="119" t="s">
        <v>56</v>
      </c>
      <c r="B20" s="100">
        <v>3</v>
      </c>
      <c r="C20" s="100">
        <v>426</v>
      </c>
      <c r="D20" s="90">
        <v>3.8333333333333335</v>
      </c>
      <c r="E20" s="90">
        <v>4.0555555555555554</v>
      </c>
      <c r="F20" s="90">
        <v>3.4054054054054053</v>
      </c>
      <c r="G20" s="90">
        <v>4.4516129032258061</v>
      </c>
      <c r="H20" s="90">
        <v>4.3125</v>
      </c>
      <c r="I20" s="90">
        <v>4.0999999999999996</v>
      </c>
      <c r="J20" s="90">
        <v>4.1333333333333337</v>
      </c>
      <c r="K20" s="90">
        <v>4.166666666666667</v>
      </c>
      <c r="L20" s="90">
        <v>3.5714285714285716</v>
      </c>
      <c r="M20" s="90">
        <v>3.6363636363636362</v>
      </c>
      <c r="N20" s="90">
        <v>3.7941176470588234</v>
      </c>
      <c r="O20" s="90">
        <v>4</v>
      </c>
      <c r="P20" s="90">
        <v>3.1470588235294117</v>
      </c>
      <c r="Q20" s="90">
        <v>3.9090909090909092</v>
      </c>
      <c r="R20" s="90">
        <v>3.6363636363636362</v>
      </c>
      <c r="S20" s="90">
        <v>3.875</v>
      </c>
      <c r="T20" s="90">
        <v>3.5555555555555554</v>
      </c>
      <c r="U20" s="90">
        <v>3.84</v>
      </c>
      <c r="V20" s="90">
        <v>4.0294117647058822</v>
      </c>
      <c r="W20" s="90">
        <v>4.5</v>
      </c>
      <c r="X20" s="90">
        <v>4.5142857142857142</v>
      </c>
      <c r="Y20" s="90">
        <v>4.3428571428571425</v>
      </c>
      <c r="Z20" s="90">
        <v>2.0303030303030303</v>
      </c>
      <c r="AA20" s="90">
        <v>2.2121212121212119</v>
      </c>
      <c r="AB20" s="90">
        <v>3.90625</v>
      </c>
      <c r="AC20" s="90">
        <v>3.875</v>
      </c>
      <c r="AD20" s="90">
        <v>3.870967741935484</v>
      </c>
      <c r="AE20" s="90">
        <v>3.4117647058823528</v>
      </c>
      <c r="AF20" s="90">
        <v>3.1666666666666665</v>
      </c>
      <c r="AG20" s="90">
        <v>4.4722222222222223</v>
      </c>
      <c r="AH20" s="90">
        <v>3.5714285714285716</v>
      </c>
      <c r="AI20" s="90">
        <v>4</v>
      </c>
      <c r="AJ20" s="90">
        <v>3.8235294117647061</v>
      </c>
      <c r="AK20" s="90">
        <v>3.59375</v>
      </c>
      <c r="AL20" s="90">
        <v>4.4285714285714288</v>
      </c>
      <c r="AM20" s="90">
        <v>3</v>
      </c>
      <c r="AN20" s="90">
        <v>4.2352941176470589</v>
      </c>
      <c r="AO20" s="90">
        <v>3.7837837837837838</v>
      </c>
      <c r="AP20" s="90">
        <v>3.4571428571428573</v>
      </c>
      <c r="AQ20" s="100">
        <v>38</v>
      </c>
    </row>
    <row r="21" spans="1:43" x14ac:dyDescent="0.35">
      <c r="A21" s="119" t="s">
        <v>74</v>
      </c>
      <c r="B21" s="100">
        <v>5</v>
      </c>
      <c r="C21" s="100">
        <v>491</v>
      </c>
      <c r="D21" s="90">
        <v>3.3</v>
      </c>
      <c r="E21" s="90">
        <v>3.7681159420289854</v>
      </c>
      <c r="F21" s="90">
        <v>3.1764705882352939</v>
      </c>
      <c r="G21" s="90">
        <v>4.0851063829787231</v>
      </c>
      <c r="H21" s="90">
        <v>3.9285714285714284</v>
      </c>
      <c r="I21" s="90">
        <v>3.9242424242424243</v>
      </c>
      <c r="J21" s="90">
        <v>3.709090909090909</v>
      </c>
      <c r="K21" s="90">
        <v>3.4727272727272727</v>
      </c>
      <c r="L21" s="90">
        <v>3.0925925925925926</v>
      </c>
      <c r="M21" s="90">
        <v>3.3220338983050848</v>
      </c>
      <c r="N21" s="90">
        <v>3.1016949152542375</v>
      </c>
      <c r="O21" s="90">
        <v>3.3050847457627119</v>
      </c>
      <c r="P21" s="90">
        <v>2.9811320754716979</v>
      </c>
      <c r="Q21" s="90">
        <v>3.6170212765957448</v>
      </c>
      <c r="R21" s="90">
        <v>3.3636363636363638</v>
      </c>
      <c r="S21" s="90">
        <v>3.5384615384615383</v>
      </c>
      <c r="T21" s="90">
        <v>3.3396226415094339</v>
      </c>
      <c r="U21" s="90">
        <v>3.2545454545454544</v>
      </c>
      <c r="V21" s="90">
        <v>3.9384615384615387</v>
      </c>
      <c r="W21" s="90">
        <v>4.1363636363636367</v>
      </c>
      <c r="X21" s="90">
        <v>4.1384615384615389</v>
      </c>
      <c r="Y21" s="90">
        <v>4.1969696969696972</v>
      </c>
      <c r="Z21" s="90">
        <v>4.2121212121212119</v>
      </c>
      <c r="AA21" s="90">
        <v>4.0153846153846153</v>
      </c>
      <c r="AB21" s="90">
        <v>3.8666666666666667</v>
      </c>
      <c r="AC21" s="90">
        <v>3.5762711864406778</v>
      </c>
      <c r="AD21" s="90">
        <v>3.4838709677419355</v>
      </c>
      <c r="AE21" s="90">
        <v>3.7936507936507935</v>
      </c>
      <c r="AF21" s="90">
        <v>4.3235294117647056</v>
      </c>
      <c r="AG21" s="90">
        <v>4.3571428571428568</v>
      </c>
      <c r="AH21" s="90">
        <v>4.1304347826086953</v>
      </c>
      <c r="AI21" s="90">
        <v>4.1571428571428575</v>
      </c>
      <c r="AJ21" s="90">
        <v>3.7424242424242422</v>
      </c>
      <c r="AK21" s="90">
        <v>3.796875</v>
      </c>
      <c r="AL21" s="90">
        <v>4</v>
      </c>
      <c r="AM21" s="90">
        <v>2.9275362318840581</v>
      </c>
      <c r="AN21" s="90">
        <v>3.5538461538461537</v>
      </c>
      <c r="AO21" s="90">
        <v>4.1304347826086953</v>
      </c>
      <c r="AP21" s="90">
        <v>3.9402985074626864</v>
      </c>
      <c r="AQ21" s="100">
        <v>72</v>
      </c>
    </row>
    <row r="22" spans="1:43" x14ac:dyDescent="0.35">
      <c r="A22" s="119" t="s">
        <v>10</v>
      </c>
      <c r="B22" s="100">
        <v>2.978723404255319</v>
      </c>
      <c r="C22" s="100">
        <v>499</v>
      </c>
      <c r="D22" s="90">
        <v>3.5777777777777779</v>
      </c>
      <c r="E22" s="90">
        <v>3.9148936170212765</v>
      </c>
      <c r="F22" s="90">
        <v>2.5116279069767442</v>
      </c>
      <c r="G22" s="90">
        <v>3.95</v>
      </c>
      <c r="H22" s="90">
        <v>4.1627906976744189</v>
      </c>
      <c r="I22" s="90">
        <v>3.8</v>
      </c>
      <c r="J22" s="90">
        <v>3.9736842105263159</v>
      </c>
      <c r="K22" s="90">
        <v>3.6</v>
      </c>
      <c r="L22" s="90">
        <v>2.7428571428571429</v>
      </c>
      <c r="M22" s="90">
        <v>3.4285714285714284</v>
      </c>
      <c r="N22" s="90">
        <v>3.5238095238095237</v>
      </c>
      <c r="O22" s="90">
        <v>3.8571428571428572</v>
      </c>
      <c r="P22" s="90">
        <v>3.5806451612903225</v>
      </c>
      <c r="Q22" s="90">
        <v>3.5588235294117645</v>
      </c>
      <c r="R22" s="90">
        <v>3.4411764705882355</v>
      </c>
      <c r="S22" s="90">
        <v>3.8055555555555554</v>
      </c>
      <c r="T22" s="90">
        <v>3.0285714285714285</v>
      </c>
      <c r="U22" s="90">
        <v>3.6470588235294117</v>
      </c>
      <c r="V22" s="90">
        <v>4.1956521739130439</v>
      </c>
      <c r="W22" s="90">
        <v>4.3478260869565215</v>
      </c>
      <c r="X22" s="90">
        <v>4.4565217391304346</v>
      </c>
      <c r="Y22" s="90">
        <v>4.4565217391304346</v>
      </c>
      <c r="Z22" s="90">
        <v>4.5217391304347823</v>
      </c>
      <c r="AA22" s="90">
        <v>3.6666666666666665</v>
      </c>
      <c r="AB22" s="90">
        <v>4.1052631578947372</v>
      </c>
      <c r="AC22" s="90">
        <v>4.0285714285714285</v>
      </c>
      <c r="AD22" s="90">
        <v>3.8863636363636362</v>
      </c>
      <c r="AE22" s="90">
        <v>4.0227272727272725</v>
      </c>
      <c r="AF22" s="90">
        <v>4.4680851063829783</v>
      </c>
      <c r="AG22" s="90">
        <v>4.3617021276595747</v>
      </c>
      <c r="AH22" s="90">
        <v>3.9565217391304346</v>
      </c>
      <c r="AI22" s="90">
        <v>3.9574468085106385</v>
      </c>
      <c r="AJ22" s="90">
        <v>3.6170212765957448</v>
      </c>
      <c r="AK22" s="90">
        <v>2.9090909090909092</v>
      </c>
      <c r="AL22" s="90">
        <v>3.2222222222222223</v>
      </c>
      <c r="AM22" s="90">
        <v>1.9565217391304348</v>
      </c>
      <c r="AN22" s="90">
        <v>4.1111111111111107</v>
      </c>
      <c r="AO22" s="90">
        <v>4.333333333333333</v>
      </c>
      <c r="AP22" s="90">
        <v>4.3043478260869561</v>
      </c>
      <c r="AQ22" s="100">
        <v>47</v>
      </c>
    </row>
    <row r="23" spans="1:43" x14ac:dyDescent="0.35">
      <c r="A23" s="119" t="s">
        <v>58</v>
      </c>
      <c r="B23" s="100">
        <v>3</v>
      </c>
      <c r="C23" s="100">
        <v>535</v>
      </c>
      <c r="D23" s="90">
        <v>3.4736842105263159</v>
      </c>
      <c r="E23" s="90">
        <v>4</v>
      </c>
      <c r="F23" s="90">
        <v>4.333333333333333</v>
      </c>
      <c r="G23" s="90">
        <v>4.3888888888888893</v>
      </c>
      <c r="H23" s="90">
        <v>3.6470588235294117</v>
      </c>
      <c r="I23" s="90">
        <v>3.6842105263157894</v>
      </c>
      <c r="J23" s="90">
        <v>3.6428571428571428</v>
      </c>
      <c r="K23" s="90">
        <v>3.4117647058823528</v>
      </c>
      <c r="L23" s="90">
        <v>3.0588235294117645</v>
      </c>
      <c r="M23" s="90">
        <v>2.8235294117647061</v>
      </c>
      <c r="N23" s="90">
        <v>2.7647058823529411</v>
      </c>
      <c r="O23" s="90">
        <v>3.2352941176470589</v>
      </c>
      <c r="P23" s="90">
        <v>2.75</v>
      </c>
      <c r="Q23" s="90">
        <v>3.375</v>
      </c>
      <c r="R23" s="90">
        <v>3.2352941176470589</v>
      </c>
      <c r="S23" s="90">
        <v>3.5333333333333332</v>
      </c>
      <c r="T23" s="90">
        <v>3.1176470588235294</v>
      </c>
      <c r="U23" s="90">
        <v>3.4117647058823528</v>
      </c>
      <c r="V23" s="90">
        <v>4.1578947368421053</v>
      </c>
      <c r="W23" s="90">
        <v>4.2631578947368425</v>
      </c>
      <c r="X23" s="90">
        <v>4.2631578947368425</v>
      </c>
      <c r="Y23" s="90">
        <v>4.4444444444444446</v>
      </c>
      <c r="Z23" s="90">
        <v>4.5789473684210522</v>
      </c>
      <c r="AA23" s="90">
        <v>4.8421052631578947</v>
      </c>
      <c r="AB23" s="90">
        <v>3.9444444444444446</v>
      </c>
      <c r="AC23" s="90">
        <v>3.4705882352941178</v>
      </c>
      <c r="AD23" s="90">
        <v>3.2941176470588234</v>
      </c>
      <c r="AE23" s="90">
        <v>4.2222222222222223</v>
      </c>
      <c r="AF23" s="90">
        <v>4.4736842105263159</v>
      </c>
      <c r="AG23" s="90">
        <v>4.5263157894736841</v>
      </c>
      <c r="AH23" s="90">
        <v>3.3684210526315788</v>
      </c>
      <c r="AI23" s="90">
        <v>4.8421052631578947</v>
      </c>
      <c r="AJ23" s="90">
        <v>3.2105263157894739</v>
      </c>
      <c r="AK23" s="90">
        <v>4.2777777777777777</v>
      </c>
      <c r="AL23" s="90">
        <v>4.0588235294117645</v>
      </c>
      <c r="AM23" s="90">
        <v>2.8947368421052633</v>
      </c>
      <c r="AN23" s="90">
        <v>3.7777777777777777</v>
      </c>
      <c r="AO23" s="90">
        <v>4.0555555555555554</v>
      </c>
      <c r="AP23" s="90">
        <v>4.333333333333333</v>
      </c>
      <c r="AQ23" s="100">
        <v>19</v>
      </c>
    </row>
    <row r="24" spans="1:43" x14ac:dyDescent="0.35">
      <c r="A24" s="119" t="s">
        <v>11</v>
      </c>
      <c r="B24" s="100">
        <v>6</v>
      </c>
      <c r="C24" s="100">
        <v>464</v>
      </c>
      <c r="D24" s="90">
        <v>3.0701754385964914</v>
      </c>
      <c r="E24" s="90">
        <v>3.4736842105263159</v>
      </c>
      <c r="F24" s="90">
        <v>2.8928571428571428</v>
      </c>
      <c r="G24" s="90">
        <v>4.1063829787234045</v>
      </c>
      <c r="H24" s="90">
        <v>3.76</v>
      </c>
      <c r="I24" s="90">
        <v>3.7272727272727271</v>
      </c>
      <c r="J24" s="90">
        <v>3.4888888888888889</v>
      </c>
      <c r="K24" s="90">
        <v>3.1860465116279069</v>
      </c>
      <c r="L24" s="90">
        <v>2.5833333333333335</v>
      </c>
      <c r="M24" s="90">
        <v>3.0784313725490198</v>
      </c>
      <c r="N24" s="90">
        <v>3.0196078431372548</v>
      </c>
      <c r="O24" s="90">
        <v>3.28</v>
      </c>
      <c r="P24" s="90">
        <v>2.6666666666666665</v>
      </c>
      <c r="Q24" s="90">
        <v>3.5333333333333332</v>
      </c>
      <c r="R24" s="90">
        <v>3.2115384615384617</v>
      </c>
      <c r="S24" s="90">
        <v>3.375</v>
      </c>
      <c r="T24" s="90">
        <v>2.5744680851063828</v>
      </c>
      <c r="U24" s="90">
        <v>3.1458333333333335</v>
      </c>
      <c r="V24" s="90">
        <v>4.2456140350877192</v>
      </c>
      <c r="W24" s="90">
        <v>4.2456140350877192</v>
      </c>
      <c r="X24" s="90">
        <v>4.3157894736842106</v>
      </c>
      <c r="Y24" s="90">
        <v>4.2142857142857144</v>
      </c>
      <c r="Z24" s="90">
        <v>4.2280701754385968</v>
      </c>
      <c r="AA24" s="90">
        <v>3.9821428571428572</v>
      </c>
      <c r="AB24" s="90">
        <v>3.784313725490196</v>
      </c>
      <c r="AC24" s="90">
        <v>3.2941176470588234</v>
      </c>
      <c r="AD24" s="90">
        <v>3.1886792452830188</v>
      </c>
      <c r="AE24" s="90">
        <v>3.7636363636363637</v>
      </c>
      <c r="AF24" s="90">
        <v>4.0555555555555554</v>
      </c>
      <c r="AG24" s="90">
        <v>4.3965517241379306</v>
      </c>
      <c r="AH24" s="90">
        <v>4.0350877192982457</v>
      </c>
      <c r="AI24" s="90">
        <v>4.2586206896551726</v>
      </c>
      <c r="AJ24" s="90">
        <v>3.7636363636363637</v>
      </c>
      <c r="AK24" s="90">
        <v>3.7592592592592591</v>
      </c>
      <c r="AL24" s="90">
        <v>4.1607142857142856</v>
      </c>
      <c r="AM24" s="90">
        <v>2.6666666666666665</v>
      </c>
      <c r="AN24" s="90">
        <v>3.9629629629629628</v>
      </c>
      <c r="AO24" s="90">
        <v>4.1607142857142856</v>
      </c>
      <c r="AP24" s="90">
        <v>3.9821428571428572</v>
      </c>
      <c r="AQ24" s="100">
        <v>59</v>
      </c>
    </row>
    <row r="25" spans="1:43" x14ac:dyDescent="0.35">
      <c r="A25" s="119" t="s">
        <v>60</v>
      </c>
      <c r="B25" s="100">
        <v>1</v>
      </c>
      <c r="C25" s="100">
        <v>578</v>
      </c>
      <c r="D25" s="90">
        <v>3.3333333333333335</v>
      </c>
      <c r="E25" s="90">
        <v>4.1904761904761907</v>
      </c>
      <c r="F25" s="90">
        <v>3.7142857142857144</v>
      </c>
      <c r="G25" s="90">
        <v>4.3529411764705879</v>
      </c>
      <c r="H25" s="90">
        <v>4.4285714285714288</v>
      </c>
      <c r="I25" s="90">
        <v>3.7894736842105261</v>
      </c>
      <c r="J25" s="90">
        <v>3.6666666666666665</v>
      </c>
      <c r="K25" s="90">
        <v>3.5</v>
      </c>
      <c r="L25" s="90">
        <v>3.8421052631578947</v>
      </c>
      <c r="M25" s="90">
        <v>3.6190476190476191</v>
      </c>
      <c r="N25" s="90">
        <v>3.45</v>
      </c>
      <c r="O25" s="90">
        <v>3.7619047619047619</v>
      </c>
      <c r="P25" s="90">
        <v>3</v>
      </c>
      <c r="Q25" s="90">
        <v>3.8333333333333335</v>
      </c>
      <c r="R25" s="90">
        <v>3.4</v>
      </c>
      <c r="S25" s="90">
        <v>3.6315789473684212</v>
      </c>
      <c r="T25" s="90">
        <v>3.3</v>
      </c>
      <c r="U25" s="90">
        <v>3.7777777777777777</v>
      </c>
      <c r="V25" s="90">
        <v>4.5238095238095237</v>
      </c>
      <c r="W25" s="90">
        <v>4.6190476190476186</v>
      </c>
      <c r="X25" s="90">
        <v>4.7142857142857144</v>
      </c>
      <c r="Y25" s="90">
        <v>4.8</v>
      </c>
      <c r="Z25" s="90">
        <v>4.8095238095238093</v>
      </c>
      <c r="AA25" s="90">
        <v>3.2</v>
      </c>
      <c r="AB25" s="90">
        <v>4.0952380952380949</v>
      </c>
      <c r="AC25" s="90">
        <v>3.85</v>
      </c>
      <c r="AD25" s="90">
        <v>4.1500000000000004</v>
      </c>
      <c r="AE25" s="90">
        <v>4.1904761904761907</v>
      </c>
      <c r="AF25" s="90">
        <v>4.6500000000000004</v>
      </c>
      <c r="AG25" s="90">
        <v>4.6190476190476186</v>
      </c>
      <c r="AH25" s="90">
        <v>4</v>
      </c>
      <c r="AI25" s="90">
        <v>4.1428571428571432</v>
      </c>
      <c r="AJ25" s="90">
        <v>4.0476190476190474</v>
      </c>
      <c r="AK25" s="90">
        <v>4.3809523809523814</v>
      </c>
      <c r="AL25" s="90">
        <v>4.7619047619047619</v>
      </c>
      <c r="AM25" s="90">
        <v>3.4285714285714284</v>
      </c>
      <c r="AN25" s="90">
        <v>4.333333333333333</v>
      </c>
      <c r="AO25" s="90">
        <v>4.3157894736842106</v>
      </c>
      <c r="AP25" s="90">
        <v>4.25</v>
      </c>
      <c r="AQ25" s="100">
        <v>21</v>
      </c>
    </row>
    <row r="26" spans="1:43" x14ac:dyDescent="0.35">
      <c r="A26" s="119" t="s">
        <v>61</v>
      </c>
      <c r="B26" s="100">
        <v>2</v>
      </c>
      <c r="C26" s="100">
        <v>581</v>
      </c>
      <c r="D26" s="90">
        <v>4.0357142857142856</v>
      </c>
      <c r="E26" s="90">
        <v>4.1111111111111107</v>
      </c>
      <c r="F26" s="90">
        <v>3.6071428571428572</v>
      </c>
      <c r="G26" s="90">
        <v>4.1739130434782608</v>
      </c>
      <c r="H26" s="90">
        <v>4.3043478260869561</v>
      </c>
      <c r="I26" s="90">
        <v>3.76</v>
      </c>
      <c r="J26" s="90">
        <v>3.125</v>
      </c>
      <c r="K26" s="90">
        <v>3.5</v>
      </c>
      <c r="L26" s="90">
        <v>3.4347826086956523</v>
      </c>
      <c r="M26" s="90">
        <v>3.4583333333333335</v>
      </c>
      <c r="N26" s="90">
        <v>3.2173913043478262</v>
      </c>
      <c r="O26" s="90">
        <v>3.1666666666666665</v>
      </c>
      <c r="P26" s="90">
        <v>2.7727272727272729</v>
      </c>
      <c r="Q26" s="90">
        <v>3.4090909090909092</v>
      </c>
      <c r="R26" s="90">
        <v>3.2727272727272729</v>
      </c>
      <c r="S26" s="90">
        <v>3.3913043478260869</v>
      </c>
      <c r="T26" s="90">
        <v>3.0869565217391304</v>
      </c>
      <c r="U26" s="90">
        <v>3.1428571428571428</v>
      </c>
      <c r="V26" s="90">
        <v>4.4000000000000004</v>
      </c>
      <c r="W26" s="90">
        <v>4.32</v>
      </c>
      <c r="X26" s="90">
        <v>4.28</v>
      </c>
      <c r="Y26" s="90">
        <v>4.28</v>
      </c>
      <c r="Z26" s="90">
        <v>4.4000000000000004</v>
      </c>
      <c r="AA26" s="90">
        <v>3.25</v>
      </c>
      <c r="AB26" s="90">
        <v>3.64</v>
      </c>
      <c r="AC26" s="90">
        <v>3.625</v>
      </c>
      <c r="AD26" s="90">
        <v>3.625</v>
      </c>
      <c r="AE26" s="90">
        <v>4.166666666666667</v>
      </c>
      <c r="AF26" s="90">
        <v>3.9642857142857144</v>
      </c>
      <c r="AG26" s="90">
        <v>4.2857142857142856</v>
      </c>
      <c r="AH26" s="90">
        <v>3.6428571428571428</v>
      </c>
      <c r="AI26" s="90">
        <v>3.9642857142857144</v>
      </c>
      <c r="AJ26" s="90">
        <v>3.4</v>
      </c>
      <c r="AK26" s="90">
        <v>3.5384615384615383</v>
      </c>
      <c r="AL26" s="90">
        <v>4.4642857142857144</v>
      </c>
      <c r="AM26" s="90">
        <v>2.8571428571428572</v>
      </c>
      <c r="AN26" s="90">
        <v>3.6785714285714284</v>
      </c>
      <c r="AO26" s="90">
        <v>4.0714285714285712</v>
      </c>
      <c r="AP26" s="90">
        <v>3.8928571428571428</v>
      </c>
      <c r="AQ26" s="100">
        <v>28</v>
      </c>
    </row>
    <row r="27" spans="1:43" x14ac:dyDescent="0.35">
      <c r="A27" s="119" t="s">
        <v>62</v>
      </c>
      <c r="B27" s="100">
        <v>1</v>
      </c>
      <c r="C27" s="100">
        <v>592</v>
      </c>
      <c r="D27" s="90">
        <v>4.4210526315789478</v>
      </c>
      <c r="E27" s="90">
        <v>4.3888888888888893</v>
      </c>
      <c r="F27" s="90">
        <v>4.1578947368421053</v>
      </c>
      <c r="G27" s="90">
        <v>4.4444444444444446</v>
      </c>
      <c r="H27" s="90">
        <v>4.3157894736842106</v>
      </c>
      <c r="I27" s="90">
        <v>3.3333333333333335</v>
      </c>
      <c r="J27" s="90">
        <v>3.5789473684210527</v>
      </c>
      <c r="K27" s="90">
        <v>3</v>
      </c>
      <c r="L27" s="90">
        <v>3.0588235294117645</v>
      </c>
      <c r="M27" s="90">
        <v>3.8947368421052633</v>
      </c>
      <c r="N27" s="90">
        <v>3.4117647058823528</v>
      </c>
      <c r="O27" s="90">
        <v>3.5789473684210527</v>
      </c>
      <c r="P27" s="90">
        <v>3.2222222222222223</v>
      </c>
      <c r="Q27" s="90">
        <v>3.6470588235294117</v>
      </c>
      <c r="R27" s="90">
        <v>3.6666666666666665</v>
      </c>
      <c r="S27" s="90">
        <v>3.5294117647058822</v>
      </c>
      <c r="T27" s="90">
        <v>3.4705882352941178</v>
      </c>
      <c r="U27" s="90">
        <v>3.8333333333333335</v>
      </c>
      <c r="V27" s="90">
        <v>4.7222222222222223</v>
      </c>
      <c r="W27" s="90">
        <v>4.7368421052631575</v>
      </c>
      <c r="X27" s="90">
        <v>4.7894736842105265</v>
      </c>
      <c r="Y27" s="90">
        <v>4.7894736842105265</v>
      </c>
      <c r="Z27" s="90">
        <v>4.4210526315789478</v>
      </c>
      <c r="AA27" s="90">
        <v>2.3157894736842106</v>
      </c>
      <c r="AB27" s="90">
        <v>4.1052631578947372</v>
      </c>
      <c r="AC27" s="90">
        <v>4</v>
      </c>
      <c r="AD27" s="90">
        <v>4.2222222222222223</v>
      </c>
      <c r="AE27" s="90">
        <v>4.0555555555555554</v>
      </c>
      <c r="AF27" s="90">
        <v>4.2631578947368425</v>
      </c>
      <c r="AG27" s="90">
        <v>4.333333333333333</v>
      </c>
      <c r="AH27" s="90">
        <v>4.0526315789473681</v>
      </c>
      <c r="AI27" s="90">
        <v>4.6315789473684212</v>
      </c>
      <c r="AJ27" s="90">
        <v>4.1578947368421053</v>
      </c>
      <c r="AK27" s="90">
        <v>3.6666666666666665</v>
      </c>
      <c r="AL27" s="90">
        <v>4</v>
      </c>
      <c r="AM27" s="90">
        <v>2.7894736842105261</v>
      </c>
      <c r="AN27" s="90">
        <v>4.1052631578947372</v>
      </c>
      <c r="AO27" s="90">
        <v>3.736842105263158</v>
      </c>
      <c r="AP27" s="90">
        <v>2.7894736842105261</v>
      </c>
      <c r="AQ27" s="100">
        <v>19</v>
      </c>
    </row>
    <row r="28" spans="1:43" x14ac:dyDescent="0.35">
      <c r="A28" s="119" t="s">
        <v>12</v>
      </c>
      <c r="B28" s="100">
        <v>2</v>
      </c>
      <c r="C28" s="100">
        <v>615</v>
      </c>
      <c r="D28" s="90">
        <v>3.7058823529411766</v>
      </c>
      <c r="E28" s="90">
        <v>4.0588235294117645</v>
      </c>
      <c r="F28" s="90">
        <v>3.8</v>
      </c>
      <c r="G28" s="90">
        <v>4.0714285714285712</v>
      </c>
      <c r="H28" s="90">
        <v>4.1333333333333337</v>
      </c>
      <c r="I28" s="90">
        <v>3.6470588235294117</v>
      </c>
      <c r="J28" s="90">
        <v>3.5625</v>
      </c>
      <c r="K28" s="90">
        <v>3.375</v>
      </c>
      <c r="L28" s="90">
        <v>3.4166666666666665</v>
      </c>
      <c r="M28" s="90">
        <v>3.2941176470588234</v>
      </c>
      <c r="N28" s="90">
        <v>3.1764705882352939</v>
      </c>
      <c r="O28" s="90">
        <v>3.4117647058823528</v>
      </c>
      <c r="P28" s="90">
        <v>3.1333333333333333</v>
      </c>
      <c r="Q28" s="90">
        <v>3.5333333333333332</v>
      </c>
      <c r="R28" s="90">
        <v>3</v>
      </c>
      <c r="S28" s="90">
        <v>3.7142857142857144</v>
      </c>
      <c r="T28" s="90">
        <v>3.4666666666666668</v>
      </c>
      <c r="U28" s="90">
        <v>3.0714285714285716</v>
      </c>
      <c r="V28" s="90">
        <v>4.3125</v>
      </c>
      <c r="W28" s="90">
        <v>4.3529411764705879</v>
      </c>
      <c r="X28" s="90">
        <v>4.5882352941176467</v>
      </c>
      <c r="Y28" s="90">
        <v>4.6470588235294121</v>
      </c>
      <c r="Z28" s="90">
        <v>4.4117647058823533</v>
      </c>
      <c r="AA28" s="90">
        <v>3.2352941176470589</v>
      </c>
      <c r="AB28" s="90">
        <v>4</v>
      </c>
      <c r="AC28" s="90">
        <v>3.8125</v>
      </c>
      <c r="AD28" s="90">
        <v>3.8666666666666667</v>
      </c>
      <c r="AE28" s="90">
        <v>4.2941176470588234</v>
      </c>
      <c r="AF28" s="90">
        <v>4.5294117647058822</v>
      </c>
      <c r="AG28" s="90">
        <v>4.7647058823529411</v>
      </c>
      <c r="AH28" s="90">
        <v>4.125</v>
      </c>
      <c r="AI28" s="90">
        <v>4.4705882352941178</v>
      </c>
      <c r="AJ28" s="90">
        <v>4.1764705882352944</v>
      </c>
      <c r="AK28" s="90">
        <v>2.7058823529411766</v>
      </c>
      <c r="AL28" s="90">
        <v>3.5625</v>
      </c>
      <c r="AM28" s="90">
        <v>3</v>
      </c>
      <c r="AN28" s="90">
        <v>4.0588235294117645</v>
      </c>
      <c r="AO28" s="90">
        <v>3.7647058823529411</v>
      </c>
      <c r="AP28" s="90">
        <v>3.25</v>
      </c>
      <c r="AQ28" s="100">
        <v>17</v>
      </c>
    </row>
    <row r="29" spans="1:43" x14ac:dyDescent="0.35">
      <c r="A29" s="119" t="s">
        <v>23</v>
      </c>
      <c r="B29" s="100">
        <v>4</v>
      </c>
      <c r="C29" s="100">
        <v>710</v>
      </c>
      <c r="D29" s="90">
        <v>3.2142857142857144</v>
      </c>
      <c r="E29" s="90">
        <v>3.8809523809523809</v>
      </c>
      <c r="F29" s="90">
        <v>3.8292682926829267</v>
      </c>
      <c r="G29" s="90">
        <v>4.193548387096774</v>
      </c>
      <c r="H29" s="90">
        <v>3.9142857142857141</v>
      </c>
      <c r="I29" s="90">
        <v>4.1463414634146343</v>
      </c>
      <c r="J29" s="90">
        <v>3.59375</v>
      </c>
      <c r="K29" s="90">
        <v>3.71875</v>
      </c>
      <c r="L29" s="90">
        <v>3.4545454545454546</v>
      </c>
      <c r="M29" s="90">
        <v>3.5555555555555554</v>
      </c>
      <c r="N29" s="90">
        <v>3.4444444444444446</v>
      </c>
      <c r="O29" s="90">
        <v>3.7297297297297298</v>
      </c>
      <c r="P29" s="90">
        <v>2.875</v>
      </c>
      <c r="Q29" s="90">
        <v>3.8620689655172415</v>
      </c>
      <c r="R29" s="90">
        <v>3.6666666666666665</v>
      </c>
      <c r="S29" s="90">
        <v>3.7058823529411766</v>
      </c>
      <c r="T29" s="90">
        <v>3.6774193548387095</v>
      </c>
      <c r="U29" s="90">
        <v>3.5</v>
      </c>
      <c r="V29" s="90">
        <v>4.4249999999999998</v>
      </c>
      <c r="W29" s="90">
        <v>4.4000000000000004</v>
      </c>
      <c r="X29" s="90">
        <v>4.5121951219512191</v>
      </c>
      <c r="Y29" s="90">
        <v>4.4285714285714288</v>
      </c>
      <c r="Z29" s="90">
        <v>4.5121951219512191</v>
      </c>
      <c r="AA29" s="90">
        <v>3.7857142857142856</v>
      </c>
      <c r="AB29" s="90">
        <v>3.6388888888888888</v>
      </c>
      <c r="AC29" s="90">
        <v>3.6666666666666665</v>
      </c>
      <c r="AD29" s="90">
        <v>4.0526315789473681</v>
      </c>
      <c r="AE29" s="90">
        <v>4.1794871794871797</v>
      </c>
      <c r="AF29" s="90">
        <v>4.3953488372093021</v>
      </c>
      <c r="AG29" s="90">
        <v>4.2790697674418601</v>
      </c>
      <c r="AH29" s="90">
        <v>4.0952380952380949</v>
      </c>
      <c r="AI29" s="90">
        <v>4.25</v>
      </c>
      <c r="AJ29" s="90">
        <v>3.8717948717948718</v>
      </c>
      <c r="AK29" s="90">
        <v>3.5789473684210527</v>
      </c>
      <c r="AL29" s="90">
        <v>3.8536585365853657</v>
      </c>
      <c r="AM29" s="90">
        <v>2.5121951219512195</v>
      </c>
      <c r="AN29" s="90">
        <v>3.2564102564102564</v>
      </c>
      <c r="AO29" s="90">
        <v>4.2249999999999996</v>
      </c>
      <c r="AP29" s="90">
        <v>4.166666666666667</v>
      </c>
      <c r="AQ29" s="100">
        <v>43</v>
      </c>
    </row>
    <row r="30" spans="1:43" x14ac:dyDescent="0.35">
      <c r="A30" s="119" t="s">
        <v>64</v>
      </c>
      <c r="B30" s="100">
        <v>4</v>
      </c>
      <c r="C30" s="100">
        <v>680</v>
      </c>
      <c r="D30" s="90">
        <v>3.8409090909090908</v>
      </c>
      <c r="E30" s="90">
        <v>4.1363636363636367</v>
      </c>
      <c r="F30" s="90">
        <v>3.8809523809523809</v>
      </c>
      <c r="G30" s="90">
        <v>4.4594594594594597</v>
      </c>
      <c r="H30" s="90">
        <v>4</v>
      </c>
      <c r="I30" s="90">
        <v>4.1052631578947372</v>
      </c>
      <c r="J30" s="90">
        <v>3.9166666666666665</v>
      </c>
      <c r="K30" s="90">
        <v>3.7142857142857144</v>
      </c>
      <c r="L30" s="90">
        <v>3.7142857142857144</v>
      </c>
      <c r="M30" s="90">
        <v>3.9750000000000001</v>
      </c>
      <c r="N30" s="90">
        <v>3.1666666666666665</v>
      </c>
      <c r="O30" s="90">
        <v>3.8</v>
      </c>
      <c r="P30" s="90">
        <v>3.3</v>
      </c>
      <c r="Q30" s="90">
        <v>4</v>
      </c>
      <c r="R30" s="90">
        <v>4.2142857142857144</v>
      </c>
      <c r="S30" s="90">
        <v>3.8918918918918921</v>
      </c>
      <c r="T30" s="90">
        <v>3.7948717948717947</v>
      </c>
      <c r="U30" s="90">
        <v>4.0512820512820511</v>
      </c>
      <c r="V30" s="90">
        <v>4.4186046511627906</v>
      </c>
      <c r="W30" s="90">
        <v>4.5</v>
      </c>
      <c r="X30" s="90">
        <v>4.5348837209302326</v>
      </c>
      <c r="Y30" s="90">
        <v>4.4651162790697674</v>
      </c>
      <c r="Z30" s="90">
        <v>4.5952380952380949</v>
      </c>
      <c r="AA30" s="90">
        <v>4.5348837209302326</v>
      </c>
      <c r="AB30" s="90">
        <v>4.2820512820512819</v>
      </c>
      <c r="AC30" s="90">
        <v>3.8684210526315788</v>
      </c>
      <c r="AD30" s="90">
        <v>3.8461538461538463</v>
      </c>
      <c r="AE30" s="90">
        <v>4</v>
      </c>
      <c r="AF30" s="90">
        <v>4.333333333333333</v>
      </c>
      <c r="AG30" s="90">
        <v>4.9069767441860463</v>
      </c>
      <c r="AH30" s="90">
        <v>3.8095238095238093</v>
      </c>
      <c r="AI30" s="90">
        <v>4.5348837209302326</v>
      </c>
      <c r="AJ30" s="90">
        <v>4.2558139534883717</v>
      </c>
      <c r="AK30" s="90">
        <v>3.1904761904761907</v>
      </c>
      <c r="AL30" s="90">
        <v>4.166666666666667</v>
      </c>
      <c r="AM30" s="90">
        <v>4.1860465116279073</v>
      </c>
      <c r="AN30" s="90">
        <v>4.3414634146341466</v>
      </c>
      <c r="AO30" s="90">
        <v>4.4634146341463419</v>
      </c>
      <c r="AP30" s="90">
        <v>4.1428571428571432</v>
      </c>
      <c r="AQ30" s="100">
        <v>44</v>
      </c>
    </row>
    <row r="31" spans="1:43" x14ac:dyDescent="0.35">
      <c r="A31" s="119" t="s">
        <v>65</v>
      </c>
      <c r="B31" s="100">
        <v>1</v>
      </c>
      <c r="C31" s="100">
        <v>686</v>
      </c>
      <c r="D31" s="90">
        <v>4.117647058823529</v>
      </c>
      <c r="E31" s="90">
        <v>4.4117647058823533</v>
      </c>
      <c r="F31" s="90">
        <v>3.5714285714285716</v>
      </c>
      <c r="G31" s="90">
        <v>4.25</v>
      </c>
      <c r="H31" s="90">
        <v>4.5384615384615383</v>
      </c>
      <c r="I31" s="90">
        <v>3.5333333333333332</v>
      </c>
      <c r="J31" s="90">
        <v>4.1428571428571432</v>
      </c>
      <c r="K31" s="90">
        <v>3.0625</v>
      </c>
      <c r="L31" s="90">
        <v>3.5454545454545454</v>
      </c>
      <c r="M31" s="90">
        <v>3.8</v>
      </c>
      <c r="N31" s="90">
        <v>2.75</v>
      </c>
      <c r="O31" s="90">
        <v>4.0714285714285712</v>
      </c>
      <c r="P31" s="90">
        <v>3</v>
      </c>
      <c r="Q31" s="90">
        <v>3.6666666666666665</v>
      </c>
      <c r="R31" s="90">
        <v>3.7692307692307692</v>
      </c>
      <c r="S31" s="90">
        <v>3.9166666666666665</v>
      </c>
      <c r="T31" s="90">
        <v>3</v>
      </c>
      <c r="U31" s="90">
        <v>3.6666666666666665</v>
      </c>
      <c r="V31" s="90">
        <v>4.5882352941176467</v>
      </c>
      <c r="W31" s="90">
        <v>4.666666666666667</v>
      </c>
      <c r="X31" s="90">
        <v>4.666666666666667</v>
      </c>
      <c r="Y31" s="90">
        <v>4.75</v>
      </c>
      <c r="Z31" s="90">
        <v>4.8125</v>
      </c>
      <c r="AA31" s="90">
        <v>1.6</v>
      </c>
      <c r="AB31" s="90">
        <v>3.9166666666666665</v>
      </c>
      <c r="AC31" s="90">
        <v>4.1538461538461542</v>
      </c>
      <c r="AD31" s="90">
        <v>4</v>
      </c>
      <c r="AE31" s="90">
        <v>4.1875</v>
      </c>
      <c r="AF31" s="90">
        <v>4.117647058823529</v>
      </c>
      <c r="AG31" s="90">
        <v>4.5882352941176467</v>
      </c>
      <c r="AH31" s="90">
        <v>4.2941176470588234</v>
      </c>
      <c r="AI31" s="90">
        <v>4.4117647058823533</v>
      </c>
      <c r="AJ31" s="90">
        <v>3.8666666666666667</v>
      </c>
      <c r="AK31" s="90">
        <v>2.5</v>
      </c>
      <c r="AL31" s="90">
        <v>3.2666666666666666</v>
      </c>
      <c r="AM31" s="90">
        <v>1.8823529411764706</v>
      </c>
      <c r="AN31" s="90">
        <v>4.0588235294117645</v>
      </c>
      <c r="AO31" s="90">
        <v>4.0588235294117645</v>
      </c>
      <c r="AP31" s="90">
        <v>4.0588235294117645</v>
      </c>
      <c r="AQ31" s="100">
        <v>17</v>
      </c>
    </row>
    <row r="32" spans="1:43" x14ac:dyDescent="0.35">
      <c r="A32" s="119" t="s">
        <v>13</v>
      </c>
      <c r="B32" s="100">
        <v>5</v>
      </c>
      <c r="C32" s="100">
        <v>734</v>
      </c>
      <c r="D32" s="90">
        <v>3.3636363636363638</v>
      </c>
      <c r="E32" s="90">
        <v>3.6037735849056602</v>
      </c>
      <c r="F32" s="90">
        <v>3.0727272727272728</v>
      </c>
      <c r="G32" s="90">
        <v>3.9803921568627452</v>
      </c>
      <c r="H32" s="90">
        <v>3.8367346938775508</v>
      </c>
      <c r="I32" s="90">
        <v>4</v>
      </c>
      <c r="J32" s="90">
        <v>3.7083333333333335</v>
      </c>
      <c r="K32" s="90">
        <v>3.607843137254902</v>
      </c>
      <c r="L32" s="90">
        <v>3.2244897959183674</v>
      </c>
      <c r="M32" s="90">
        <v>2.8269230769230771</v>
      </c>
      <c r="N32" s="90">
        <v>2.7735849056603774</v>
      </c>
      <c r="O32" s="90">
        <v>3.0576923076923075</v>
      </c>
      <c r="P32" s="90">
        <v>2.75</v>
      </c>
      <c r="Q32" s="90">
        <v>3.2244897959183674</v>
      </c>
      <c r="R32" s="90">
        <v>2.94</v>
      </c>
      <c r="S32" s="90">
        <v>3.4489795918367347</v>
      </c>
      <c r="T32" s="90">
        <v>3.652173913043478</v>
      </c>
      <c r="U32" s="90">
        <v>3.3111111111111109</v>
      </c>
      <c r="V32" s="90">
        <v>4.115384615384615</v>
      </c>
      <c r="W32" s="90">
        <v>4.3461538461538458</v>
      </c>
      <c r="X32" s="90">
        <v>4.3529411764705879</v>
      </c>
      <c r="Y32" s="90">
        <v>4.38</v>
      </c>
      <c r="Z32" s="90">
        <v>4.3529411764705879</v>
      </c>
      <c r="AA32" s="90">
        <v>4.34</v>
      </c>
      <c r="AB32" s="90">
        <v>4.020833333333333</v>
      </c>
      <c r="AC32" s="90">
        <v>3.6666666666666665</v>
      </c>
      <c r="AD32" s="90">
        <v>3.82</v>
      </c>
      <c r="AE32" s="90">
        <v>3.6875</v>
      </c>
      <c r="AF32" s="90">
        <v>4.0943396226415096</v>
      </c>
      <c r="AG32" s="90">
        <v>4.6296296296296298</v>
      </c>
      <c r="AH32" s="90">
        <v>4.0925925925925926</v>
      </c>
      <c r="AI32" s="90">
        <v>4.6037735849056602</v>
      </c>
      <c r="AJ32" s="90">
        <v>3.5882352941176472</v>
      </c>
      <c r="AK32" s="90">
        <v>4.0943396226415096</v>
      </c>
      <c r="AL32" s="90">
        <v>4.384615384615385</v>
      </c>
      <c r="AM32" s="90">
        <v>2.9272727272727272</v>
      </c>
      <c r="AN32" s="90">
        <v>3.7358490566037736</v>
      </c>
      <c r="AO32" s="90">
        <v>3.8333333333333335</v>
      </c>
      <c r="AP32" s="90">
        <v>3.4909090909090907</v>
      </c>
      <c r="AQ32" s="100">
        <v>55</v>
      </c>
    </row>
    <row r="33" spans="1:43" x14ac:dyDescent="0.35">
      <c r="A33" s="119" t="s">
        <v>14</v>
      </c>
      <c r="B33" s="100">
        <v>3</v>
      </c>
      <c r="C33" s="100">
        <v>753</v>
      </c>
      <c r="D33" s="90">
        <v>3.7941176470588234</v>
      </c>
      <c r="E33" s="90">
        <v>4.0303030303030303</v>
      </c>
      <c r="F33" s="90">
        <v>3.71875</v>
      </c>
      <c r="G33" s="90">
        <v>4.1851851851851851</v>
      </c>
      <c r="H33" s="90">
        <v>3.9666666666666668</v>
      </c>
      <c r="I33" s="90">
        <v>3.9</v>
      </c>
      <c r="J33" s="90">
        <v>3.96</v>
      </c>
      <c r="K33" s="90">
        <v>3.8888888888888888</v>
      </c>
      <c r="L33" s="90">
        <v>3.1785714285714284</v>
      </c>
      <c r="M33" s="90">
        <v>3.935483870967742</v>
      </c>
      <c r="N33" s="90">
        <v>3.6785714285714284</v>
      </c>
      <c r="O33" s="90">
        <v>3.96875</v>
      </c>
      <c r="P33" s="90">
        <v>3.3214285714285716</v>
      </c>
      <c r="Q33" s="90">
        <v>3.5333333333333332</v>
      </c>
      <c r="R33" s="90">
        <v>3.6774193548387095</v>
      </c>
      <c r="S33" s="90">
        <v>3.5172413793103448</v>
      </c>
      <c r="T33" s="90">
        <v>3.2962962962962963</v>
      </c>
      <c r="U33" s="90">
        <v>3.6428571428571428</v>
      </c>
      <c r="V33" s="90">
        <v>4.2647058823529411</v>
      </c>
      <c r="W33" s="90">
        <v>4.4545454545454541</v>
      </c>
      <c r="X33" s="90">
        <v>4.5142857142857142</v>
      </c>
      <c r="Y33" s="90">
        <v>4.371428571428571</v>
      </c>
      <c r="Z33" s="90">
        <v>4.1142857142857139</v>
      </c>
      <c r="AA33" s="90">
        <v>3.0606060606060606</v>
      </c>
      <c r="AB33" s="90">
        <v>3.6129032258064515</v>
      </c>
      <c r="AC33" s="90">
        <v>3.9393939393939394</v>
      </c>
      <c r="AD33" s="90">
        <v>4.0625</v>
      </c>
      <c r="AE33" s="90">
        <v>3.6857142857142855</v>
      </c>
      <c r="AF33" s="90">
        <v>4.1470588235294121</v>
      </c>
      <c r="AG33" s="90">
        <v>4.2857142857142856</v>
      </c>
      <c r="AH33" s="90">
        <v>3.9705882352941178</v>
      </c>
      <c r="AI33" s="90">
        <v>4.1764705882352944</v>
      </c>
      <c r="AJ33" s="90">
        <v>3.838709677419355</v>
      </c>
      <c r="AK33" s="90">
        <v>2.7428571428571429</v>
      </c>
      <c r="AL33" s="90">
        <v>3.8857142857142857</v>
      </c>
      <c r="AM33" s="90">
        <v>2.8571428571428572</v>
      </c>
      <c r="AN33" s="90">
        <v>3.3333333333333335</v>
      </c>
      <c r="AO33" s="90">
        <v>4.3636363636363633</v>
      </c>
      <c r="AP33" s="90">
        <v>3.9142857142857141</v>
      </c>
      <c r="AQ33" s="100">
        <v>36</v>
      </c>
    </row>
    <row r="34" spans="1:43" x14ac:dyDescent="0.35">
      <c r="A34" s="119" t="s">
        <v>67</v>
      </c>
      <c r="B34" s="100">
        <v>1</v>
      </c>
      <c r="C34" s="100">
        <v>783</v>
      </c>
      <c r="D34" s="90">
        <v>4.884615384615385</v>
      </c>
      <c r="E34" s="90">
        <v>4.884615384615385</v>
      </c>
      <c r="F34" s="90">
        <v>4.6923076923076925</v>
      </c>
      <c r="G34" s="90">
        <v>4.8636363636363633</v>
      </c>
      <c r="H34" s="90">
        <v>4.625</v>
      </c>
      <c r="I34" s="90">
        <v>4.3636363636363633</v>
      </c>
      <c r="J34" s="90">
        <v>4.45</v>
      </c>
      <c r="K34" s="90">
        <v>4.5263157894736841</v>
      </c>
      <c r="L34" s="90">
        <v>3.9047619047619047</v>
      </c>
      <c r="M34" s="90">
        <v>4.3043478260869561</v>
      </c>
      <c r="N34" s="90">
        <v>3.85</v>
      </c>
      <c r="O34" s="90">
        <v>4.1818181818181817</v>
      </c>
      <c r="P34" s="90">
        <v>3.6190476190476191</v>
      </c>
      <c r="Q34" s="90">
        <v>4.3</v>
      </c>
      <c r="R34" s="90">
        <v>4.1052631578947372</v>
      </c>
      <c r="S34" s="90">
        <v>4.1818181818181817</v>
      </c>
      <c r="T34" s="90">
        <v>3.9047619047619047</v>
      </c>
      <c r="U34" s="90">
        <v>4.1500000000000004</v>
      </c>
      <c r="V34" s="90">
        <v>4.1739130434782608</v>
      </c>
      <c r="W34" s="90">
        <v>4.5</v>
      </c>
      <c r="X34" s="90">
        <v>4.416666666666667</v>
      </c>
      <c r="Y34" s="90">
        <v>4.583333333333333</v>
      </c>
      <c r="Z34" s="90">
        <v>4.88</v>
      </c>
      <c r="AA34" s="90">
        <v>2.7826086956521738</v>
      </c>
      <c r="AB34" s="90">
        <v>4.2272727272727275</v>
      </c>
      <c r="AC34" s="90">
        <v>3.9545454545454546</v>
      </c>
      <c r="AD34" s="90">
        <v>4.0454545454545459</v>
      </c>
      <c r="AE34" s="90">
        <v>4.083333333333333</v>
      </c>
      <c r="AF34" s="90">
        <v>4.8461538461538458</v>
      </c>
      <c r="AG34" s="90">
        <v>4.384615384615385</v>
      </c>
      <c r="AH34" s="90">
        <v>3.9565217391304346</v>
      </c>
      <c r="AI34" s="90">
        <v>4.7307692307692308</v>
      </c>
      <c r="AJ34" s="90">
        <v>3.88</v>
      </c>
      <c r="AK34" s="90">
        <v>4.08</v>
      </c>
      <c r="AL34" s="90">
        <v>4.5999999999999996</v>
      </c>
      <c r="AM34" s="90">
        <v>2.375</v>
      </c>
      <c r="AN34" s="90">
        <v>3.9565217391304346</v>
      </c>
      <c r="AO34" s="90">
        <v>4</v>
      </c>
      <c r="AP34" s="90">
        <v>4</v>
      </c>
      <c r="AQ34" s="100">
        <v>26</v>
      </c>
    </row>
    <row r="35" spans="1:43" x14ac:dyDescent="0.35">
      <c r="A35" s="119" t="s">
        <v>68</v>
      </c>
      <c r="B35" s="100">
        <v>6</v>
      </c>
      <c r="C35" s="100">
        <v>837</v>
      </c>
      <c r="D35" s="90">
        <v>3.0392156862745097</v>
      </c>
      <c r="E35" s="90">
        <v>3.72</v>
      </c>
      <c r="F35" s="90">
        <v>2.9</v>
      </c>
      <c r="G35" s="90">
        <v>4.042553191489362</v>
      </c>
      <c r="H35" s="90">
        <v>3.5744680851063828</v>
      </c>
      <c r="I35" s="90">
        <v>3.7647058823529411</v>
      </c>
      <c r="J35" s="90">
        <v>3.2272727272727271</v>
      </c>
      <c r="K35" s="90">
        <v>3.3684210526315788</v>
      </c>
      <c r="L35" s="90">
        <v>2.6595744680851063</v>
      </c>
      <c r="M35" s="90">
        <v>3.1960784313725492</v>
      </c>
      <c r="N35" s="90">
        <v>3.0392156862745097</v>
      </c>
      <c r="O35" s="90">
        <v>3.2352941176470589</v>
      </c>
      <c r="P35" s="90">
        <v>2.8571428571428572</v>
      </c>
      <c r="Q35" s="90">
        <v>3.2380952380952381</v>
      </c>
      <c r="R35" s="90">
        <v>3</v>
      </c>
      <c r="S35" s="90">
        <v>3.1702127659574466</v>
      </c>
      <c r="T35" s="90">
        <v>3.0666666666666669</v>
      </c>
      <c r="U35" s="90">
        <v>3.1304347826086958</v>
      </c>
      <c r="V35" s="90">
        <v>3.8333333333333335</v>
      </c>
      <c r="W35" s="90">
        <v>4.0638297872340425</v>
      </c>
      <c r="X35" s="90">
        <v>4.2340425531914896</v>
      </c>
      <c r="Y35" s="90">
        <v>4.229166666666667</v>
      </c>
      <c r="Z35" s="90">
        <v>4.25</v>
      </c>
      <c r="AA35" s="90">
        <v>4.1521739130434785</v>
      </c>
      <c r="AB35" s="90">
        <v>3.5609756097560976</v>
      </c>
      <c r="AC35" s="90">
        <v>3.4772727272727271</v>
      </c>
      <c r="AD35" s="90">
        <v>3.7954545454545454</v>
      </c>
      <c r="AE35" s="90">
        <v>3.8</v>
      </c>
      <c r="AF35" s="90">
        <v>4.3877551020408161</v>
      </c>
      <c r="AG35" s="90">
        <v>4.5306122448979593</v>
      </c>
      <c r="AH35" s="90">
        <v>4.5510204081632653</v>
      </c>
      <c r="AI35" s="90">
        <v>4.3061224489795915</v>
      </c>
      <c r="AJ35" s="90">
        <v>3.9347826086956523</v>
      </c>
      <c r="AK35" s="90">
        <v>3.2857142857142856</v>
      </c>
      <c r="AL35" s="90">
        <v>2.8</v>
      </c>
      <c r="AM35" s="90">
        <v>4.1399999999999997</v>
      </c>
      <c r="AN35" s="90">
        <v>3.3255813953488373</v>
      </c>
      <c r="AO35" s="90">
        <v>4.1836734693877551</v>
      </c>
      <c r="AP35" s="90">
        <v>3.9130434782608696</v>
      </c>
      <c r="AQ35" s="100">
        <v>52</v>
      </c>
    </row>
    <row r="36" spans="1:43" x14ac:dyDescent="0.35">
      <c r="A36" s="119" t="s">
        <v>69</v>
      </c>
      <c r="B36" s="100">
        <v>4</v>
      </c>
      <c r="C36" s="100">
        <v>851</v>
      </c>
      <c r="D36" s="90">
        <v>2.9743589743589745</v>
      </c>
      <c r="E36" s="90">
        <v>3.6923076923076925</v>
      </c>
      <c r="F36" s="90">
        <v>3.0256410256410255</v>
      </c>
      <c r="G36" s="90">
        <v>4.4117647058823533</v>
      </c>
      <c r="H36" s="90">
        <v>4.1714285714285717</v>
      </c>
      <c r="I36" s="90">
        <v>3.736842105263158</v>
      </c>
      <c r="J36" s="90">
        <v>3.8888888888888888</v>
      </c>
      <c r="K36" s="90">
        <v>3.6216216216216215</v>
      </c>
      <c r="L36" s="90">
        <v>3.9142857142857141</v>
      </c>
      <c r="M36" s="90">
        <v>3.1621621621621623</v>
      </c>
      <c r="N36" s="90">
        <v>3.2894736842105261</v>
      </c>
      <c r="O36" s="90">
        <v>3.6486486486486487</v>
      </c>
      <c r="P36" s="90">
        <v>2.6875</v>
      </c>
      <c r="Q36" s="90">
        <v>3.6363636363636362</v>
      </c>
      <c r="R36" s="90">
        <v>3.4</v>
      </c>
      <c r="S36" s="90">
        <v>3.5555555555555554</v>
      </c>
      <c r="T36" s="90">
        <v>3.6470588235294117</v>
      </c>
      <c r="U36" s="90">
        <v>3.1764705882352939</v>
      </c>
      <c r="V36" s="90">
        <v>4.1578947368421053</v>
      </c>
      <c r="W36" s="90">
        <v>4.3783783783783781</v>
      </c>
      <c r="X36" s="90">
        <v>4.5263157894736841</v>
      </c>
      <c r="Y36" s="90">
        <v>4.5</v>
      </c>
      <c r="Z36" s="90">
        <v>4.5263157894736841</v>
      </c>
      <c r="AA36" s="90">
        <v>3.9487179487179489</v>
      </c>
      <c r="AB36" s="90">
        <v>4.1142857142857139</v>
      </c>
      <c r="AC36" s="90">
        <v>3.8333333333333335</v>
      </c>
      <c r="AD36" s="90">
        <v>4.1052631578947372</v>
      </c>
      <c r="AE36" s="90">
        <v>3.9487179487179489</v>
      </c>
      <c r="AF36" s="90">
        <v>4.3243243243243246</v>
      </c>
      <c r="AG36" s="90">
        <v>4.2564102564102564</v>
      </c>
      <c r="AH36" s="90">
        <v>3.6578947368421053</v>
      </c>
      <c r="AI36" s="90">
        <v>4.5</v>
      </c>
      <c r="AJ36" s="90">
        <v>4.1052631578947372</v>
      </c>
      <c r="AK36" s="90">
        <v>3.736842105263158</v>
      </c>
      <c r="AL36" s="90">
        <v>3.7179487179487181</v>
      </c>
      <c r="AM36" s="90">
        <v>2.6666666666666665</v>
      </c>
      <c r="AN36" s="90">
        <v>3.6285714285714286</v>
      </c>
      <c r="AO36" s="90">
        <v>3.9230769230769229</v>
      </c>
      <c r="AP36" s="90">
        <v>3.6666666666666665</v>
      </c>
      <c r="AQ36" s="100">
        <v>39</v>
      </c>
    </row>
    <row r="37" spans="1:43" x14ac:dyDescent="0.35">
      <c r="A37" s="119" t="s">
        <v>15</v>
      </c>
      <c r="B37" s="100">
        <v>6</v>
      </c>
      <c r="C37" s="100">
        <v>853</v>
      </c>
      <c r="D37" s="90">
        <v>3.4</v>
      </c>
      <c r="E37" s="90">
        <v>3.7288135593220337</v>
      </c>
      <c r="F37" s="90">
        <v>2.9649122807017543</v>
      </c>
      <c r="G37" s="90">
        <v>4.12</v>
      </c>
      <c r="H37" s="90">
        <v>3.8545454545454545</v>
      </c>
      <c r="I37" s="90">
        <v>4</v>
      </c>
      <c r="J37" s="90">
        <v>3.1730769230769229</v>
      </c>
      <c r="K37" s="90">
        <v>3.4693877551020407</v>
      </c>
      <c r="L37" s="90">
        <v>2.7924528301886791</v>
      </c>
      <c r="M37" s="90">
        <v>3.1509433962264151</v>
      </c>
      <c r="N37" s="90">
        <v>2.8679245283018866</v>
      </c>
      <c r="O37" s="90">
        <v>3.1320754716981134</v>
      </c>
      <c r="P37" s="90">
        <v>2.9</v>
      </c>
      <c r="Q37" s="90">
        <v>3.3555555555555556</v>
      </c>
      <c r="R37" s="90">
        <v>3.2</v>
      </c>
      <c r="S37" s="90">
        <v>3.3725490196078431</v>
      </c>
      <c r="T37" s="90">
        <v>3</v>
      </c>
      <c r="U37" s="90">
        <v>3.3265306122448979</v>
      </c>
      <c r="V37" s="90">
        <v>3.967741935483871</v>
      </c>
      <c r="W37" s="90">
        <v>4.1833333333333336</v>
      </c>
      <c r="X37" s="90">
        <v>4.2131147540983607</v>
      </c>
      <c r="Y37" s="90">
        <v>4.1639344262295079</v>
      </c>
      <c r="Z37" s="90">
        <v>4.2666666666666666</v>
      </c>
      <c r="AA37" s="90">
        <v>4.3114754098360653</v>
      </c>
      <c r="AB37" s="90">
        <v>3.8448275862068964</v>
      </c>
      <c r="AC37" s="90">
        <v>3.5614035087719298</v>
      </c>
      <c r="AD37" s="90">
        <v>3.8</v>
      </c>
      <c r="AE37" s="90">
        <v>3.6363636363636362</v>
      </c>
      <c r="AF37" s="90">
        <v>4.1694915254237293</v>
      </c>
      <c r="AG37" s="90">
        <v>4.390625</v>
      </c>
      <c r="AH37" s="90">
        <v>4.3809523809523814</v>
      </c>
      <c r="AI37" s="90">
        <v>4.28125</v>
      </c>
      <c r="AJ37" s="90">
        <v>3.9841269841269842</v>
      </c>
      <c r="AK37" s="90">
        <v>3.4561403508771931</v>
      </c>
      <c r="AL37" s="90">
        <v>3.2982456140350878</v>
      </c>
      <c r="AM37" s="90">
        <v>4.129032258064516</v>
      </c>
      <c r="AN37" s="90">
        <v>3.7884615384615383</v>
      </c>
      <c r="AO37" s="90">
        <v>3.9833333333333334</v>
      </c>
      <c r="AP37" s="90">
        <v>3.8360655737704916</v>
      </c>
      <c r="AQ37" s="100">
        <v>65</v>
      </c>
    </row>
    <row r="38" spans="1:43" x14ac:dyDescent="0.35">
      <c r="A38" s="119" t="s">
        <v>16</v>
      </c>
      <c r="B38" s="100">
        <v>5</v>
      </c>
      <c r="C38" s="100">
        <v>905</v>
      </c>
      <c r="D38" s="90">
        <v>2.6071428571428572</v>
      </c>
      <c r="E38" s="90">
        <v>3.5272727272727273</v>
      </c>
      <c r="F38" s="90">
        <v>2.5192307692307692</v>
      </c>
      <c r="G38" s="90">
        <v>4.0952380952380949</v>
      </c>
      <c r="H38" s="90">
        <v>3.847826086956522</v>
      </c>
      <c r="I38" s="90">
        <v>3.75</v>
      </c>
      <c r="J38" s="90">
        <v>3.4545454545454546</v>
      </c>
      <c r="K38" s="90">
        <v>3.0909090909090908</v>
      </c>
      <c r="L38" s="90">
        <v>2.3829787234042552</v>
      </c>
      <c r="M38" s="90">
        <v>3.1836734693877551</v>
      </c>
      <c r="N38" s="90">
        <v>3</v>
      </c>
      <c r="O38" s="90">
        <v>3.28</v>
      </c>
      <c r="P38" s="90">
        <v>3</v>
      </c>
      <c r="Q38" s="90">
        <v>3.2954545454545454</v>
      </c>
      <c r="R38" s="90">
        <v>3.1666666666666665</v>
      </c>
      <c r="S38" s="90">
        <v>3.5714285714285716</v>
      </c>
      <c r="T38" s="90">
        <v>3.0217391304347827</v>
      </c>
      <c r="U38" s="90">
        <v>3.1333333333333333</v>
      </c>
      <c r="V38" s="90">
        <v>4.166666666666667</v>
      </c>
      <c r="W38" s="90">
        <v>4.3888888888888893</v>
      </c>
      <c r="X38" s="90">
        <v>4.3214285714285712</v>
      </c>
      <c r="Y38" s="90">
        <v>4.4107142857142856</v>
      </c>
      <c r="Z38" s="90">
        <v>4.4107142857142856</v>
      </c>
      <c r="AA38" s="90">
        <v>4.4210526315789478</v>
      </c>
      <c r="AB38" s="90">
        <v>3.9411764705882355</v>
      </c>
      <c r="AC38" s="90">
        <v>3.8163265306122449</v>
      </c>
      <c r="AD38" s="90">
        <v>3.66</v>
      </c>
      <c r="AE38" s="90">
        <v>3.6734693877551021</v>
      </c>
      <c r="AF38" s="90">
        <v>4.5454545454545459</v>
      </c>
      <c r="AG38" s="90">
        <v>4.4385964912280702</v>
      </c>
      <c r="AH38" s="90">
        <v>4.290909090909091</v>
      </c>
      <c r="AI38" s="90">
        <v>4.3207547169811322</v>
      </c>
      <c r="AJ38" s="90">
        <v>3.9074074074074074</v>
      </c>
      <c r="AK38" s="90">
        <v>3.574074074074074</v>
      </c>
      <c r="AL38" s="90">
        <v>3.7407407407407409</v>
      </c>
      <c r="AM38" s="90">
        <v>2.6909090909090909</v>
      </c>
      <c r="AN38" s="90">
        <v>3.3617021276595747</v>
      </c>
      <c r="AO38" s="90">
        <v>3.9642857142857144</v>
      </c>
      <c r="AP38" s="90">
        <v>4.0370370370370372</v>
      </c>
      <c r="AQ38" s="100">
        <v>57</v>
      </c>
    </row>
    <row r="39" spans="1:43" x14ac:dyDescent="0.35">
      <c r="A39" s="119" t="s">
        <v>71</v>
      </c>
      <c r="B39" s="100">
        <v>6</v>
      </c>
      <c r="C39" s="100">
        <v>92</v>
      </c>
      <c r="D39" s="90">
        <v>3.2068965517241379</v>
      </c>
      <c r="E39" s="90">
        <v>3.7272727272727271</v>
      </c>
      <c r="F39" s="90">
        <v>3.264367816091954</v>
      </c>
      <c r="G39" s="90">
        <v>4.1866666666666665</v>
      </c>
      <c r="H39" s="90">
        <v>3.8571428571428572</v>
      </c>
      <c r="I39" s="90">
        <v>3.8705882352941177</v>
      </c>
      <c r="J39" s="90">
        <v>3.2857142857142856</v>
      </c>
      <c r="K39" s="90">
        <v>3.2461538461538462</v>
      </c>
      <c r="L39" s="90">
        <v>2.7142857142857144</v>
      </c>
      <c r="M39" s="90">
        <v>3.1818181818181817</v>
      </c>
      <c r="N39" s="90">
        <v>2.9870129870129869</v>
      </c>
      <c r="O39" s="90">
        <v>3.0909090909090908</v>
      </c>
      <c r="P39" s="90">
        <v>2.8630136986301369</v>
      </c>
      <c r="Q39" s="90">
        <v>3.3717948717948718</v>
      </c>
      <c r="R39" s="90">
        <v>3.036144578313253</v>
      </c>
      <c r="S39" s="90">
        <v>3.2820512820512819</v>
      </c>
      <c r="T39" s="90">
        <v>3.2179487179487181</v>
      </c>
      <c r="U39" s="90">
        <v>3.4698795180722892</v>
      </c>
      <c r="V39" s="90">
        <v>4.3023255813953485</v>
      </c>
      <c r="W39" s="90">
        <v>4.3882352941176475</v>
      </c>
      <c r="X39" s="90">
        <v>4.3176470588235292</v>
      </c>
      <c r="Y39" s="90">
        <v>4.3176470588235292</v>
      </c>
      <c r="Z39" s="90">
        <v>4.3058823529411763</v>
      </c>
      <c r="AA39" s="90">
        <v>4.1904761904761907</v>
      </c>
      <c r="AB39" s="90">
        <v>3.6585365853658538</v>
      </c>
      <c r="AC39" s="90">
        <v>3.625</v>
      </c>
      <c r="AD39" s="90">
        <v>3.7875000000000001</v>
      </c>
      <c r="AE39" s="90">
        <v>3.7777777777777777</v>
      </c>
      <c r="AF39" s="90">
        <v>3.8705882352941177</v>
      </c>
      <c r="AG39" s="90">
        <v>4.3636363636363633</v>
      </c>
      <c r="AH39" s="90">
        <v>3.6363636363636362</v>
      </c>
      <c r="AI39" s="90">
        <v>3.8488372093023258</v>
      </c>
      <c r="AJ39" s="90">
        <v>3.7058823529411766</v>
      </c>
      <c r="AK39" s="90">
        <v>2.8837209302325579</v>
      </c>
      <c r="AL39" s="90">
        <v>3.5176470588235293</v>
      </c>
      <c r="AM39" s="90">
        <v>3.7640449438202248</v>
      </c>
      <c r="AN39" s="90">
        <v>3.6705882352941175</v>
      </c>
      <c r="AO39" s="90">
        <v>4.2470588235294118</v>
      </c>
      <c r="AP39" s="90">
        <v>4.0229885057471266</v>
      </c>
      <c r="AQ39" s="100">
        <v>89</v>
      </c>
    </row>
    <row r="40" spans="1:43" x14ac:dyDescent="0.35">
      <c r="A40" s="119" t="s">
        <v>17</v>
      </c>
      <c r="B40" s="100">
        <v>1</v>
      </c>
      <c r="C40" s="100">
        <v>934</v>
      </c>
      <c r="D40" s="90">
        <v>3.2</v>
      </c>
      <c r="E40" s="90">
        <v>4.0666666666666664</v>
      </c>
      <c r="F40" s="90">
        <v>3.3571428571428572</v>
      </c>
      <c r="G40" s="90">
        <v>4.2307692307692308</v>
      </c>
      <c r="H40" s="90">
        <v>4.2142857142857144</v>
      </c>
      <c r="I40" s="90">
        <v>3.75</v>
      </c>
      <c r="J40" s="90">
        <v>3.6923076923076925</v>
      </c>
      <c r="K40" s="90">
        <v>3.4166666666666665</v>
      </c>
      <c r="L40" s="90">
        <v>3.2307692307692308</v>
      </c>
      <c r="M40" s="90">
        <v>3.8571428571428572</v>
      </c>
      <c r="N40" s="90">
        <v>3.9285714285714284</v>
      </c>
      <c r="O40" s="90">
        <v>3.3076923076923075</v>
      </c>
      <c r="P40" s="90">
        <v>2.5833333333333335</v>
      </c>
      <c r="Q40" s="90">
        <v>3.6153846153846154</v>
      </c>
      <c r="R40" s="90">
        <v>3.8333333333333335</v>
      </c>
      <c r="S40" s="90">
        <v>4</v>
      </c>
      <c r="T40" s="90">
        <v>2.9090909090909092</v>
      </c>
      <c r="U40" s="90">
        <v>3.4545454545454546</v>
      </c>
      <c r="V40" s="90">
        <v>4.2666666666666666</v>
      </c>
      <c r="W40" s="90">
        <v>4.4000000000000004</v>
      </c>
      <c r="X40" s="90">
        <v>4.333333333333333</v>
      </c>
      <c r="Y40" s="90">
        <v>4.4000000000000004</v>
      </c>
      <c r="Z40" s="90">
        <v>4.4666666666666668</v>
      </c>
      <c r="AA40" s="90">
        <v>2.9333333333333331</v>
      </c>
      <c r="AB40" s="90">
        <v>4</v>
      </c>
      <c r="AC40" s="90">
        <v>3.7692307692307692</v>
      </c>
      <c r="AD40" s="90">
        <v>3.9285714285714284</v>
      </c>
      <c r="AE40" s="90">
        <v>4.1333333333333337</v>
      </c>
      <c r="AF40" s="90">
        <v>3.6</v>
      </c>
      <c r="AG40" s="90">
        <v>4.4000000000000004</v>
      </c>
      <c r="AH40" s="90">
        <v>2.7333333333333334</v>
      </c>
      <c r="AI40" s="90">
        <v>4.2666666666666666</v>
      </c>
      <c r="AJ40" s="90">
        <v>3.2142857142857144</v>
      </c>
      <c r="AK40" s="90">
        <v>2.9333333333333331</v>
      </c>
      <c r="AL40" s="90">
        <v>3.7333333333333334</v>
      </c>
      <c r="AM40" s="90">
        <v>1.6</v>
      </c>
      <c r="AN40" s="90">
        <v>3.8125</v>
      </c>
      <c r="AO40" s="90">
        <v>4.125</v>
      </c>
      <c r="AP40" s="90">
        <v>4.3125</v>
      </c>
      <c r="AQ40" s="100">
        <v>16</v>
      </c>
    </row>
    <row r="41" spans="1:43" x14ac:dyDescent="0.35">
      <c r="A41" s="119" t="s">
        <v>24</v>
      </c>
      <c r="B41" s="100">
        <v>2</v>
      </c>
      <c r="C41" s="100">
        <v>946</v>
      </c>
      <c r="D41" s="90">
        <v>4.032258064516129</v>
      </c>
      <c r="E41" s="90">
        <v>4.419354838709677</v>
      </c>
      <c r="F41" s="90">
        <v>3.5</v>
      </c>
      <c r="G41" s="90">
        <v>4.5999999999999996</v>
      </c>
      <c r="H41" s="90">
        <v>4.1851851851851851</v>
      </c>
      <c r="I41" s="90">
        <v>4.1071428571428568</v>
      </c>
      <c r="J41" s="90">
        <v>4.083333333333333</v>
      </c>
      <c r="K41" s="90">
        <v>4.2413793103448274</v>
      </c>
      <c r="L41" s="90">
        <v>2.6538461538461537</v>
      </c>
      <c r="M41" s="90">
        <v>4.2333333333333334</v>
      </c>
      <c r="N41" s="90">
        <v>4.2</v>
      </c>
      <c r="O41" s="90">
        <v>4.0344827586206895</v>
      </c>
      <c r="P41" s="90">
        <v>3.4166666666666665</v>
      </c>
      <c r="Q41" s="90">
        <v>3.5238095238095237</v>
      </c>
      <c r="R41" s="90">
        <v>3.52</v>
      </c>
      <c r="S41" s="90">
        <v>3.5185185185185186</v>
      </c>
      <c r="T41" s="90">
        <v>2.9166666666666665</v>
      </c>
      <c r="U41" s="90">
        <v>3.5909090909090908</v>
      </c>
      <c r="V41" s="90">
        <v>4.5862068965517242</v>
      </c>
      <c r="W41" s="90">
        <v>4.5862068965517242</v>
      </c>
      <c r="X41" s="90">
        <v>4.7586206896551726</v>
      </c>
      <c r="Y41" s="90">
        <v>4.6206896551724137</v>
      </c>
      <c r="Z41" s="90">
        <v>4.5517241379310347</v>
      </c>
      <c r="AA41" s="90">
        <v>3.4074074074074074</v>
      </c>
      <c r="AB41" s="90">
        <v>3.8928571428571428</v>
      </c>
      <c r="AC41" s="90">
        <v>3.7916666666666665</v>
      </c>
      <c r="AD41" s="90">
        <v>4.12</v>
      </c>
      <c r="AE41" s="90">
        <v>4.1379310344827589</v>
      </c>
      <c r="AF41" s="90">
        <v>4.7</v>
      </c>
      <c r="AG41" s="90">
        <v>4.6333333333333337</v>
      </c>
      <c r="AH41" s="90">
        <v>3.9310344827586206</v>
      </c>
      <c r="AI41" s="90">
        <v>4.6785714285714288</v>
      </c>
      <c r="AJ41" s="90">
        <v>3.5185185185185186</v>
      </c>
      <c r="AK41" s="90">
        <v>3.7</v>
      </c>
      <c r="AL41" s="90">
        <v>3.9655172413793105</v>
      </c>
      <c r="AM41" s="90">
        <v>2.7</v>
      </c>
      <c r="AN41" s="90">
        <v>4.2413793103448274</v>
      </c>
      <c r="AO41" s="90">
        <v>3.896551724137931</v>
      </c>
      <c r="AP41" s="90">
        <v>4.1428571428571432</v>
      </c>
      <c r="AQ41" s="100">
        <v>31</v>
      </c>
    </row>
    <row r="44" spans="1:43" x14ac:dyDescent="0.35">
      <c r="A44" s="119" t="s">
        <v>126</v>
      </c>
      <c r="D44" s="119" t="s">
        <v>597</v>
      </c>
      <c r="E44" s="119" t="s">
        <v>598</v>
      </c>
      <c r="F44" s="119" t="s">
        <v>599</v>
      </c>
      <c r="G44" s="119" t="s">
        <v>600</v>
      </c>
      <c r="H44" s="119" t="s">
        <v>601</v>
      </c>
      <c r="I44" s="119" t="s">
        <v>602</v>
      </c>
      <c r="J44" s="119" t="s">
        <v>603</v>
      </c>
      <c r="K44" s="119" t="s">
        <v>604</v>
      </c>
      <c r="L44" s="119" t="s">
        <v>605</v>
      </c>
      <c r="M44" s="119" t="s">
        <v>606</v>
      </c>
      <c r="N44" s="119" t="s">
        <v>607</v>
      </c>
      <c r="O44" s="119" t="s">
        <v>608</v>
      </c>
      <c r="P44" s="119" t="s">
        <v>609</v>
      </c>
      <c r="Q44" s="119" t="s">
        <v>610</v>
      </c>
      <c r="R44" s="119" t="s">
        <v>611</v>
      </c>
      <c r="S44" s="119" t="s">
        <v>612</v>
      </c>
      <c r="T44" s="119" t="s">
        <v>613</v>
      </c>
      <c r="U44" s="119" t="s">
        <v>614</v>
      </c>
      <c r="V44" s="119" t="s">
        <v>615</v>
      </c>
      <c r="W44" s="119" t="s">
        <v>616</v>
      </c>
      <c r="X44" s="119" t="s">
        <v>617</v>
      </c>
      <c r="Y44" s="119" t="s">
        <v>618</v>
      </c>
      <c r="Z44" s="119" t="s">
        <v>619</v>
      </c>
      <c r="AA44" s="119" t="s">
        <v>620</v>
      </c>
      <c r="AB44" s="119" t="s">
        <v>621</v>
      </c>
      <c r="AC44" s="119" t="s">
        <v>622</v>
      </c>
      <c r="AD44" s="119" t="s">
        <v>623</v>
      </c>
      <c r="AE44" s="119" t="s">
        <v>624</v>
      </c>
      <c r="AF44" s="119" t="s">
        <v>625</v>
      </c>
      <c r="AG44" s="119" t="s">
        <v>626</v>
      </c>
      <c r="AH44" s="119" t="s">
        <v>627</v>
      </c>
      <c r="AI44" s="119" t="s">
        <v>628</v>
      </c>
      <c r="AJ44" s="119" t="s">
        <v>629</v>
      </c>
      <c r="AK44" s="119" t="s">
        <v>630</v>
      </c>
      <c r="AL44" s="119" t="s">
        <v>631</v>
      </c>
      <c r="AM44" s="119" t="s">
        <v>632</v>
      </c>
      <c r="AN44" s="119" t="s">
        <v>633</v>
      </c>
      <c r="AO44" s="119" t="s">
        <v>634</v>
      </c>
      <c r="AP44" s="119" t="s">
        <v>635</v>
      </c>
      <c r="AQ44" s="119" t="s">
        <v>79</v>
      </c>
    </row>
    <row r="45" spans="1:43" x14ac:dyDescent="0.35">
      <c r="A45" s="119" t="s">
        <v>130</v>
      </c>
      <c r="D45" s="90">
        <v>3.8733333333333335</v>
      </c>
      <c r="E45" s="90">
        <v>4.275167785234899</v>
      </c>
      <c r="F45" s="90">
        <v>4</v>
      </c>
      <c r="G45" s="90">
        <v>4.4153846153846157</v>
      </c>
      <c r="H45" s="90">
        <v>4.375886524822695</v>
      </c>
      <c r="I45" s="90">
        <v>3.8257575757575757</v>
      </c>
      <c r="J45" s="90">
        <v>3.925925925925926</v>
      </c>
      <c r="K45" s="90">
        <v>3.6806722689075628</v>
      </c>
      <c r="L45" s="90">
        <v>3.5760000000000001</v>
      </c>
      <c r="M45" s="90">
        <v>3.9859154929577465</v>
      </c>
      <c r="N45" s="90">
        <v>3.7076923076923078</v>
      </c>
      <c r="O45" s="90">
        <v>3.8642857142857143</v>
      </c>
      <c r="P45" s="90">
        <v>3.28125</v>
      </c>
      <c r="Q45" s="90">
        <v>3.8661417322834644</v>
      </c>
      <c r="R45" s="90">
        <v>3.7328244274809159</v>
      </c>
      <c r="S45" s="90">
        <v>3.8372093023255816</v>
      </c>
      <c r="T45" s="90">
        <v>3.435483870967742</v>
      </c>
      <c r="U45" s="90">
        <v>3.8032786885245899</v>
      </c>
      <c r="V45" s="90">
        <v>4.4758620689655171</v>
      </c>
      <c r="W45" s="90">
        <v>4.63448275862069</v>
      </c>
      <c r="X45" s="90">
        <v>4.5763888888888893</v>
      </c>
      <c r="Y45" s="90">
        <v>4.6689655172413795</v>
      </c>
      <c r="Z45" s="90">
        <v>4.330985915492958</v>
      </c>
      <c r="AA45" s="90">
        <v>2.86231884057971</v>
      </c>
      <c r="AB45" s="90">
        <v>4.1231884057971016</v>
      </c>
      <c r="AC45" s="90">
        <v>3.9696969696969697</v>
      </c>
      <c r="AD45" s="90">
        <v>4.0601503759398501</v>
      </c>
      <c r="AE45" s="90">
        <v>4.1172413793103448</v>
      </c>
      <c r="AF45" s="90">
        <v>4.2312925170068025</v>
      </c>
      <c r="AG45" s="90">
        <v>4.4899328859060406</v>
      </c>
      <c r="AH45" s="90">
        <v>3.7310344827586208</v>
      </c>
      <c r="AI45" s="90">
        <v>4.32</v>
      </c>
      <c r="AJ45" s="90">
        <v>3.8391608391608392</v>
      </c>
      <c r="AK45" s="90">
        <v>3.6917808219178081</v>
      </c>
      <c r="AL45" s="90">
        <v>4.1438356164383565</v>
      </c>
      <c r="AM45" s="90">
        <v>2.5067567567567566</v>
      </c>
      <c r="AN45" s="90">
        <v>4.0479452054794525</v>
      </c>
      <c r="AO45" s="90">
        <v>3.9726027397260273</v>
      </c>
      <c r="AP45" s="90">
        <v>3.8163265306122449</v>
      </c>
      <c r="AQ45" s="100">
        <v>151</v>
      </c>
    </row>
    <row r="46" spans="1:43" x14ac:dyDescent="0.35">
      <c r="A46" s="119" t="s">
        <v>131</v>
      </c>
      <c r="D46" s="90">
        <v>3.8671328671328671</v>
      </c>
      <c r="E46" s="90">
        <v>4.1884057971014492</v>
      </c>
      <c r="F46" s="90">
        <v>3.6690647482014387</v>
      </c>
      <c r="G46" s="90">
        <v>4.2608695652173916</v>
      </c>
      <c r="H46" s="90">
        <v>4.2049180327868854</v>
      </c>
      <c r="I46" s="90">
        <v>3.7862595419847329</v>
      </c>
      <c r="J46" s="90">
        <v>3.7931034482758621</v>
      </c>
      <c r="K46" s="90">
        <v>3.8688524590163933</v>
      </c>
      <c r="L46" s="90">
        <v>3.2432432432432434</v>
      </c>
      <c r="M46" s="90">
        <v>3.7259259259259259</v>
      </c>
      <c r="N46" s="90">
        <v>3.6240601503759398</v>
      </c>
      <c r="O46" s="90">
        <v>3.7259259259259259</v>
      </c>
      <c r="P46" s="90">
        <v>3.2672413793103448</v>
      </c>
      <c r="Q46" s="90">
        <v>3.5412844036697249</v>
      </c>
      <c r="R46" s="90">
        <v>3.4453781512605044</v>
      </c>
      <c r="S46" s="90">
        <v>3.5882352941176472</v>
      </c>
      <c r="T46" s="90">
        <v>3.2434782608695651</v>
      </c>
      <c r="U46" s="90">
        <v>3.4818181818181819</v>
      </c>
      <c r="V46" s="90">
        <v>4.437956204379562</v>
      </c>
      <c r="W46" s="90">
        <v>4.445255474452555</v>
      </c>
      <c r="X46" s="90">
        <v>4.445255474452555</v>
      </c>
      <c r="Y46" s="90">
        <v>4.4338235294117645</v>
      </c>
      <c r="Z46" s="90">
        <v>4.4306569343065689</v>
      </c>
      <c r="AA46" s="90">
        <v>3.3846153846153846</v>
      </c>
      <c r="AB46" s="90">
        <v>3.8809523809523809</v>
      </c>
      <c r="AC46" s="90">
        <v>3.8235294117647061</v>
      </c>
      <c r="AD46" s="90">
        <v>3.9379844961240309</v>
      </c>
      <c r="AE46" s="90">
        <v>4.166666666666667</v>
      </c>
      <c r="AF46" s="90">
        <v>4.352112676056338</v>
      </c>
      <c r="AG46" s="90">
        <v>4.563380281690141</v>
      </c>
      <c r="AH46" s="90">
        <v>3.978723404255319</v>
      </c>
      <c r="AI46" s="90">
        <v>4.2907801418439719</v>
      </c>
      <c r="AJ46" s="90">
        <v>3.7669172932330826</v>
      </c>
      <c r="AK46" s="90">
        <v>3.3928571428571428</v>
      </c>
      <c r="AL46" s="90">
        <v>4.0214285714285714</v>
      </c>
      <c r="AM46" s="90">
        <v>2.5174825174825175</v>
      </c>
      <c r="AN46" s="90">
        <v>3.8768115942028984</v>
      </c>
      <c r="AO46" s="90">
        <v>3.978723404255319</v>
      </c>
      <c r="AP46" s="90">
        <v>3.7956204379562042</v>
      </c>
      <c r="AQ46" s="100">
        <v>144</v>
      </c>
    </row>
    <row r="47" spans="1:43" x14ac:dyDescent="0.35">
      <c r="A47" s="119" t="s">
        <v>132</v>
      </c>
      <c r="D47" s="90">
        <v>3.5884615384615386</v>
      </c>
      <c r="E47" s="90">
        <v>3.9846153846153847</v>
      </c>
      <c r="F47" s="90">
        <v>3.3122529644268774</v>
      </c>
      <c r="G47" s="90">
        <v>4.2311111111111108</v>
      </c>
      <c r="H47" s="90">
        <v>4.05531914893617</v>
      </c>
      <c r="I47" s="90">
        <v>3.8661087866108788</v>
      </c>
      <c r="J47" s="90">
        <v>3.8544600938967135</v>
      </c>
      <c r="K47" s="90">
        <v>3.8157894736842106</v>
      </c>
      <c r="L47" s="90">
        <v>3.3349056603773586</v>
      </c>
      <c r="M47" s="90">
        <v>3.6138211382113821</v>
      </c>
      <c r="N47" s="90">
        <v>3.5892116182572615</v>
      </c>
      <c r="O47" s="90">
        <v>3.7049180327868854</v>
      </c>
      <c r="P47" s="90">
        <v>3.300925925925926</v>
      </c>
      <c r="Q47" s="90">
        <v>3.7222222222222223</v>
      </c>
      <c r="R47" s="90">
        <v>3.5336322869955157</v>
      </c>
      <c r="S47" s="90">
        <v>3.8565022421524664</v>
      </c>
      <c r="T47" s="90">
        <v>3.3684210526315788</v>
      </c>
      <c r="U47" s="90">
        <v>3.5778894472361809</v>
      </c>
      <c r="V47" s="90">
        <v>4.273076923076923</v>
      </c>
      <c r="W47" s="90">
        <v>4.4038461538461542</v>
      </c>
      <c r="X47" s="90">
        <v>4.4809160305343507</v>
      </c>
      <c r="Y47" s="90">
        <v>4.4597701149425291</v>
      </c>
      <c r="Z47" s="90">
        <v>4.1500000000000004</v>
      </c>
      <c r="AA47" s="90">
        <v>3.5642023346303504</v>
      </c>
      <c r="AB47" s="90">
        <v>3.9297520661157024</v>
      </c>
      <c r="AC47" s="90">
        <v>3.8969957081545066</v>
      </c>
      <c r="AD47" s="90">
        <v>3.8744939271255059</v>
      </c>
      <c r="AE47" s="90">
        <v>3.9609375</v>
      </c>
      <c r="AF47" s="90">
        <v>4.2623574144486689</v>
      </c>
      <c r="AG47" s="90">
        <v>4.5492424242424239</v>
      </c>
      <c r="AH47" s="90">
        <v>4.0038167938931295</v>
      </c>
      <c r="AI47" s="90">
        <v>4.416666666666667</v>
      </c>
      <c r="AJ47" s="90">
        <v>3.8976377952755907</v>
      </c>
      <c r="AK47" s="90">
        <v>3.5984251968503935</v>
      </c>
      <c r="AL47" s="90">
        <v>4.019305019305019</v>
      </c>
      <c r="AM47" s="90">
        <v>2.5877862595419847</v>
      </c>
      <c r="AN47" s="90">
        <v>3.9269230769230767</v>
      </c>
      <c r="AO47" s="90">
        <v>4.1400778210116735</v>
      </c>
      <c r="AP47" s="90">
        <v>3.9221789883268481</v>
      </c>
      <c r="AQ47" s="100">
        <v>268</v>
      </c>
    </row>
    <row r="48" spans="1:43" x14ac:dyDescent="0.35">
      <c r="A48" s="119" t="s">
        <v>133</v>
      </c>
      <c r="D48" s="90">
        <v>3.76171875</v>
      </c>
      <c r="E48" s="90">
        <v>4.125</v>
      </c>
      <c r="F48" s="90">
        <v>3.6</v>
      </c>
      <c r="G48" s="90">
        <v>4.3720930232558137</v>
      </c>
      <c r="H48" s="90">
        <v>4.1008771929824563</v>
      </c>
      <c r="I48" s="90">
        <v>4.0635593220338979</v>
      </c>
      <c r="J48" s="90">
        <v>3.8413461538461537</v>
      </c>
      <c r="K48" s="90">
        <v>3.7405660377358489</v>
      </c>
      <c r="L48" s="90">
        <v>3.6555023923444976</v>
      </c>
      <c r="M48" s="90">
        <v>3.6347826086956521</v>
      </c>
      <c r="N48" s="90">
        <v>3.4469026548672566</v>
      </c>
      <c r="O48" s="90">
        <v>3.668141592920354</v>
      </c>
      <c r="P48" s="90">
        <v>3.1592039800995027</v>
      </c>
      <c r="Q48" s="90">
        <v>3.7242990654205608</v>
      </c>
      <c r="R48" s="90">
        <v>3.6757990867579911</v>
      </c>
      <c r="S48" s="90">
        <v>3.7298578199052135</v>
      </c>
      <c r="T48" s="90">
        <v>3.6949999999999998</v>
      </c>
      <c r="U48" s="90">
        <v>3.6551724137931036</v>
      </c>
      <c r="V48" s="90">
        <v>4.354838709677419</v>
      </c>
      <c r="W48" s="90">
        <v>4.4268292682926829</v>
      </c>
      <c r="X48" s="90">
        <v>4.4880000000000004</v>
      </c>
      <c r="Y48" s="90">
        <v>4.4337349397590362</v>
      </c>
      <c r="Z48" s="90">
        <v>4.1578947368421053</v>
      </c>
      <c r="AA48" s="90">
        <v>3.968</v>
      </c>
      <c r="AB48" s="90">
        <v>4.0442477876106198</v>
      </c>
      <c r="AC48" s="90">
        <v>3.8139534883720931</v>
      </c>
      <c r="AD48" s="90">
        <v>3.9788135593220337</v>
      </c>
      <c r="AE48" s="90">
        <v>4.0811965811965809</v>
      </c>
      <c r="AF48" s="90">
        <v>4.245967741935484</v>
      </c>
      <c r="AG48" s="90">
        <v>4.447058823529412</v>
      </c>
      <c r="AH48" s="90">
        <v>3.818548387096774</v>
      </c>
      <c r="AI48" s="90">
        <v>4.3453815261044175</v>
      </c>
      <c r="AJ48" s="90">
        <v>4.0081632653061225</v>
      </c>
      <c r="AK48" s="90">
        <v>3.4710743801652892</v>
      </c>
      <c r="AL48" s="90">
        <v>3.774193548387097</v>
      </c>
      <c r="AM48" s="90">
        <v>3.1587301587301586</v>
      </c>
      <c r="AN48" s="90">
        <v>3.6108786610878663</v>
      </c>
      <c r="AO48" s="90">
        <v>4.1102040816326531</v>
      </c>
      <c r="AP48" s="90">
        <v>4.004032258064516</v>
      </c>
      <c r="AQ48" s="100">
        <v>258</v>
      </c>
    </row>
    <row r="49" spans="1:43" x14ac:dyDescent="0.35">
      <c r="A49" s="119" t="s">
        <v>134</v>
      </c>
      <c r="D49" s="90">
        <v>3.125</v>
      </c>
      <c r="E49" s="90">
        <v>3.6873065015479876</v>
      </c>
      <c r="F49" s="90">
        <v>2.9581993569131835</v>
      </c>
      <c r="G49" s="90">
        <v>4.0807692307692305</v>
      </c>
      <c r="H49" s="90">
        <v>3.7615658362989324</v>
      </c>
      <c r="I49" s="90">
        <v>3.8797468354430378</v>
      </c>
      <c r="J49" s="90">
        <v>3.5836431226765799</v>
      </c>
      <c r="K49" s="90">
        <v>3.4210526315789473</v>
      </c>
      <c r="L49" s="90">
        <v>3.0451127819548871</v>
      </c>
      <c r="M49" s="90">
        <v>3.2857142857142856</v>
      </c>
      <c r="N49" s="90">
        <v>3.049122807017544</v>
      </c>
      <c r="O49" s="90">
        <v>3.2696245733788394</v>
      </c>
      <c r="P49" s="90">
        <v>2.9767441860465116</v>
      </c>
      <c r="Q49" s="90">
        <v>3.4594594594594597</v>
      </c>
      <c r="R49" s="90">
        <v>3.283582089552239</v>
      </c>
      <c r="S49" s="90">
        <v>3.4962406015037595</v>
      </c>
      <c r="T49" s="90">
        <v>3.3664122137404582</v>
      </c>
      <c r="U49" s="90">
        <v>3.2781954887218046</v>
      </c>
      <c r="V49" s="90">
        <v>4.0451612903225804</v>
      </c>
      <c r="W49" s="90">
        <v>4.2548387096774194</v>
      </c>
      <c r="X49" s="90">
        <v>4.221498371335505</v>
      </c>
      <c r="Y49" s="90">
        <v>4.2290322580645165</v>
      </c>
      <c r="Z49" s="90">
        <v>4.1560509554140124</v>
      </c>
      <c r="AA49" s="90">
        <v>4.1619047619047622</v>
      </c>
      <c r="AB49" s="90">
        <v>3.8222996515679442</v>
      </c>
      <c r="AC49" s="90">
        <v>3.6325088339222615</v>
      </c>
      <c r="AD49" s="90">
        <v>3.6271777003484322</v>
      </c>
      <c r="AE49" s="90">
        <v>3.7132867132867133</v>
      </c>
      <c r="AF49" s="90">
        <v>4.2093749999999996</v>
      </c>
      <c r="AG49" s="90">
        <v>4.4133738601823707</v>
      </c>
      <c r="AH49" s="90">
        <v>4.2129629629629628</v>
      </c>
      <c r="AI49" s="90">
        <v>4.3343653250773997</v>
      </c>
      <c r="AJ49" s="90">
        <v>3.8181818181818183</v>
      </c>
      <c r="AK49" s="90">
        <v>3.7346278317152102</v>
      </c>
      <c r="AL49" s="90">
        <v>3.9902912621359223</v>
      </c>
      <c r="AM49" s="90">
        <v>2.9076923076923076</v>
      </c>
      <c r="AN49" s="90">
        <v>3.5</v>
      </c>
      <c r="AO49" s="90">
        <v>3.975232198142415</v>
      </c>
      <c r="AP49" s="90">
        <v>3.8473520249221185</v>
      </c>
      <c r="AQ49" s="100">
        <v>335</v>
      </c>
    </row>
    <row r="50" spans="1:43" x14ac:dyDescent="0.35">
      <c r="A50" s="119" t="s">
        <v>135</v>
      </c>
      <c r="D50" s="90">
        <v>3.181122448979592</v>
      </c>
      <c r="E50" s="90">
        <v>3.6435897435897435</v>
      </c>
      <c r="F50" s="90">
        <v>3.0554089709762531</v>
      </c>
      <c r="G50" s="90">
        <v>4.0609756097560972</v>
      </c>
      <c r="H50" s="90">
        <v>3.7029411764705884</v>
      </c>
      <c r="I50" s="90">
        <v>3.8617021276595747</v>
      </c>
      <c r="J50" s="90">
        <v>3.3104575163398691</v>
      </c>
      <c r="K50" s="90">
        <v>3.3333333333333335</v>
      </c>
      <c r="L50" s="90">
        <v>2.696165191740413</v>
      </c>
      <c r="M50" s="90">
        <v>3.1028571428571428</v>
      </c>
      <c r="N50" s="90">
        <v>2.9337175792507204</v>
      </c>
      <c r="O50" s="90">
        <v>3.125</v>
      </c>
      <c r="P50" s="90">
        <v>2.807073954983923</v>
      </c>
      <c r="Q50" s="90">
        <v>3.3738019169329072</v>
      </c>
      <c r="R50" s="90">
        <v>3.1407624633431084</v>
      </c>
      <c r="S50" s="90">
        <v>3.317365269461078</v>
      </c>
      <c r="T50" s="90">
        <v>3.0062305295950154</v>
      </c>
      <c r="U50" s="90">
        <v>3.3382789317507418</v>
      </c>
      <c r="V50" s="90">
        <v>4.0337662337662339</v>
      </c>
      <c r="W50" s="90">
        <v>4.2275132275132279</v>
      </c>
      <c r="X50" s="90">
        <v>4.2657894736842108</v>
      </c>
      <c r="Y50" s="90">
        <v>4.2440318302387272</v>
      </c>
      <c r="Z50" s="90">
        <v>4.20844327176781</v>
      </c>
      <c r="AA50" s="90">
        <v>4.1436170212765955</v>
      </c>
      <c r="AB50" s="90">
        <v>3.7151162790697674</v>
      </c>
      <c r="AC50" s="90">
        <v>3.4971098265895955</v>
      </c>
      <c r="AD50" s="90">
        <v>3.6394366197183099</v>
      </c>
      <c r="AE50" s="90">
        <v>3.7051671732522795</v>
      </c>
      <c r="AF50" s="90">
        <v>4.0880000000000001</v>
      </c>
      <c r="AG50" s="90">
        <v>4.3705583756345181</v>
      </c>
      <c r="AH50" s="90">
        <v>4.0564102564102562</v>
      </c>
      <c r="AI50" s="90">
        <v>4.1516709511568122</v>
      </c>
      <c r="AJ50" s="90">
        <v>3.7459459459459459</v>
      </c>
      <c r="AK50" s="90">
        <v>3.2373333333333334</v>
      </c>
      <c r="AL50" s="90">
        <v>3.2925531914893615</v>
      </c>
      <c r="AM50" s="90">
        <v>3.6040609137055837</v>
      </c>
      <c r="AN50" s="90">
        <v>3.4565826330532214</v>
      </c>
      <c r="AO50" s="90">
        <v>4.1220779220779225</v>
      </c>
      <c r="AP50" s="90">
        <v>3.9476439790575917</v>
      </c>
      <c r="AQ50" s="100">
        <v>406</v>
      </c>
    </row>
    <row r="53" spans="1:43" x14ac:dyDescent="0.35">
      <c r="D53" s="119" t="s">
        <v>597</v>
      </c>
      <c r="E53" s="119" t="s">
        <v>598</v>
      </c>
      <c r="F53" s="119" t="s">
        <v>599</v>
      </c>
      <c r="G53" s="119" t="s">
        <v>600</v>
      </c>
      <c r="H53" s="119" t="s">
        <v>601</v>
      </c>
      <c r="I53" s="119" t="s">
        <v>602</v>
      </c>
      <c r="J53" s="119" t="s">
        <v>603</v>
      </c>
      <c r="K53" s="119" t="s">
        <v>604</v>
      </c>
      <c r="L53" s="119" t="s">
        <v>605</v>
      </c>
      <c r="M53" s="119" t="s">
        <v>606</v>
      </c>
      <c r="N53" s="119" t="s">
        <v>607</v>
      </c>
      <c r="O53" s="119" t="s">
        <v>608</v>
      </c>
      <c r="P53" s="119" t="s">
        <v>609</v>
      </c>
      <c r="Q53" s="119" t="s">
        <v>610</v>
      </c>
      <c r="R53" s="119" t="s">
        <v>611</v>
      </c>
      <c r="S53" s="119" t="s">
        <v>612</v>
      </c>
      <c r="T53" s="119" t="s">
        <v>613</v>
      </c>
      <c r="U53" s="119" t="s">
        <v>614</v>
      </c>
      <c r="V53" s="119" t="s">
        <v>615</v>
      </c>
      <c r="W53" s="119" t="s">
        <v>616</v>
      </c>
      <c r="X53" s="119" t="s">
        <v>617</v>
      </c>
      <c r="Y53" s="119" t="s">
        <v>618</v>
      </c>
      <c r="Z53" s="119" t="s">
        <v>619</v>
      </c>
      <c r="AA53" s="119" t="s">
        <v>620</v>
      </c>
      <c r="AB53" s="119" t="s">
        <v>621</v>
      </c>
      <c r="AC53" s="119" t="s">
        <v>622</v>
      </c>
      <c r="AD53" s="119" t="s">
        <v>623</v>
      </c>
      <c r="AE53" s="119" t="s">
        <v>624</v>
      </c>
      <c r="AF53" s="119" t="s">
        <v>625</v>
      </c>
      <c r="AG53" s="119" t="s">
        <v>626</v>
      </c>
      <c r="AH53" s="119" t="s">
        <v>627</v>
      </c>
      <c r="AI53" s="119" t="s">
        <v>628</v>
      </c>
      <c r="AJ53" s="119" t="s">
        <v>629</v>
      </c>
      <c r="AK53" s="119" t="s">
        <v>630</v>
      </c>
      <c r="AL53" s="119" t="s">
        <v>631</v>
      </c>
      <c r="AM53" s="119" t="s">
        <v>632</v>
      </c>
      <c r="AN53" s="119" t="s">
        <v>633</v>
      </c>
      <c r="AO53" s="119" t="s">
        <v>634</v>
      </c>
      <c r="AP53" s="119" t="s">
        <v>635</v>
      </c>
      <c r="AQ53" s="119" t="s">
        <v>79</v>
      </c>
    </row>
    <row r="54" spans="1:43" x14ac:dyDescent="0.35">
      <c r="A54" s="119" t="s">
        <v>127</v>
      </c>
      <c r="D54" s="90">
        <v>3.4676258992805757</v>
      </c>
      <c r="E54" s="90">
        <v>3.9043535620052769</v>
      </c>
      <c r="F54" s="90">
        <v>3.3215978334461749</v>
      </c>
      <c r="G54" s="90">
        <v>4.2018853102906517</v>
      </c>
      <c r="H54" s="90">
        <v>3.9599109131403116</v>
      </c>
      <c r="I54" s="90">
        <v>3.8895104895104895</v>
      </c>
      <c r="J54" s="90">
        <v>3.6623897353648758</v>
      </c>
      <c r="K54" s="90">
        <v>3.596930533117932</v>
      </c>
      <c r="L54" s="90">
        <v>3.1711568938193344</v>
      </c>
      <c r="M54" s="90">
        <v>3.4688618468146029</v>
      </c>
      <c r="N54" s="90">
        <v>3.3002936857562406</v>
      </c>
      <c r="O54" s="90">
        <v>3.4804630969609263</v>
      </c>
      <c r="P54" s="90">
        <v>3.0796747967479674</v>
      </c>
      <c r="Q54" s="90">
        <v>3.5783521809369954</v>
      </c>
      <c r="R54" s="90">
        <v>3.4150653343581858</v>
      </c>
      <c r="S54" s="90">
        <v>3.5936037441497661</v>
      </c>
      <c r="T54" s="90">
        <v>3.3216896831844029</v>
      </c>
      <c r="U54" s="90">
        <v>3.4745351657235246</v>
      </c>
      <c r="V54" s="90">
        <v>4.2121212121212119</v>
      </c>
      <c r="W54" s="90">
        <v>4.3577235772357721</v>
      </c>
      <c r="X54" s="90">
        <v>4.3790540540540537</v>
      </c>
      <c r="Y54" s="90">
        <v>4.3700947225981057</v>
      </c>
      <c r="Z54" s="90">
        <v>4.2109533468559839</v>
      </c>
      <c r="AA54" s="90">
        <v>3.8281036834924964</v>
      </c>
      <c r="AB54" s="90">
        <v>3.8870139398385914</v>
      </c>
      <c r="AC54" s="90">
        <v>3.723644578313253</v>
      </c>
      <c r="AD54" s="90">
        <v>3.804614275414564</v>
      </c>
      <c r="AE54" s="90">
        <v>3.9063400576368874</v>
      </c>
      <c r="AF54" s="90">
        <v>4.2100334448160535</v>
      </c>
      <c r="AG54" s="90">
        <v>4.4527071102413567</v>
      </c>
      <c r="AH54" s="90">
        <v>4.0033112582781456</v>
      </c>
      <c r="AI54" s="90">
        <v>4.2981530343007917</v>
      </c>
      <c r="AJ54" s="90">
        <v>3.8430832759807294</v>
      </c>
      <c r="AK54" s="90">
        <v>3.5034106412005457</v>
      </c>
      <c r="AL54" s="90">
        <v>3.7997293640054126</v>
      </c>
      <c r="AM54" s="90">
        <v>2.9986876640419946</v>
      </c>
      <c r="AN54" s="90">
        <v>3.6768802228412256</v>
      </c>
      <c r="AO54" s="90">
        <v>4.0634602538410149</v>
      </c>
      <c r="AP54" s="90">
        <v>3.9041554959785523</v>
      </c>
      <c r="AQ54" s="90">
        <v>1562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9"/>
  <sheetViews>
    <sheetView workbookViewId="0">
      <selection activeCell="A69" sqref="A69:L69"/>
    </sheetView>
  </sheetViews>
  <sheetFormatPr defaultRowHeight="14.6" x14ac:dyDescent="0.35"/>
  <sheetData>
    <row r="1" spans="1:22" x14ac:dyDescent="0.35">
      <c r="A1" s="137" t="s">
        <v>389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 t="s">
        <v>390</v>
      </c>
      <c r="N1" s="137"/>
      <c r="O1" s="137"/>
      <c r="P1" s="137"/>
      <c r="Q1" s="137" t="s">
        <v>391</v>
      </c>
      <c r="R1" s="137"/>
      <c r="S1" s="137"/>
      <c r="T1" s="137" t="s">
        <v>392</v>
      </c>
      <c r="U1" s="137"/>
      <c r="V1" s="137"/>
    </row>
    <row r="2" spans="1:22" x14ac:dyDescent="0.35">
      <c r="A2" s="137" t="s">
        <v>393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 t="s">
        <v>394</v>
      </c>
      <c r="N2" s="137"/>
      <c r="O2" s="137"/>
      <c r="P2" s="137"/>
      <c r="Q2" s="137" t="s">
        <v>395</v>
      </c>
      <c r="R2" s="137"/>
      <c r="S2" s="137"/>
      <c r="T2" s="137" t="s">
        <v>396</v>
      </c>
      <c r="U2" s="137"/>
      <c r="V2" s="137"/>
    </row>
    <row r="3" spans="1:22" x14ac:dyDescent="0.35">
      <c r="A3" s="137" t="s">
        <v>397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 t="s">
        <v>394</v>
      </c>
      <c r="N3" s="137"/>
      <c r="O3" s="137"/>
      <c r="P3" s="137"/>
      <c r="Q3" s="137" t="s">
        <v>398</v>
      </c>
      <c r="R3" s="137"/>
      <c r="S3" s="137"/>
      <c r="T3" s="137"/>
      <c r="U3" s="137"/>
      <c r="V3" s="137"/>
    </row>
    <row r="4" spans="1:22" x14ac:dyDescent="0.35">
      <c r="A4" s="137" t="s">
        <v>399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 t="s">
        <v>400</v>
      </c>
      <c r="N4" s="137"/>
      <c r="O4" s="137"/>
      <c r="P4" s="137"/>
      <c r="Q4" s="137" t="s">
        <v>395</v>
      </c>
      <c r="R4" s="137"/>
      <c r="S4" s="137"/>
      <c r="T4" s="137"/>
      <c r="U4" s="137"/>
      <c r="V4" s="137"/>
    </row>
    <row r="5" spans="1:22" x14ac:dyDescent="0.35">
      <c r="A5" s="137" t="s">
        <v>401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 t="s">
        <v>400</v>
      </c>
      <c r="N5" s="137"/>
      <c r="O5" s="137"/>
      <c r="P5" s="137"/>
      <c r="Q5" s="137" t="s">
        <v>395</v>
      </c>
      <c r="R5" s="137"/>
      <c r="S5" s="137"/>
      <c r="T5" s="137"/>
      <c r="U5" s="137"/>
      <c r="V5" s="137"/>
    </row>
    <row r="6" spans="1:22" x14ac:dyDescent="0.35">
      <c r="A6" s="138" t="s">
        <v>402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 t="s">
        <v>403</v>
      </c>
      <c r="N6" s="139"/>
      <c r="O6" s="139"/>
      <c r="P6" s="139"/>
      <c r="Q6" s="139" t="s">
        <v>395</v>
      </c>
      <c r="R6" s="139"/>
      <c r="S6" s="139"/>
      <c r="T6" s="137"/>
      <c r="U6" s="137"/>
      <c r="V6" s="137"/>
    </row>
    <row r="7" spans="1:22" x14ac:dyDescent="0.35">
      <c r="A7" s="139" t="s">
        <v>404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x14ac:dyDescent="0.35">
      <c r="A8" s="139" t="s">
        <v>405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 x14ac:dyDescent="0.35">
      <c r="A9" s="139" t="s">
        <v>406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7"/>
      <c r="N9" s="137"/>
      <c r="O9" s="137"/>
      <c r="P9" s="137"/>
      <c r="Q9" s="137"/>
      <c r="R9" s="137"/>
      <c r="S9" s="137"/>
      <c r="T9" s="137"/>
      <c r="U9" s="137"/>
      <c r="V9" s="137"/>
    </row>
    <row r="10" spans="1:22" x14ac:dyDescent="0.35">
      <c r="A10" s="139" t="s">
        <v>407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22" x14ac:dyDescent="0.35">
      <c r="A11" s="139" t="s">
        <v>408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7"/>
      <c r="N11" s="137"/>
      <c r="O11" s="137"/>
      <c r="P11" s="137"/>
      <c r="Q11" s="137"/>
      <c r="R11" s="137"/>
      <c r="S11" s="137"/>
      <c r="T11" s="137"/>
      <c r="U11" s="137"/>
      <c r="V11" s="137"/>
    </row>
    <row r="12" spans="1:22" x14ac:dyDescent="0.35">
      <c r="A12" s="139" t="s">
        <v>409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x14ac:dyDescent="0.35">
      <c r="A13" s="140" t="s">
        <v>410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x14ac:dyDescent="0.35">
      <c r="A14" s="139" t="s">
        <v>411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x14ac:dyDescent="0.35">
      <c r="A15" s="139" t="s">
        <v>412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x14ac:dyDescent="0.35">
      <c r="A16" s="139" t="s">
        <v>413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x14ac:dyDescent="0.35">
      <c r="A17" s="139" t="s">
        <v>414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x14ac:dyDescent="0.35">
      <c r="A18" s="139" t="s">
        <v>415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x14ac:dyDescent="0.35">
      <c r="A19" s="139" t="s">
        <v>416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x14ac:dyDescent="0.35">
      <c r="A20" s="139" t="s">
        <v>417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x14ac:dyDescent="0.35">
      <c r="A21" s="139" t="s">
        <v>418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7"/>
      <c r="N21" s="137"/>
      <c r="O21" s="137"/>
      <c r="P21" s="137"/>
      <c r="Q21" s="137"/>
      <c r="R21" s="137"/>
      <c r="S21" s="137"/>
      <c r="T21" s="137"/>
      <c r="U21" s="137"/>
      <c r="V21" s="137"/>
    </row>
    <row r="22" spans="1:22" x14ac:dyDescent="0.35">
      <c r="A22" s="141" t="s">
        <v>419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 t="s">
        <v>420</v>
      </c>
      <c r="N22" s="137"/>
      <c r="O22" s="137"/>
      <c r="P22" s="137"/>
      <c r="Q22" s="137"/>
      <c r="R22" s="137"/>
      <c r="S22" s="137"/>
      <c r="T22" s="137"/>
      <c r="U22" s="137"/>
      <c r="V22" s="137"/>
    </row>
    <row r="23" spans="1:22" x14ac:dyDescent="0.35">
      <c r="A23" s="139" t="s">
        <v>421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7"/>
      <c r="N23" s="137"/>
      <c r="O23" s="137"/>
      <c r="P23" s="137"/>
      <c r="Q23" s="137"/>
      <c r="R23" s="137"/>
      <c r="S23" s="137"/>
      <c r="T23" s="137"/>
      <c r="U23" s="137"/>
      <c r="V23" s="137"/>
    </row>
    <row r="24" spans="1:22" x14ac:dyDescent="0.35">
      <c r="A24" s="139" t="s">
        <v>422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7"/>
      <c r="N24" s="137"/>
      <c r="O24" s="137"/>
      <c r="P24" s="137"/>
      <c r="Q24" s="137"/>
      <c r="R24" s="137"/>
      <c r="S24" s="137"/>
      <c r="T24" s="137"/>
      <c r="U24" s="137"/>
      <c r="V24" s="137"/>
    </row>
    <row r="25" spans="1:22" x14ac:dyDescent="0.35">
      <c r="A25" s="139" t="s">
        <v>423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7"/>
      <c r="N25" s="137"/>
      <c r="O25" s="137"/>
      <c r="P25" s="137"/>
      <c r="Q25" s="137"/>
      <c r="R25" s="137"/>
      <c r="S25" s="137"/>
      <c r="T25" s="137"/>
      <c r="U25" s="137"/>
      <c r="V25" s="137"/>
    </row>
    <row r="26" spans="1:22" x14ac:dyDescent="0.35">
      <c r="A26" s="139" t="s">
        <v>424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7"/>
      <c r="N26" s="137"/>
      <c r="O26" s="137"/>
      <c r="P26" s="137"/>
      <c r="Q26" s="137"/>
      <c r="R26" s="137"/>
      <c r="S26" s="137"/>
      <c r="T26" s="137"/>
      <c r="U26" s="137"/>
      <c r="V26" s="137"/>
    </row>
    <row r="27" spans="1:22" x14ac:dyDescent="0.35">
      <c r="A27" s="139" t="s">
        <v>425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7"/>
      <c r="N27" s="137"/>
      <c r="O27" s="137"/>
      <c r="P27" s="137"/>
      <c r="Q27" s="137"/>
      <c r="R27" s="137"/>
      <c r="S27" s="137"/>
      <c r="T27" s="137"/>
      <c r="U27" s="137"/>
      <c r="V27" s="137"/>
    </row>
    <row r="28" spans="1:22" x14ac:dyDescent="0.35">
      <c r="A28" s="139" t="s">
        <v>426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7"/>
      <c r="N28" s="137"/>
      <c r="O28" s="137"/>
      <c r="P28" s="137"/>
      <c r="Q28" s="137"/>
      <c r="R28" s="137"/>
      <c r="S28" s="137"/>
      <c r="T28" s="137"/>
      <c r="U28" s="137"/>
      <c r="V28" s="137"/>
    </row>
    <row r="29" spans="1:22" x14ac:dyDescent="0.35">
      <c r="A29" s="139" t="s">
        <v>427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7"/>
      <c r="N29" s="137"/>
      <c r="O29" s="137"/>
      <c r="P29" s="137"/>
      <c r="Q29" s="137"/>
      <c r="R29" s="137"/>
      <c r="S29" s="137"/>
      <c r="T29" s="137"/>
      <c r="U29" s="137"/>
      <c r="V29" s="137"/>
    </row>
    <row r="30" spans="1:22" x14ac:dyDescent="0.35">
      <c r="A30" s="139" t="s">
        <v>428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7"/>
      <c r="N30" s="137"/>
      <c r="O30" s="137"/>
      <c r="P30" s="137"/>
      <c r="Q30" s="137"/>
      <c r="R30" s="137"/>
      <c r="S30" s="137"/>
      <c r="T30" s="137"/>
      <c r="U30" s="137"/>
      <c r="V30" s="137"/>
    </row>
    <row r="31" spans="1:22" x14ac:dyDescent="0.35">
      <c r="A31" s="139" t="s">
        <v>429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7"/>
      <c r="N31" s="137"/>
      <c r="O31" s="137"/>
      <c r="P31" s="137"/>
      <c r="Q31" s="137"/>
      <c r="R31" s="137"/>
      <c r="S31" s="137"/>
      <c r="T31" s="137"/>
      <c r="U31" s="137"/>
      <c r="V31" s="137"/>
    </row>
    <row r="32" spans="1:22" x14ac:dyDescent="0.35">
      <c r="A32" s="139" t="s">
        <v>430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7"/>
      <c r="N32" s="137"/>
      <c r="O32" s="137"/>
      <c r="P32" s="137"/>
      <c r="Q32" s="137"/>
      <c r="R32" s="137"/>
      <c r="S32" s="137"/>
      <c r="T32" s="137"/>
      <c r="U32" s="137"/>
      <c r="V32" s="137"/>
    </row>
    <row r="33" spans="1:22" x14ac:dyDescent="0.35">
      <c r="A33" s="139" t="s">
        <v>431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7"/>
      <c r="N33" s="137"/>
      <c r="O33" s="137"/>
      <c r="P33" s="137"/>
      <c r="Q33" s="137"/>
      <c r="R33" s="137"/>
      <c r="S33" s="137"/>
      <c r="T33" s="137"/>
      <c r="U33" s="137"/>
      <c r="V33" s="137"/>
    </row>
    <row r="34" spans="1:22" x14ac:dyDescent="0.35">
      <c r="A34" s="139" t="s">
        <v>432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7"/>
      <c r="N34" s="137"/>
      <c r="O34" s="137"/>
      <c r="P34" s="137"/>
      <c r="Q34" s="137"/>
      <c r="R34" s="137"/>
      <c r="S34" s="137"/>
      <c r="T34" s="137"/>
      <c r="U34" s="137"/>
      <c r="V34" s="137"/>
    </row>
    <row r="35" spans="1:22" x14ac:dyDescent="0.35">
      <c r="A35" s="139" t="s">
        <v>433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7"/>
      <c r="N35" s="137"/>
      <c r="O35" s="137"/>
      <c r="P35" s="137"/>
      <c r="Q35" s="137"/>
      <c r="R35" s="137"/>
      <c r="S35" s="137"/>
      <c r="T35" s="137"/>
      <c r="U35" s="137"/>
      <c r="V35" s="137"/>
    </row>
    <row r="36" spans="1:22" x14ac:dyDescent="0.35">
      <c r="A36" s="139" t="s">
        <v>434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7" t="s">
        <v>420</v>
      </c>
      <c r="N36" s="137"/>
      <c r="O36" s="137"/>
      <c r="P36" s="137"/>
      <c r="Q36" s="137"/>
      <c r="R36" s="137"/>
      <c r="S36" s="137"/>
      <c r="T36" s="137"/>
      <c r="U36" s="137"/>
      <c r="V36" s="137"/>
    </row>
    <row r="37" spans="1:22" x14ac:dyDescent="0.35">
      <c r="A37" s="140" t="s">
        <v>435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37"/>
      <c r="N37" s="137"/>
      <c r="O37" s="137"/>
      <c r="P37" s="137"/>
      <c r="Q37" s="137"/>
      <c r="R37" s="137"/>
      <c r="S37" s="137"/>
      <c r="T37" s="137"/>
      <c r="U37" s="137"/>
      <c r="V37" s="137"/>
    </row>
    <row r="38" spans="1:22" x14ac:dyDescent="0.35">
      <c r="A38" s="139" t="s">
        <v>436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7"/>
      <c r="N38" s="137"/>
      <c r="O38" s="137"/>
      <c r="P38" s="137"/>
      <c r="Q38" s="137"/>
      <c r="R38" s="137"/>
      <c r="S38" s="137"/>
      <c r="T38" s="137"/>
      <c r="U38" s="137"/>
      <c r="V38" s="137"/>
    </row>
    <row r="39" spans="1:22" x14ac:dyDescent="0.35">
      <c r="A39" s="139" t="s">
        <v>437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7"/>
      <c r="N39" s="137"/>
      <c r="O39" s="137"/>
      <c r="P39" s="137"/>
      <c r="Q39" s="142"/>
      <c r="R39" s="142"/>
      <c r="S39" s="142"/>
    </row>
    <row r="40" spans="1:22" x14ac:dyDescent="0.35">
      <c r="A40" s="139" t="s">
        <v>438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7"/>
      <c r="N40" s="137"/>
      <c r="O40" s="137"/>
      <c r="P40" s="137"/>
      <c r="Q40" s="142"/>
      <c r="R40" s="142"/>
      <c r="S40" s="142"/>
    </row>
    <row r="41" spans="1:22" x14ac:dyDescent="0.35">
      <c r="A41" s="139" t="s">
        <v>439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7"/>
      <c r="N41" s="137"/>
      <c r="O41" s="137"/>
      <c r="P41" s="137"/>
      <c r="Q41" s="142"/>
      <c r="R41" s="142"/>
      <c r="S41" s="142"/>
    </row>
    <row r="42" spans="1:22" x14ac:dyDescent="0.35">
      <c r="A42" s="138" t="s">
        <v>440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7" t="s">
        <v>441</v>
      </c>
      <c r="N42" s="137"/>
      <c r="O42" s="137"/>
      <c r="P42" s="137"/>
      <c r="Q42" s="142"/>
      <c r="R42" s="142"/>
      <c r="S42" s="142"/>
    </row>
    <row r="43" spans="1:22" x14ac:dyDescent="0.35">
      <c r="A43" s="139" t="s">
        <v>442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7"/>
      <c r="N43" s="137"/>
      <c r="O43" s="137"/>
      <c r="P43" s="137"/>
      <c r="Q43" s="142"/>
      <c r="R43" s="142"/>
      <c r="S43" s="142"/>
    </row>
    <row r="44" spans="1:22" x14ac:dyDescent="0.35">
      <c r="A44" s="139" t="s">
        <v>443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7"/>
      <c r="N44" s="137"/>
      <c r="O44" s="137"/>
      <c r="P44" s="137"/>
      <c r="Q44" s="142"/>
      <c r="R44" s="142"/>
      <c r="S44" s="142"/>
    </row>
    <row r="45" spans="1:22" x14ac:dyDescent="0.35">
      <c r="A45" s="139" t="s">
        <v>444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7"/>
      <c r="N45" s="137"/>
      <c r="O45" s="137"/>
      <c r="P45" s="137"/>
      <c r="Q45" s="142"/>
      <c r="R45" s="142"/>
      <c r="S45" s="142"/>
    </row>
    <row r="46" spans="1:22" x14ac:dyDescent="0.35">
      <c r="A46" s="139" t="s">
        <v>445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7"/>
      <c r="N46" s="137"/>
      <c r="O46" s="137"/>
      <c r="P46" s="137"/>
      <c r="Q46" s="142"/>
      <c r="R46" s="142"/>
      <c r="S46" s="142"/>
    </row>
    <row r="47" spans="1:22" x14ac:dyDescent="0.35">
      <c r="A47" s="139" t="s">
        <v>446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7"/>
      <c r="N47" s="137"/>
      <c r="O47" s="137"/>
      <c r="P47" s="137"/>
      <c r="Q47" s="142"/>
      <c r="R47" s="142"/>
      <c r="S47" s="142"/>
    </row>
    <row r="48" spans="1:22" x14ac:dyDescent="0.35">
      <c r="A48" s="139" t="s">
        <v>447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7"/>
      <c r="N48" s="137"/>
      <c r="O48" s="137"/>
      <c r="P48" s="137"/>
      <c r="Q48" s="142"/>
      <c r="R48" s="142"/>
      <c r="S48" s="142"/>
    </row>
    <row r="49" spans="1:19" x14ac:dyDescent="0.35">
      <c r="A49" s="139" t="s">
        <v>448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7"/>
      <c r="N49" s="137"/>
      <c r="O49" s="137"/>
      <c r="P49" s="137"/>
      <c r="Q49" s="142"/>
      <c r="R49" s="142"/>
      <c r="S49" s="142"/>
    </row>
    <row r="50" spans="1:19" x14ac:dyDescent="0.35">
      <c r="A50" s="139" t="s">
        <v>449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7"/>
      <c r="N50" s="137"/>
      <c r="O50" s="137"/>
      <c r="P50" s="137"/>
      <c r="Q50" s="142"/>
      <c r="R50" s="142"/>
      <c r="S50" s="142"/>
    </row>
    <row r="51" spans="1:19" x14ac:dyDescent="0.35">
      <c r="A51" s="139" t="s">
        <v>450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7"/>
      <c r="N51" s="137"/>
      <c r="O51" s="137"/>
      <c r="P51" s="137"/>
      <c r="Q51" s="142"/>
      <c r="R51" s="142"/>
      <c r="S51" s="142"/>
    </row>
    <row r="52" spans="1:19" x14ac:dyDescent="0.35">
      <c r="A52" s="139" t="s">
        <v>451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7"/>
      <c r="N52" s="137"/>
      <c r="O52" s="137"/>
      <c r="P52" s="137"/>
      <c r="Q52" s="142"/>
      <c r="R52" s="142"/>
      <c r="S52" s="142"/>
    </row>
    <row r="53" spans="1:19" x14ac:dyDescent="0.35">
      <c r="A53" s="139" t="s">
        <v>452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7"/>
      <c r="N53" s="137"/>
      <c r="O53" s="137"/>
      <c r="P53" s="137"/>
      <c r="Q53" s="142"/>
      <c r="R53" s="142"/>
      <c r="S53" s="142"/>
    </row>
    <row r="54" spans="1:19" x14ac:dyDescent="0.35">
      <c r="A54" s="138" t="s">
        <v>453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7" t="s">
        <v>394</v>
      </c>
      <c r="N54" s="137"/>
      <c r="O54" s="137"/>
      <c r="P54" s="137"/>
      <c r="Q54" s="142"/>
      <c r="R54" s="142"/>
      <c r="S54" s="142"/>
    </row>
    <row r="55" spans="1:19" x14ac:dyDescent="0.35">
      <c r="A55" s="138" t="s">
        <v>454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7" t="s">
        <v>394</v>
      </c>
      <c r="N55" s="137"/>
      <c r="O55" s="137"/>
      <c r="P55" s="137"/>
      <c r="Q55" s="142"/>
      <c r="R55" s="142"/>
      <c r="S55" s="142"/>
    </row>
    <row r="56" spans="1:19" x14ac:dyDescent="0.35">
      <c r="A56" s="140" t="s">
        <v>455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37"/>
      <c r="N56" s="137"/>
      <c r="O56" s="137"/>
      <c r="P56" s="137"/>
      <c r="Q56" s="142"/>
      <c r="R56" s="142"/>
      <c r="S56" s="142"/>
    </row>
    <row r="57" spans="1:19" x14ac:dyDescent="0.35">
      <c r="A57" s="139" t="s">
        <v>456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7"/>
      <c r="N57" s="137"/>
      <c r="O57" s="137"/>
      <c r="P57" s="137"/>
      <c r="Q57" s="142"/>
      <c r="R57" s="142"/>
      <c r="S57" s="142"/>
    </row>
    <row r="58" spans="1:19" x14ac:dyDescent="0.35">
      <c r="A58" s="139" t="s">
        <v>457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7"/>
      <c r="N58" s="137"/>
      <c r="O58" s="137"/>
      <c r="P58" s="137"/>
      <c r="Q58" s="142"/>
      <c r="R58" s="142"/>
      <c r="S58" s="142"/>
    </row>
    <row r="59" spans="1:19" x14ac:dyDescent="0.35">
      <c r="A59" s="139" t="s">
        <v>458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7"/>
      <c r="N59" s="137"/>
      <c r="O59" s="137"/>
      <c r="P59" s="137"/>
      <c r="Q59" s="142"/>
      <c r="R59" s="142"/>
      <c r="S59" s="142"/>
    </row>
    <row r="60" spans="1:19" x14ac:dyDescent="0.35">
      <c r="A60" s="139" t="s">
        <v>459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7"/>
      <c r="N60" s="137"/>
      <c r="O60" s="137"/>
      <c r="P60" s="137"/>
      <c r="Q60" s="142"/>
      <c r="R60" s="142"/>
      <c r="S60" s="142"/>
    </row>
    <row r="61" spans="1:19" x14ac:dyDescent="0.35">
      <c r="A61" s="139" t="s">
        <v>460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7"/>
      <c r="N61" s="137"/>
      <c r="O61" s="137"/>
      <c r="P61" s="137"/>
      <c r="Q61" s="142"/>
      <c r="R61" s="142"/>
      <c r="S61" s="142"/>
    </row>
    <row r="62" spans="1:19" x14ac:dyDescent="0.35">
      <c r="A62" s="139" t="s">
        <v>461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7"/>
      <c r="N62" s="137"/>
      <c r="O62" s="137"/>
      <c r="P62" s="137"/>
      <c r="Q62" s="142"/>
      <c r="R62" s="142"/>
      <c r="S62" s="142"/>
    </row>
    <row r="63" spans="1:19" x14ac:dyDescent="0.35">
      <c r="A63" s="139" t="s">
        <v>462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7"/>
      <c r="N63" s="137"/>
      <c r="O63" s="137"/>
      <c r="P63" s="137"/>
      <c r="Q63" s="142"/>
      <c r="R63" s="142"/>
      <c r="S63" s="142"/>
    </row>
    <row r="64" spans="1:19" x14ac:dyDescent="0.35">
      <c r="A64" s="139" t="s">
        <v>463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7"/>
      <c r="N64" s="137"/>
      <c r="O64" s="137"/>
      <c r="P64" s="137"/>
      <c r="Q64" s="142"/>
      <c r="R64" s="142"/>
      <c r="S64" s="142"/>
    </row>
    <row r="65" spans="1:19" x14ac:dyDescent="0.35">
      <c r="A65" s="139" t="s">
        <v>464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7"/>
      <c r="N65" s="137"/>
      <c r="O65" s="137"/>
      <c r="P65" s="137"/>
      <c r="Q65" s="142"/>
      <c r="R65" s="142"/>
      <c r="S65" s="142"/>
    </row>
    <row r="66" spans="1:19" x14ac:dyDescent="0.35">
      <c r="A66" s="138" t="s">
        <v>465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7" t="s">
        <v>466</v>
      </c>
      <c r="N66" s="137"/>
      <c r="O66" s="137"/>
      <c r="P66" s="137"/>
      <c r="Q66" s="142"/>
      <c r="R66" s="142"/>
      <c r="S66" s="142"/>
    </row>
    <row r="67" spans="1:19" x14ac:dyDescent="0.35">
      <c r="A67" s="139" t="s">
        <v>467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7"/>
      <c r="N67" s="137"/>
      <c r="O67" s="137"/>
      <c r="P67" s="137"/>
      <c r="Q67" s="142"/>
      <c r="R67" s="142"/>
      <c r="S67" s="142"/>
    </row>
    <row r="68" spans="1:19" x14ac:dyDescent="0.35">
      <c r="A68" s="139" t="s">
        <v>468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7"/>
      <c r="N68" s="137"/>
      <c r="O68" s="137"/>
      <c r="P68" s="137"/>
      <c r="Q68" s="142"/>
      <c r="R68" s="142"/>
      <c r="S68" s="142"/>
    </row>
    <row r="69" spans="1:19" x14ac:dyDescent="0.35">
      <c r="A69" s="139" t="s">
        <v>469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7"/>
      <c r="N69" s="137"/>
      <c r="O69" s="137"/>
      <c r="P69" s="137"/>
      <c r="Q69" s="142"/>
      <c r="R69" s="142"/>
      <c r="S69" s="142"/>
    </row>
    <row r="70" spans="1:19" x14ac:dyDescent="0.35">
      <c r="A70" s="139" t="s">
        <v>470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7"/>
      <c r="N70" s="137"/>
      <c r="O70" s="137"/>
      <c r="P70" s="137"/>
      <c r="Q70" s="142"/>
      <c r="R70" s="142"/>
      <c r="S70" s="142"/>
    </row>
    <row r="71" spans="1:19" x14ac:dyDescent="0.35">
      <c r="A71" s="139" t="s">
        <v>471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7"/>
      <c r="N71" s="137"/>
      <c r="O71" s="137"/>
      <c r="P71" s="137"/>
      <c r="Q71" s="142"/>
      <c r="R71" s="142"/>
      <c r="S71" s="142"/>
    </row>
    <row r="72" spans="1:19" x14ac:dyDescent="0.35">
      <c r="A72" s="139" t="s">
        <v>472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7"/>
      <c r="N72" s="137"/>
      <c r="O72" s="137"/>
      <c r="P72" s="137"/>
      <c r="Q72" s="142"/>
      <c r="R72" s="142"/>
      <c r="S72" s="142"/>
    </row>
    <row r="73" spans="1:19" x14ac:dyDescent="0.35">
      <c r="A73" s="139" t="s">
        <v>473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7"/>
      <c r="N73" s="137"/>
      <c r="O73" s="137"/>
      <c r="P73" s="137"/>
      <c r="Q73" s="142"/>
      <c r="R73" s="142"/>
      <c r="S73" s="142"/>
    </row>
    <row r="74" spans="1:19" x14ac:dyDescent="0.35">
      <c r="A74" s="139" t="s">
        <v>474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7"/>
      <c r="N74" s="137"/>
      <c r="O74" s="137"/>
      <c r="P74" s="137"/>
      <c r="Q74" s="142"/>
      <c r="R74" s="142"/>
      <c r="S74" s="142"/>
    </row>
    <row r="75" spans="1:19" x14ac:dyDescent="0.35">
      <c r="A75" s="139" t="s">
        <v>475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7"/>
      <c r="N75" s="137"/>
      <c r="O75" s="137"/>
      <c r="P75" s="137"/>
      <c r="Q75" s="142"/>
      <c r="R75" s="142"/>
      <c r="S75" s="142"/>
    </row>
    <row r="76" spans="1:19" x14ac:dyDescent="0.35">
      <c r="A76" s="139" t="s">
        <v>476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7"/>
      <c r="N76" s="137"/>
      <c r="O76" s="137"/>
      <c r="P76" s="137"/>
      <c r="Q76" s="142"/>
      <c r="R76" s="142"/>
      <c r="S76" s="142"/>
    </row>
    <row r="77" spans="1:19" x14ac:dyDescent="0.35">
      <c r="A77" s="139" t="s">
        <v>477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7"/>
      <c r="N77" s="137"/>
      <c r="O77" s="137"/>
      <c r="P77" s="137"/>
      <c r="Q77" s="142"/>
      <c r="R77" s="142"/>
      <c r="S77" s="142"/>
    </row>
    <row r="78" spans="1:19" x14ac:dyDescent="0.35">
      <c r="A78" s="139" t="s">
        <v>478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7"/>
      <c r="N78" s="137"/>
      <c r="O78" s="137"/>
      <c r="P78" s="137"/>
      <c r="Q78" s="142"/>
      <c r="R78" s="142"/>
      <c r="S78" s="142"/>
    </row>
    <row r="79" spans="1:19" x14ac:dyDescent="0.35">
      <c r="A79" s="139" t="s">
        <v>479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7"/>
      <c r="N79" s="137"/>
      <c r="O79" s="137"/>
      <c r="P79" s="137"/>
      <c r="Q79" s="142"/>
      <c r="R79" s="142"/>
      <c r="S79" s="142"/>
    </row>
    <row r="80" spans="1:19" x14ac:dyDescent="0.35">
      <c r="A80" s="139" t="s">
        <v>480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7"/>
      <c r="N80" s="137"/>
      <c r="O80" s="137"/>
      <c r="P80" s="137"/>
      <c r="Q80" s="142"/>
      <c r="R80" s="142"/>
      <c r="S80" s="142"/>
    </row>
    <row r="81" spans="1:19" x14ac:dyDescent="0.35">
      <c r="A81" s="139" t="s">
        <v>481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7"/>
      <c r="N81" s="137"/>
      <c r="O81" s="137"/>
      <c r="P81" s="137"/>
      <c r="Q81" s="142"/>
      <c r="R81" s="142"/>
      <c r="S81" s="142"/>
    </row>
    <row r="82" spans="1:19" x14ac:dyDescent="0.35">
      <c r="A82" s="139" t="s">
        <v>482</v>
      </c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7"/>
      <c r="N82" s="137"/>
      <c r="O82" s="137"/>
      <c r="P82" s="137"/>
      <c r="Q82" s="142"/>
      <c r="R82" s="142"/>
      <c r="S82" s="142"/>
    </row>
    <row r="83" spans="1:19" x14ac:dyDescent="0.35">
      <c r="A83" s="139" t="s">
        <v>483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7"/>
      <c r="N83" s="137"/>
      <c r="O83" s="137"/>
      <c r="P83" s="137"/>
      <c r="Q83" s="142"/>
      <c r="R83" s="142"/>
      <c r="S83" s="142"/>
    </row>
    <row r="84" spans="1:19" x14ac:dyDescent="0.35">
      <c r="A84" s="138" t="s">
        <v>484</v>
      </c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7" t="s">
        <v>485</v>
      </c>
      <c r="N84" s="137"/>
      <c r="O84" s="137"/>
      <c r="P84" s="137"/>
      <c r="Q84" s="142"/>
      <c r="R84" s="142"/>
      <c r="S84" s="142"/>
    </row>
    <row r="85" spans="1:19" x14ac:dyDescent="0.35">
      <c r="A85" s="139" t="s">
        <v>486</v>
      </c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7"/>
      <c r="N85" s="137"/>
      <c r="O85" s="137"/>
      <c r="P85" s="137"/>
      <c r="Q85" s="142"/>
      <c r="R85" s="142"/>
      <c r="S85" s="142"/>
    </row>
    <row r="86" spans="1:19" x14ac:dyDescent="0.35">
      <c r="A86" s="139" t="s">
        <v>487</v>
      </c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7"/>
      <c r="N86" s="137"/>
      <c r="O86" s="137"/>
      <c r="P86" s="137"/>
      <c r="Q86" s="142"/>
      <c r="R86" s="142"/>
      <c r="S86" s="142"/>
    </row>
    <row r="87" spans="1:19" x14ac:dyDescent="0.35">
      <c r="A87" s="139" t="s">
        <v>488</v>
      </c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7"/>
      <c r="N87" s="137"/>
      <c r="O87" s="137"/>
      <c r="P87" s="137"/>
      <c r="Q87" s="142"/>
      <c r="R87" s="142"/>
      <c r="S87" s="142"/>
    </row>
    <row r="88" spans="1:19" x14ac:dyDescent="0.35">
      <c r="A88" s="139" t="s">
        <v>489</v>
      </c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7"/>
      <c r="N88" s="137"/>
      <c r="O88" s="137"/>
      <c r="P88" s="137"/>
      <c r="Q88" s="142"/>
      <c r="R88" s="142"/>
      <c r="S88" s="142"/>
    </row>
    <row r="89" spans="1:19" x14ac:dyDescent="0.35">
      <c r="A89" s="139" t="s">
        <v>490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7"/>
      <c r="N89" s="137"/>
      <c r="O89" s="137"/>
      <c r="P89" s="137"/>
      <c r="Q89" s="142"/>
      <c r="R89" s="142"/>
      <c r="S89" s="142"/>
    </row>
    <row r="90" spans="1:19" x14ac:dyDescent="0.35">
      <c r="A90" s="139" t="s">
        <v>491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7"/>
      <c r="N90" s="137"/>
      <c r="O90" s="137"/>
      <c r="P90" s="137"/>
      <c r="Q90" s="142"/>
      <c r="R90" s="142"/>
      <c r="S90" s="142"/>
    </row>
    <row r="91" spans="1:19" x14ac:dyDescent="0.35">
      <c r="A91" s="139" t="s">
        <v>492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7"/>
      <c r="N91" s="137"/>
      <c r="O91" s="137"/>
      <c r="P91" s="137"/>
      <c r="Q91" s="142"/>
      <c r="R91" s="142"/>
      <c r="S91" s="142"/>
    </row>
    <row r="92" spans="1:19" x14ac:dyDescent="0.35">
      <c r="A92" s="139" t="s">
        <v>493</v>
      </c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7"/>
      <c r="N92" s="137"/>
      <c r="O92" s="137"/>
      <c r="P92" s="137"/>
      <c r="Q92" s="142"/>
      <c r="R92" s="142"/>
      <c r="S92" s="142"/>
    </row>
    <row r="93" spans="1:19" x14ac:dyDescent="0.35">
      <c r="A93" s="139" t="s">
        <v>494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7"/>
      <c r="N93" s="137"/>
      <c r="O93" s="137"/>
      <c r="P93" s="137"/>
      <c r="Q93" s="142"/>
      <c r="R93" s="142"/>
      <c r="S93" s="142"/>
    </row>
    <row r="94" spans="1:19" x14ac:dyDescent="0.35">
      <c r="A94" s="139" t="s">
        <v>495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7"/>
      <c r="N94" s="137"/>
      <c r="O94" s="137"/>
      <c r="P94" s="137"/>
      <c r="Q94" s="142"/>
      <c r="R94" s="142"/>
      <c r="S94" s="142"/>
    </row>
    <row r="95" spans="1:19" x14ac:dyDescent="0.35">
      <c r="A95" s="138" t="s">
        <v>496</v>
      </c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7" t="s">
        <v>497</v>
      </c>
      <c r="N95" s="137"/>
      <c r="O95" s="137"/>
      <c r="P95" s="137"/>
      <c r="Q95" s="142"/>
      <c r="R95" s="142"/>
      <c r="S95" s="142"/>
    </row>
    <row r="96" spans="1:19" x14ac:dyDescent="0.35">
      <c r="A96" s="139" t="s">
        <v>498</v>
      </c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7"/>
      <c r="N96" s="137"/>
      <c r="O96" s="137"/>
      <c r="P96" s="137"/>
      <c r="Q96" s="142"/>
      <c r="R96" s="142"/>
      <c r="S96" s="142"/>
    </row>
    <row r="97" spans="1:19" x14ac:dyDescent="0.35">
      <c r="A97" s="139" t="s">
        <v>499</v>
      </c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7"/>
      <c r="N97" s="137"/>
      <c r="O97" s="137"/>
      <c r="P97" s="137"/>
      <c r="Q97" s="142"/>
      <c r="R97" s="142"/>
      <c r="S97" s="142"/>
    </row>
    <row r="98" spans="1:19" x14ac:dyDescent="0.35">
      <c r="A98" s="139" t="s">
        <v>500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7"/>
      <c r="N98" s="137"/>
      <c r="O98" s="137"/>
      <c r="P98" s="137"/>
      <c r="Q98" s="142"/>
      <c r="R98" s="142"/>
      <c r="S98" s="142"/>
    </row>
    <row r="99" spans="1:19" x14ac:dyDescent="0.35">
      <c r="A99" s="139" t="s">
        <v>501</v>
      </c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7"/>
      <c r="N99" s="137"/>
      <c r="O99" s="137"/>
      <c r="P99" s="137"/>
      <c r="Q99" s="142"/>
      <c r="R99" s="142"/>
      <c r="S99" s="142"/>
    </row>
    <row r="100" spans="1:19" x14ac:dyDescent="0.35">
      <c r="A100" s="139" t="s">
        <v>502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7"/>
      <c r="N100" s="137"/>
      <c r="O100" s="137"/>
      <c r="P100" s="137"/>
    </row>
    <row r="101" spans="1:19" x14ac:dyDescent="0.35">
      <c r="A101" s="139" t="s">
        <v>503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7"/>
      <c r="N101" s="137"/>
      <c r="O101" s="137"/>
      <c r="P101" s="137"/>
    </row>
    <row r="102" spans="1:19" x14ac:dyDescent="0.35">
      <c r="A102" s="139" t="s">
        <v>504</v>
      </c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7"/>
      <c r="N102" s="137"/>
      <c r="O102" s="137"/>
      <c r="P102" s="137"/>
    </row>
    <row r="103" spans="1:19" x14ac:dyDescent="0.35">
      <c r="A103" s="139" t="s">
        <v>505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7"/>
      <c r="N103" s="137"/>
      <c r="O103" s="137"/>
      <c r="P103" s="137"/>
    </row>
    <row r="104" spans="1:19" x14ac:dyDescent="0.35">
      <c r="A104" s="140" t="s">
        <v>506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37"/>
      <c r="N104" s="137"/>
      <c r="O104" s="137"/>
      <c r="P104" s="137"/>
    </row>
    <row r="105" spans="1:19" x14ac:dyDescent="0.35">
      <c r="A105" s="139" t="s">
        <v>507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7"/>
      <c r="N105" s="137"/>
      <c r="O105" s="137"/>
      <c r="P105" s="137"/>
    </row>
    <row r="106" spans="1:19" x14ac:dyDescent="0.35">
      <c r="A106" s="139" t="s">
        <v>508</v>
      </c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7"/>
      <c r="N106" s="137"/>
      <c r="O106" s="137"/>
      <c r="P106" s="137"/>
    </row>
    <row r="107" spans="1:19" x14ac:dyDescent="0.35">
      <c r="A107" s="139" t="s">
        <v>509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7"/>
      <c r="N107" s="137"/>
      <c r="O107" s="137"/>
      <c r="P107" s="137"/>
    </row>
    <row r="108" spans="1:19" x14ac:dyDescent="0.35">
      <c r="A108" s="139" t="s">
        <v>510</v>
      </c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7"/>
      <c r="N108" s="137"/>
      <c r="O108" s="137"/>
      <c r="P108" s="137"/>
    </row>
    <row r="109" spans="1:19" x14ac:dyDescent="0.35">
      <c r="A109" s="139" t="s">
        <v>511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7"/>
      <c r="N109" s="137"/>
      <c r="O109" s="137"/>
      <c r="P109" s="137"/>
    </row>
    <row r="110" spans="1:19" x14ac:dyDescent="0.35">
      <c r="A110" s="139" t="s">
        <v>512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7"/>
      <c r="N110" s="137"/>
      <c r="O110" s="137"/>
      <c r="P110" s="137"/>
    </row>
    <row r="111" spans="1:19" x14ac:dyDescent="0.35">
      <c r="A111" s="139" t="s">
        <v>513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7"/>
      <c r="N111" s="137"/>
      <c r="O111" s="137"/>
      <c r="P111" s="137"/>
    </row>
    <row r="112" spans="1:19" x14ac:dyDescent="0.35">
      <c r="A112" s="139" t="s">
        <v>514</v>
      </c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7"/>
      <c r="N112" s="137"/>
      <c r="O112" s="137"/>
      <c r="P112" s="137"/>
    </row>
    <row r="113" spans="1:16" x14ac:dyDescent="0.35">
      <c r="A113" s="138" t="s">
        <v>515</v>
      </c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7" t="s">
        <v>497</v>
      </c>
      <c r="N113" s="137"/>
      <c r="O113" s="137"/>
      <c r="P113" s="137"/>
    </row>
    <row r="114" spans="1:16" x14ac:dyDescent="0.35">
      <c r="A114" s="139" t="s">
        <v>516</v>
      </c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7"/>
      <c r="N114" s="137"/>
      <c r="O114" s="137"/>
      <c r="P114" s="137"/>
    </row>
    <row r="115" spans="1:16" x14ac:dyDescent="0.35">
      <c r="A115" s="139" t="s">
        <v>517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7"/>
      <c r="N115" s="137"/>
      <c r="O115" s="137"/>
      <c r="P115" s="137"/>
    </row>
    <row r="116" spans="1:16" x14ac:dyDescent="0.35">
      <c r="A116" s="139" t="s">
        <v>518</v>
      </c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7"/>
      <c r="N116" s="137"/>
      <c r="O116" s="137"/>
      <c r="P116" s="137"/>
    </row>
    <row r="117" spans="1:16" x14ac:dyDescent="0.35">
      <c r="A117" s="139" t="s">
        <v>519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7"/>
      <c r="N117" s="137"/>
      <c r="O117" s="137"/>
      <c r="P117" s="137"/>
    </row>
    <row r="118" spans="1:16" x14ac:dyDescent="0.35">
      <c r="A118" s="139" t="s">
        <v>520</v>
      </c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7"/>
      <c r="N118" s="137"/>
      <c r="O118" s="137"/>
      <c r="P118" s="137"/>
    </row>
    <row r="119" spans="1:16" x14ac:dyDescent="0.35">
      <c r="A119" s="139" t="s">
        <v>521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7"/>
      <c r="N119" s="137"/>
      <c r="O119" s="137"/>
      <c r="P119" s="137"/>
    </row>
    <row r="120" spans="1:16" x14ac:dyDescent="0.35">
      <c r="A120" s="139" t="s">
        <v>522</v>
      </c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7"/>
      <c r="N120" s="137"/>
      <c r="O120" s="137"/>
      <c r="P120" s="137"/>
    </row>
    <row r="121" spans="1:16" x14ac:dyDescent="0.35">
      <c r="A121" s="139" t="s">
        <v>523</v>
      </c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7"/>
      <c r="N121" s="137"/>
      <c r="O121" s="137"/>
      <c r="P121" s="137"/>
    </row>
    <row r="122" spans="1:16" x14ac:dyDescent="0.35">
      <c r="A122" s="139" t="s">
        <v>524</v>
      </c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7"/>
      <c r="N122" s="137"/>
      <c r="O122" s="137"/>
      <c r="P122" s="137"/>
    </row>
    <row r="123" spans="1:16" x14ac:dyDescent="0.35">
      <c r="A123" s="139" t="s">
        <v>525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7"/>
      <c r="N123" s="137"/>
      <c r="O123" s="137"/>
      <c r="P123" s="137"/>
    </row>
    <row r="124" spans="1:16" x14ac:dyDescent="0.35">
      <c r="A124" s="139" t="s">
        <v>526</v>
      </c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7"/>
      <c r="N124" s="137"/>
      <c r="O124" s="137"/>
      <c r="P124" s="137"/>
    </row>
    <row r="125" spans="1:16" x14ac:dyDescent="0.35">
      <c r="A125" s="139" t="s">
        <v>527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7"/>
      <c r="N125" s="137"/>
      <c r="O125" s="137"/>
      <c r="P125" s="137"/>
    </row>
    <row r="126" spans="1:16" x14ac:dyDescent="0.35">
      <c r="A126" s="139" t="s">
        <v>528</v>
      </c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7"/>
      <c r="N126" s="137"/>
      <c r="O126" s="137"/>
      <c r="P126" s="137"/>
    </row>
    <row r="127" spans="1:16" x14ac:dyDescent="0.35">
      <c r="A127" s="139" t="s">
        <v>529</v>
      </c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7"/>
      <c r="N127" s="137"/>
      <c r="O127" s="137"/>
      <c r="P127" s="137"/>
    </row>
    <row r="128" spans="1:16" x14ac:dyDescent="0.35">
      <c r="A128" s="139" t="s">
        <v>530</v>
      </c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7"/>
      <c r="N128" s="137"/>
      <c r="O128" s="137"/>
      <c r="P128" s="137"/>
    </row>
    <row r="129" spans="1:16" x14ac:dyDescent="0.35">
      <c r="A129" s="141" t="s">
        <v>531</v>
      </c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 t="s">
        <v>532</v>
      </c>
      <c r="N129" s="137"/>
      <c r="O129" s="137"/>
      <c r="P129" s="137"/>
    </row>
    <row r="130" spans="1:16" x14ac:dyDescent="0.35">
      <c r="A130" s="139" t="s">
        <v>533</v>
      </c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7"/>
      <c r="N130" s="137"/>
      <c r="O130" s="137"/>
      <c r="P130" s="137"/>
    </row>
    <row r="131" spans="1:16" x14ac:dyDescent="0.35">
      <c r="A131" s="139" t="s">
        <v>534</v>
      </c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7"/>
      <c r="N131" s="137"/>
      <c r="O131" s="137"/>
      <c r="P131" s="137"/>
    </row>
    <row r="132" spans="1:16" x14ac:dyDescent="0.35">
      <c r="A132" s="139" t="s">
        <v>535</v>
      </c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7"/>
      <c r="N132" s="137"/>
      <c r="O132" s="137"/>
      <c r="P132" s="137"/>
    </row>
    <row r="133" spans="1:16" x14ac:dyDescent="0.35">
      <c r="A133" s="138" t="s">
        <v>536</v>
      </c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7" t="s">
        <v>497</v>
      </c>
      <c r="N133" s="137"/>
      <c r="O133" s="137"/>
      <c r="P133" s="137"/>
    </row>
    <row r="134" spans="1:16" x14ac:dyDescent="0.35">
      <c r="A134" s="139" t="s">
        <v>537</v>
      </c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7"/>
      <c r="N134" s="137"/>
      <c r="O134" s="137"/>
      <c r="P134" s="137"/>
    </row>
    <row r="135" spans="1:16" x14ac:dyDescent="0.35">
      <c r="A135" s="139" t="s">
        <v>538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7"/>
      <c r="N135" s="137"/>
      <c r="O135" s="137"/>
      <c r="P135" s="137"/>
    </row>
    <row r="136" spans="1:16" x14ac:dyDescent="0.35">
      <c r="A136" s="139" t="s">
        <v>539</v>
      </c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7"/>
      <c r="N136" s="137"/>
      <c r="O136" s="137"/>
      <c r="P136" s="137"/>
    </row>
    <row r="137" spans="1:16" x14ac:dyDescent="0.35">
      <c r="A137" s="139" t="s">
        <v>540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7"/>
      <c r="N137" s="137"/>
      <c r="O137" s="137"/>
      <c r="P137" s="137"/>
    </row>
    <row r="138" spans="1:16" x14ac:dyDescent="0.35">
      <c r="A138" s="139" t="s">
        <v>541</v>
      </c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7"/>
      <c r="N138" s="137"/>
      <c r="O138" s="137"/>
      <c r="P138" s="137"/>
    </row>
    <row r="139" spans="1:16" x14ac:dyDescent="0.35">
      <c r="A139" s="139" t="s">
        <v>542</v>
      </c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7"/>
      <c r="N139" s="137"/>
      <c r="O139" s="137"/>
      <c r="P139" s="137"/>
    </row>
    <row r="140" spans="1:16" x14ac:dyDescent="0.35">
      <c r="A140" s="141" t="s">
        <v>543</v>
      </c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 t="s">
        <v>544</v>
      </c>
      <c r="N140" s="137"/>
      <c r="O140" s="137"/>
      <c r="P140" s="137"/>
    </row>
    <row r="141" spans="1:16" x14ac:dyDescent="0.35">
      <c r="A141" s="138" t="s">
        <v>545</v>
      </c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7" t="s">
        <v>546</v>
      </c>
      <c r="N141" s="137"/>
      <c r="O141" s="137"/>
      <c r="P141" s="137"/>
    </row>
    <row r="142" spans="1:16" x14ac:dyDescent="0.35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 t="s">
        <v>547</v>
      </c>
      <c r="N142" s="137"/>
      <c r="O142" s="137"/>
      <c r="P142" s="137"/>
    </row>
    <row r="143" spans="1:16" x14ac:dyDescent="0.3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9" t="s">
        <v>548</v>
      </c>
      <c r="N143" s="139"/>
      <c r="O143" s="139"/>
      <c r="P143" s="139"/>
    </row>
    <row r="144" spans="1:16" x14ac:dyDescent="0.35">
      <c r="A144" s="138" t="s">
        <v>549</v>
      </c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7"/>
      <c r="N144" s="137"/>
      <c r="O144" s="137"/>
      <c r="P144" s="137"/>
    </row>
    <row r="145" spans="1:16" x14ac:dyDescent="0.35">
      <c r="A145" s="138" t="s">
        <v>550</v>
      </c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7"/>
      <c r="N145" s="137"/>
      <c r="O145" s="137"/>
      <c r="P145" s="137"/>
    </row>
    <row r="146" spans="1:16" x14ac:dyDescent="0.3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</row>
    <row r="147" spans="1:16" x14ac:dyDescent="0.35">
      <c r="A147" s="141" t="s">
        <v>551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 t="s">
        <v>485</v>
      </c>
      <c r="N147" s="137"/>
      <c r="O147" s="137"/>
      <c r="P147" s="137"/>
    </row>
    <row r="148" spans="1:16" x14ac:dyDescent="0.35">
      <c r="A148" s="143" t="s">
        <v>552</v>
      </c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37"/>
      <c r="N148" s="137"/>
      <c r="O148" s="137"/>
      <c r="P148" s="137"/>
    </row>
    <row r="149" spans="1:16" x14ac:dyDescent="0.35">
      <c r="A149" s="143" t="s">
        <v>553</v>
      </c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37"/>
      <c r="N149" s="137"/>
      <c r="O149" s="137"/>
      <c r="P149" s="137"/>
    </row>
    <row r="150" spans="1:16" x14ac:dyDescent="0.35">
      <c r="A150" s="143" t="s">
        <v>554</v>
      </c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37"/>
      <c r="N150" s="137"/>
      <c r="O150" s="137"/>
      <c r="P150" s="137"/>
    </row>
    <row r="151" spans="1:16" x14ac:dyDescent="0.35">
      <c r="A151" s="143" t="s">
        <v>555</v>
      </c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37"/>
      <c r="N151" s="137"/>
      <c r="O151" s="137"/>
      <c r="P151" s="137"/>
    </row>
    <row r="152" spans="1:16" x14ac:dyDescent="0.35">
      <c r="A152" s="143" t="s">
        <v>556</v>
      </c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37"/>
      <c r="N152" s="137"/>
      <c r="O152" s="137"/>
      <c r="P152" s="137"/>
    </row>
    <row r="153" spans="1:16" x14ac:dyDescent="0.35">
      <c r="A153" s="143" t="s">
        <v>557</v>
      </c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37"/>
      <c r="N153" s="137"/>
      <c r="O153" s="137"/>
      <c r="P153" s="137"/>
    </row>
    <row r="154" spans="1:16" x14ac:dyDescent="0.35">
      <c r="A154" s="143" t="s">
        <v>558</v>
      </c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37"/>
      <c r="N154" s="137"/>
      <c r="O154" s="137"/>
      <c r="P154" s="137"/>
    </row>
    <row r="155" spans="1:16" x14ac:dyDescent="0.35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</row>
    <row r="156" spans="1:16" x14ac:dyDescent="0.35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</row>
    <row r="157" spans="1:16" x14ac:dyDescent="0.35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</row>
    <row r="158" spans="1:16" x14ac:dyDescent="0.35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</row>
    <row r="159" spans="1:16" x14ac:dyDescent="0.35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</row>
    <row r="160" spans="1:16" x14ac:dyDescent="0.35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</row>
    <row r="161" spans="1:16" x14ac:dyDescent="0.35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</row>
    <row r="162" spans="1:16" x14ac:dyDescent="0.35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</row>
    <row r="163" spans="1:16" x14ac:dyDescent="0.35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</row>
    <row r="164" spans="1:16" x14ac:dyDescent="0.35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</row>
    <row r="165" spans="1:16" x14ac:dyDescent="0.35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</row>
    <row r="166" spans="1:16" x14ac:dyDescent="0.35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</row>
    <row r="167" spans="1:16" x14ac:dyDescent="0.35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</row>
    <row r="168" spans="1:16" x14ac:dyDescent="0.35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</row>
    <row r="169" spans="1:16" x14ac:dyDescent="0.35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</row>
    <row r="170" spans="1:16" x14ac:dyDescent="0.35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</row>
    <row r="171" spans="1:16" x14ac:dyDescent="0.35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</row>
    <row r="172" spans="1:16" x14ac:dyDescent="0.3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</row>
    <row r="173" spans="1:16" x14ac:dyDescent="0.35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</row>
    <row r="174" spans="1:16" x14ac:dyDescent="0.3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</row>
    <row r="175" spans="1:16" x14ac:dyDescent="0.35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</row>
    <row r="176" spans="1:16" x14ac:dyDescent="0.35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</row>
    <row r="177" spans="1:16" x14ac:dyDescent="0.35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</row>
    <row r="178" spans="1:16" x14ac:dyDescent="0.3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</row>
    <row r="179" spans="1:16" x14ac:dyDescent="0.3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</row>
    <row r="180" spans="1:16" x14ac:dyDescent="0.3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</row>
    <row r="181" spans="1:16" x14ac:dyDescent="0.3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</row>
    <row r="182" spans="1:16" x14ac:dyDescent="0.3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</row>
    <row r="183" spans="1:16" x14ac:dyDescent="0.3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</row>
    <row r="184" spans="1:16" x14ac:dyDescent="0.3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</row>
    <row r="185" spans="1:16" x14ac:dyDescent="0.3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</row>
    <row r="186" spans="1:16" x14ac:dyDescent="0.3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</row>
    <row r="187" spans="1:16" x14ac:dyDescent="0.3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</row>
    <row r="188" spans="1:16" x14ac:dyDescent="0.3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</row>
    <row r="189" spans="1:16" x14ac:dyDescent="0.3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</row>
    <row r="190" spans="1:16" x14ac:dyDescent="0.3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</row>
    <row r="191" spans="1:16" x14ac:dyDescent="0.3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</row>
    <row r="192" spans="1:16" x14ac:dyDescent="0.3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</row>
    <row r="193" spans="1:16" x14ac:dyDescent="0.3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</row>
    <row r="194" spans="1:16" x14ac:dyDescent="0.3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</row>
    <row r="195" spans="1:16" x14ac:dyDescent="0.3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</row>
    <row r="196" spans="1:16" x14ac:dyDescent="0.3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</row>
    <row r="197" spans="1:16" x14ac:dyDescent="0.35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</row>
    <row r="198" spans="1:16" x14ac:dyDescent="0.35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</row>
    <row r="199" spans="1:16" x14ac:dyDescent="0.3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</row>
    <row r="200" spans="1:16" x14ac:dyDescent="0.35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</row>
    <row r="201" spans="1:16" x14ac:dyDescent="0.35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</row>
    <row r="202" spans="1:16" x14ac:dyDescent="0.35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</row>
    <row r="203" spans="1:16" x14ac:dyDescent="0.35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</row>
    <row r="204" spans="1:16" x14ac:dyDescent="0.35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</row>
    <row r="205" spans="1:16" x14ac:dyDescent="0.3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</row>
    <row r="206" spans="1:16" x14ac:dyDescent="0.35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</row>
    <row r="207" spans="1:16" x14ac:dyDescent="0.3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</row>
    <row r="208" spans="1:16" x14ac:dyDescent="0.3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</row>
    <row r="209" spans="1:16" x14ac:dyDescent="0.35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</row>
    <row r="210" spans="1:16" x14ac:dyDescent="0.35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</row>
    <row r="211" spans="1:16" x14ac:dyDescent="0.3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</row>
    <row r="212" spans="1:16" x14ac:dyDescent="0.35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</row>
    <row r="213" spans="1:16" x14ac:dyDescent="0.35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</row>
    <row r="214" spans="1:16" x14ac:dyDescent="0.3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</row>
    <row r="215" spans="1:16" x14ac:dyDescent="0.35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</row>
    <row r="216" spans="1:16" x14ac:dyDescent="0.35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</row>
    <row r="217" spans="1:16" x14ac:dyDescent="0.3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</row>
    <row r="218" spans="1:16" x14ac:dyDescent="0.35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</row>
    <row r="219" spans="1:16" x14ac:dyDescent="0.35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</row>
    <row r="220" spans="1:16" x14ac:dyDescent="0.35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</row>
    <row r="221" spans="1:16" x14ac:dyDescent="0.35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</row>
    <row r="222" spans="1:16" x14ac:dyDescent="0.3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</row>
    <row r="223" spans="1:16" x14ac:dyDescent="0.3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</row>
    <row r="224" spans="1:16" x14ac:dyDescent="0.35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</row>
    <row r="225" spans="1:16" x14ac:dyDescent="0.35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</row>
    <row r="226" spans="1:16" x14ac:dyDescent="0.3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</row>
    <row r="227" spans="1:16" x14ac:dyDescent="0.35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</row>
    <row r="228" spans="1:16" x14ac:dyDescent="0.35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</row>
    <row r="229" spans="1:16" x14ac:dyDescent="0.35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</row>
    <row r="230" spans="1:16" x14ac:dyDescent="0.35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</row>
    <row r="231" spans="1:16" x14ac:dyDescent="0.35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</row>
    <row r="232" spans="1:16" x14ac:dyDescent="0.3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</row>
    <row r="233" spans="1:16" x14ac:dyDescent="0.35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</row>
    <row r="234" spans="1:16" x14ac:dyDescent="0.35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</row>
    <row r="235" spans="1:16" x14ac:dyDescent="0.3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</row>
    <row r="236" spans="1:16" x14ac:dyDescent="0.35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</row>
    <row r="237" spans="1:16" x14ac:dyDescent="0.35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</row>
    <row r="238" spans="1:16" x14ac:dyDescent="0.35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</row>
    <row r="239" spans="1:16" x14ac:dyDescent="0.35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</row>
    <row r="240" spans="1:16" x14ac:dyDescent="0.35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</row>
    <row r="241" spans="1:16" x14ac:dyDescent="0.3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</row>
    <row r="242" spans="1:16" x14ac:dyDescent="0.35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</row>
    <row r="243" spans="1:16" x14ac:dyDescent="0.3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</row>
    <row r="244" spans="1:16" x14ac:dyDescent="0.3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</row>
    <row r="245" spans="1:16" x14ac:dyDescent="0.3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</row>
    <row r="246" spans="1:16" x14ac:dyDescent="0.3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</row>
    <row r="247" spans="1:16" x14ac:dyDescent="0.35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</row>
    <row r="248" spans="1:16" x14ac:dyDescent="0.35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</row>
    <row r="249" spans="1:16" x14ac:dyDescent="0.35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</row>
    <row r="250" spans="1:16" x14ac:dyDescent="0.3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</row>
    <row r="251" spans="1:16" x14ac:dyDescent="0.35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</row>
    <row r="252" spans="1:16" x14ac:dyDescent="0.35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</row>
    <row r="253" spans="1:16" x14ac:dyDescent="0.3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</row>
    <row r="254" spans="1:16" x14ac:dyDescent="0.35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</row>
    <row r="255" spans="1:16" x14ac:dyDescent="0.35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</row>
    <row r="256" spans="1:16" x14ac:dyDescent="0.35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</row>
    <row r="257" spans="1:16" x14ac:dyDescent="0.35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</row>
    <row r="258" spans="1:16" x14ac:dyDescent="0.35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</row>
    <row r="259" spans="1:16" x14ac:dyDescent="0.3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</row>
    <row r="260" spans="1:16" x14ac:dyDescent="0.35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</row>
    <row r="261" spans="1:16" x14ac:dyDescent="0.35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</row>
    <row r="262" spans="1:16" x14ac:dyDescent="0.3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</row>
    <row r="263" spans="1:16" x14ac:dyDescent="0.35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</row>
    <row r="264" spans="1:16" x14ac:dyDescent="0.35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</row>
    <row r="265" spans="1:16" x14ac:dyDescent="0.35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</row>
    <row r="266" spans="1:16" x14ac:dyDescent="0.35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</row>
    <row r="267" spans="1:16" x14ac:dyDescent="0.35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</row>
    <row r="268" spans="1:16" x14ac:dyDescent="0.35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</row>
    <row r="269" spans="1:16" x14ac:dyDescent="0.35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</row>
    <row r="270" spans="1:16" x14ac:dyDescent="0.35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</row>
    <row r="271" spans="1:16" x14ac:dyDescent="0.35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</row>
    <row r="272" spans="1:16" x14ac:dyDescent="0.35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</row>
    <row r="273" spans="1:16" x14ac:dyDescent="0.35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</row>
    <row r="274" spans="1:16" x14ac:dyDescent="0.35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</row>
    <row r="275" spans="1:16" x14ac:dyDescent="0.35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</row>
    <row r="276" spans="1:16" x14ac:dyDescent="0.35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</row>
    <row r="277" spans="1:16" x14ac:dyDescent="0.35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</row>
    <row r="278" spans="1:16" x14ac:dyDescent="0.35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</row>
    <row r="279" spans="1:16" x14ac:dyDescent="0.35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</row>
    <row r="280" spans="1:16" x14ac:dyDescent="0.35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</row>
    <row r="281" spans="1:16" x14ac:dyDescent="0.35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</row>
    <row r="282" spans="1:16" x14ac:dyDescent="0.35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</row>
    <row r="283" spans="1:16" x14ac:dyDescent="0.35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</row>
    <row r="284" spans="1:16" x14ac:dyDescent="0.35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</row>
    <row r="285" spans="1:16" x14ac:dyDescent="0.35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</row>
    <row r="286" spans="1:16" x14ac:dyDescent="0.35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</row>
    <row r="287" spans="1:16" x14ac:dyDescent="0.35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</row>
    <row r="288" spans="1:16" x14ac:dyDescent="0.35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</row>
    <row r="289" spans="1:12" x14ac:dyDescent="0.35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</row>
    <row r="290" spans="1:12" x14ac:dyDescent="0.35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</row>
    <row r="291" spans="1:12" x14ac:dyDescent="0.35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</row>
    <row r="292" spans="1:12" x14ac:dyDescent="0.35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1:12" x14ac:dyDescent="0.35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</row>
    <row r="294" spans="1:12" x14ac:dyDescent="0.35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</row>
    <row r="295" spans="1:12" x14ac:dyDescent="0.35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</row>
    <row r="296" spans="1:12" x14ac:dyDescent="0.35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</row>
    <row r="297" spans="1:12" x14ac:dyDescent="0.35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</row>
    <row r="298" spans="1:12" x14ac:dyDescent="0.35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</row>
    <row r="299" spans="1:12" x14ac:dyDescent="0.35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</row>
    <row r="300" spans="1:12" x14ac:dyDescent="0.35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</row>
    <row r="301" spans="1:12" x14ac:dyDescent="0.35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</row>
    <row r="302" spans="1:12" x14ac:dyDescent="0.35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</row>
    <row r="303" spans="1:12" x14ac:dyDescent="0.35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</row>
    <row r="304" spans="1:12" x14ac:dyDescent="0.35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</row>
    <row r="305" spans="1:12" x14ac:dyDescent="0.35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</row>
    <row r="306" spans="1:12" x14ac:dyDescent="0.35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</row>
    <row r="307" spans="1:12" x14ac:dyDescent="0.35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</row>
    <row r="308" spans="1:12" x14ac:dyDescent="0.35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</row>
    <row r="309" spans="1:12" x14ac:dyDescent="0.35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</row>
    <row r="310" spans="1:12" x14ac:dyDescent="0.35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</row>
    <row r="311" spans="1:12" x14ac:dyDescent="0.35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</row>
    <row r="312" spans="1:12" x14ac:dyDescent="0.35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</row>
    <row r="313" spans="1:12" x14ac:dyDescent="0.35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</row>
    <row r="314" spans="1:12" x14ac:dyDescent="0.35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</row>
    <row r="315" spans="1:12" x14ac:dyDescent="0.35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</row>
    <row r="316" spans="1:12" x14ac:dyDescent="0.35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</row>
    <row r="317" spans="1:12" x14ac:dyDescent="0.35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</row>
    <row r="318" spans="1:12" x14ac:dyDescent="0.35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</row>
    <row r="319" spans="1:12" x14ac:dyDescent="0.35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</row>
    <row r="320" spans="1:12" x14ac:dyDescent="0.35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</row>
    <row r="321" spans="1:12" x14ac:dyDescent="0.35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</row>
    <row r="322" spans="1:12" x14ac:dyDescent="0.35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</row>
    <row r="323" spans="1:12" x14ac:dyDescent="0.35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</row>
    <row r="324" spans="1:12" x14ac:dyDescent="0.35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</row>
    <row r="325" spans="1:12" x14ac:dyDescent="0.35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</row>
    <row r="326" spans="1:12" x14ac:dyDescent="0.35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</row>
    <row r="327" spans="1:12" x14ac:dyDescent="0.35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</row>
    <row r="328" spans="1:12" x14ac:dyDescent="0.35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</row>
    <row r="329" spans="1:12" x14ac:dyDescent="0.35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</row>
    <row r="330" spans="1:12" x14ac:dyDescent="0.35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</row>
    <row r="331" spans="1:12" x14ac:dyDescent="0.35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</row>
    <row r="332" spans="1:12" x14ac:dyDescent="0.35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</row>
    <row r="333" spans="1:12" x14ac:dyDescent="0.35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</row>
    <row r="334" spans="1:12" x14ac:dyDescent="0.35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</row>
    <row r="335" spans="1:12" x14ac:dyDescent="0.35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</row>
    <row r="336" spans="1:12" x14ac:dyDescent="0.35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</row>
    <row r="337" spans="1:12" x14ac:dyDescent="0.35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</row>
    <row r="338" spans="1:12" x14ac:dyDescent="0.35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</row>
    <row r="339" spans="1:12" x14ac:dyDescent="0.35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</row>
  </sheetData>
  <mergeCells count="751">
    <mergeCell ref="A336:L336"/>
    <mergeCell ref="A337:L337"/>
    <mergeCell ref="A338:L338"/>
    <mergeCell ref="A339:L339"/>
    <mergeCell ref="A330:L330"/>
    <mergeCell ref="A331:L331"/>
    <mergeCell ref="A332:L332"/>
    <mergeCell ref="A333:L333"/>
    <mergeCell ref="A334:L334"/>
    <mergeCell ref="A335:L335"/>
    <mergeCell ref="A324:L324"/>
    <mergeCell ref="A325:L325"/>
    <mergeCell ref="A326:L326"/>
    <mergeCell ref="A327:L327"/>
    <mergeCell ref="A328:L328"/>
    <mergeCell ref="A329:L329"/>
    <mergeCell ref="A318:L318"/>
    <mergeCell ref="A319:L319"/>
    <mergeCell ref="A320:L320"/>
    <mergeCell ref="A321:L321"/>
    <mergeCell ref="A322:L322"/>
    <mergeCell ref="A323:L323"/>
    <mergeCell ref="A312:L312"/>
    <mergeCell ref="A313:L313"/>
    <mergeCell ref="A314:L314"/>
    <mergeCell ref="A315:L315"/>
    <mergeCell ref="A316:L316"/>
    <mergeCell ref="A317:L317"/>
    <mergeCell ref="A306:L306"/>
    <mergeCell ref="A307:L307"/>
    <mergeCell ref="A308:L308"/>
    <mergeCell ref="A309:L309"/>
    <mergeCell ref="A310:L310"/>
    <mergeCell ref="A311:L311"/>
    <mergeCell ref="A300:L300"/>
    <mergeCell ref="A301:L301"/>
    <mergeCell ref="A302:L302"/>
    <mergeCell ref="A303:L303"/>
    <mergeCell ref="A304:L304"/>
    <mergeCell ref="A305:L305"/>
    <mergeCell ref="A294:L294"/>
    <mergeCell ref="A295:L295"/>
    <mergeCell ref="A296:L296"/>
    <mergeCell ref="A297:L297"/>
    <mergeCell ref="A298:L298"/>
    <mergeCell ref="A299:L299"/>
    <mergeCell ref="A288:L288"/>
    <mergeCell ref="A289:L289"/>
    <mergeCell ref="A290:L290"/>
    <mergeCell ref="A291:L291"/>
    <mergeCell ref="A292:L292"/>
    <mergeCell ref="A293:L293"/>
    <mergeCell ref="A282:L282"/>
    <mergeCell ref="A283:L283"/>
    <mergeCell ref="A284:L284"/>
    <mergeCell ref="A285:L285"/>
    <mergeCell ref="A286:L286"/>
    <mergeCell ref="A287:L287"/>
    <mergeCell ref="A276:L276"/>
    <mergeCell ref="A277:L277"/>
    <mergeCell ref="A278:L278"/>
    <mergeCell ref="A279:L279"/>
    <mergeCell ref="A280:L280"/>
    <mergeCell ref="A281:L281"/>
    <mergeCell ref="A273:L273"/>
    <mergeCell ref="M273:P273"/>
    <mergeCell ref="A274:L274"/>
    <mergeCell ref="M274:P274"/>
    <mergeCell ref="A275:L275"/>
    <mergeCell ref="M275:P275"/>
    <mergeCell ref="A270:L270"/>
    <mergeCell ref="M270:P270"/>
    <mergeCell ref="A271:L271"/>
    <mergeCell ref="M271:P271"/>
    <mergeCell ref="A272:L272"/>
    <mergeCell ref="M272:P272"/>
    <mergeCell ref="A267:L267"/>
    <mergeCell ref="M267:P267"/>
    <mergeCell ref="A268:L268"/>
    <mergeCell ref="M268:P268"/>
    <mergeCell ref="A269:L269"/>
    <mergeCell ref="M269:P269"/>
    <mergeCell ref="A264:L264"/>
    <mergeCell ref="M264:P264"/>
    <mergeCell ref="A265:L265"/>
    <mergeCell ref="M265:P265"/>
    <mergeCell ref="A266:L266"/>
    <mergeCell ref="M266:P266"/>
    <mergeCell ref="A261:L261"/>
    <mergeCell ref="M261:P261"/>
    <mergeCell ref="A262:L262"/>
    <mergeCell ref="M262:P262"/>
    <mergeCell ref="A263:L263"/>
    <mergeCell ref="M263:P263"/>
    <mergeCell ref="A258:L258"/>
    <mergeCell ref="M258:P258"/>
    <mergeCell ref="A259:L259"/>
    <mergeCell ref="M259:P259"/>
    <mergeCell ref="A260:L260"/>
    <mergeCell ref="M260:P260"/>
    <mergeCell ref="A255:L255"/>
    <mergeCell ref="M255:P255"/>
    <mergeCell ref="A256:L256"/>
    <mergeCell ref="M256:P256"/>
    <mergeCell ref="A257:L257"/>
    <mergeCell ref="M257:P257"/>
    <mergeCell ref="A252:L252"/>
    <mergeCell ref="M252:P252"/>
    <mergeCell ref="A253:L253"/>
    <mergeCell ref="M253:P253"/>
    <mergeCell ref="A254:L254"/>
    <mergeCell ref="M254:P254"/>
    <mergeCell ref="A249:L249"/>
    <mergeCell ref="M249:P249"/>
    <mergeCell ref="A250:L250"/>
    <mergeCell ref="M250:P250"/>
    <mergeCell ref="A251:L251"/>
    <mergeCell ref="M251:P251"/>
    <mergeCell ref="A246:L246"/>
    <mergeCell ref="M246:P246"/>
    <mergeCell ref="A247:L247"/>
    <mergeCell ref="M247:P247"/>
    <mergeCell ref="A248:L248"/>
    <mergeCell ref="M248:P248"/>
    <mergeCell ref="A243:L243"/>
    <mergeCell ref="M243:P243"/>
    <mergeCell ref="A244:L244"/>
    <mergeCell ref="M244:P244"/>
    <mergeCell ref="A245:L245"/>
    <mergeCell ref="M245:P245"/>
    <mergeCell ref="A240:L240"/>
    <mergeCell ref="M240:P240"/>
    <mergeCell ref="A241:L241"/>
    <mergeCell ref="M241:P241"/>
    <mergeCell ref="A242:L242"/>
    <mergeCell ref="M242:P242"/>
    <mergeCell ref="A237:L237"/>
    <mergeCell ref="M237:P237"/>
    <mergeCell ref="A238:L238"/>
    <mergeCell ref="M238:P238"/>
    <mergeCell ref="A239:L239"/>
    <mergeCell ref="M239:P239"/>
    <mergeCell ref="A234:L234"/>
    <mergeCell ref="M234:P234"/>
    <mergeCell ref="A235:L235"/>
    <mergeCell ref="M235:P235"/>
    <mergeCell ref="A236:L236"/>
    <mergeCell ref="M236:P236"/>
    <mergeCell ref="A231:L231"/>
    <mergeCell ref="M231:P231"/>
    <mergeCell ref="A232:L232"/>
    <mergeCell ref="M232:P232"/>
    <mergeCell ref="A233:L233"/>
    <mergeCell ref="M233:P233"/>
    <mergeCell ref="A228:L228"/>
    <mergeCell ref="M228:P228"/>
    <mergeCell ref="A229:L229"/>
    <mergeCell ref="M229:P229"/>
    <mergeCell ref="A230:L230"/>
    <mergeCell ref="M230:P230"/>
    <mergeCell ref="A225:L225"/>
    <mergeCell ref="M225:P225"/>
    <mergeCell ref="A226:L226"/>
    <mergeCell ref="M226:P226"/>
    <mergeCell ref="A227:L227"/>
    <mergeCell ref="M227:P227"/>
    <mergeCell ref="A222:L222"/>
    <mergeCell ref="M222:P222"/>
    <mergeCell ref="A223:L223"/>
    <mergeCell ref="M223:P223"/>
    <mergeCell ref="A224:L224"/>
    <mergeCell ref="M224:P224"/>
    <mergeCell ref="A219:L219"/>
    <mergeCell ref="M219:P219"/>
    <mergeCell ref="A220:L220"/>
    <mergeCell ref="M220:P220"/>
    <mergeCell ref="A221:L221"/>
    <mergeCell ref="M221:P221"/>
    <mergeCell ref="A216:L216"/>
    <mergeCell ref="M216:P216"/>
    <mergeCell ref="A217:L217"/>
    <mergeCell ref="M217:P217"/>
    <mergeCell ref="A218:L218"/>
    <mergeCell ref="M218:P218"/>
    <mergeCell ref="A213:L213"/>
    <mergeCell ref="M213:P213"/>
    <mergeCell ref="A214:L214"/>
    <mergeCell ref="M214:P214"/>
    <mergeCell ref="A215:L215"/>
    <mergeCell ref="M215:P215"/>
    <mergeCell ref="A210:L210"/>
    <mergeCell ref="M210:P210"/>
    <mergeCell ref="A211:L211"/>
    <mergeCell ref="M211:P211"/>
    <mergeCell ref="A212:L212"/>
    <mergeCell ref="M212:P212"/>
    <mergeCell ref="A207:L207"/>
    <mergeCell ref="M207:P207"/>
    <mergeCell ref="A208:L208"/>
    <mergeCell ref="M208:P208"/>
    <mergeCell ref="A209:L209"/>
    <mergeCell ref="M209:P209"/>
    <mergeCell ref="A204:L204"/>
    <mergeCell ref="M204:P204"/>
    <mergeCell ref="A205:L205"/>
    <mergeCell ref="M205:P205"/>
    <mergeCell ref="A206:L206"/>
    <mergeCell ref="M206:P206"/>
    <mergeCell ref="A201:L201"/>
    <mergeCell ref="M201:P201"/>
    <mergeCell ref="A202:L202"/>
    <mergeCell ref="M202:P202"/>
    <mergeCell ref="A203:L203"/>
    <mergeCell ref="M203:P203"/>
    <mergeCell ref="A198:L198"/>
    <mergeCell ref="M198:P198"/>
    <mergeCell ref="A199:L199"/>
    <mergeCell ref="M199:P199"/>
    <mergeCell ref="A200:L200"/>
    <mergeCell ref="M200:P200"/>
    <mergeCell ref="A195:L195"/>
    <mergeCell ref="M195:P195"/>
    <mergeCell ref="A196:L196"/>
    <mergeCell ref="M196:P196"/>
    <mergeCell ref="A197:L197"/>
    <mergeCell ref="M197:P197"/>
    <mergeCell ref="A192:L192"/>
    <mergeCell ref="M192:P192"/>
    <mergeCell ref="A193:L193"/>
    <mergeCell ref="M193:P193"/>
    <mergeCell ref="A194:L194"/>
    <mergeCell ref="M194:P194"/>
    <mergeCell ref="A189:L189"/>
    <mergeCell ref="M189:P189"/>
    <mergeCell ref="A190:L190"/>
    <mergeCell ref="M190:P190"/>
    <mergeCell ref="A191:L191"/>
    <mergeCell ref="M191:P191"/>
    <mergeCell ref="A186:L186"/>
    <mergeCell ref="M186:P186"/>
    <mergeCell ref="A187:L187"/>
    <mergeCell ref="M187:P187"/>
    <mergeCell ref="A188:L188"/>
    <mergeCell ref="M188:P188"/>
    <mergeCell ref="A183:L183"/>
    <mergeCell ref="M183:P183"/>
    <mergeCell ref="A184:L184"/>
    <mergeCell ref="M184:P184"/>
    <mergeCell ref="A185:L185"/>
    <mergeCell ref="M185:P185"/>
    <mergeCell ref="A180:L180"/>
    <mergeCell ref="M180:P180"/>
    <mergeCell ref="A181:L181"/>
    <mergeCell ref="M181:P181"/>
    <mergeCell ref="A182:L182"/>
    <mergeCell ref="M182:P182"/>
    <mergeCell ref="A177:L177"/>
    <mergeCell ref="M177:P177"/>
    <mergeCell ref="A178:L178"/>
    <mergeCell ref="M178:P178"/>
    <mergeCell ref="A179:L179"/>
    <mergeCell ref="M179:P179"/>
    <mergeCell ref="A174:L174"/>
    <mergeCell ref="M174:P174"/>
    <mergeCell ref="A175:L175"/>
    <mergeCell ref="M175:P175"/>
    <mergeCell ref="A176:L176"/>
    <mergeCell ref="M176:P176"/>
    <mergeCell ref="A171:L171"/>
    <mergeCell ref="M171:P171"/>
    <mergeCell ref="A172:L172"/>
    <mergeCell ref="M172:P172"/>
    <mergeCell ref="A173:L173"/>
    <mergeCell ref="M173:P173"/>
    <mergeCell ref="A168:L168"/>
    <mergeCell ref="M168:P168"/>
    <mergeCell ref="A169:L169"/>
    <mergeCell ref="M169:P169"/>
    <mergeCell ref="A170:L170"/>
    <mergeCell ref="M170:P170"/>
    <mergeCell ref="A165:L165"/>
    <mergeCell ref="M165:P165"/>
    <mergeCell ref="A166:L166"/>
    <mergeCell ref="M166:P166"/>
    <mergeCell ref="A167:L167"/>
    <mergeCell ref="M167:P167"/>
    <mergeCell ref="A162:L162"/>
    <mergeCell ref="M162:P162"/>
    <mergeCell ref="A163:L163"/>
    <mergeCell ref="M163:P163"/>
    <mergeCell ref="A164:L164"/>
    <mergeCell ref="M164:P164"/>
    <mergeCell ref="A159:L159"/>
    <mergeCell ref="M159:P159"/>
    <mergeCell ref="A160:L160"/>
    <mergeCell ref="M160:P160"/>
    <mergeCell ref="A161:L161"/>
    <mergeCell ref="M161:P161"/>
    <mergeCell ref="A156:L156"/>
    <mergeCell ref="M156:P156"/>
    <mergeCell ref="A157:L157"/>
    <mergeCell ref="M157:P157"/>
    <mergeCell ref="A158:L158"/>
    <mergeCell ref="M158:P158"/>
    <mergeCell ref="A153:L153"/>
    <mergeCell ref="M153:P153"/>
    <mergeCell ref="A154:L154"/>
    <mergeCell ref="M154:P154"/>
    <mergeCell ref="A155:L155"/>
    <mergeCell ref="M155:P155"/>
    <mergeCell ref="A150:L150"/>
    <mergeCell ref="M150:P150"/>
    <mergeCell ref="A151:L151"/>
    <mergeCell ref="M151:P151"/>
    <mergeCell ref="A152:L152"/>
    <mergeCell ref="M152:P152"/>
    <mergeCell ref="A147:L147"/>
    <mergeCell ref="M147:P147"/>
    <mergeCell ref="A148:L148"/>
    <mergeCell ref="M148:P148"/>
    <mergeCell ref="A149:L149"/>
    <mergeCell ref="M149:P149"/>
    <mergeCell ref="A144:L144"/>
    <mergeCell ref="M144:P144"/>
    <mergeCell ref="A145:L145"/>
    <mergeCell ref="M145:P145"/>
    <mergeCell ref="A146:L146"/>
    <mergeCell ref="M146:P146"/>
    <mergeCell ref="A141:L141"/>
    <mergeCell ref="M141:P141"/>
    <mergeCell ref="A142:L142"/>
    <mergeCell ref="M142:P142"/>
    <mergeCell ref="A143:L143"/>
    <mergeCell ref="M143:P143"/>
    <mergeCell ref="A138:L138"/>
    <mergeCell ref="M138:P138"/>
    <mergeCell ref="A139:L139"/>
    <mergeCell ref="M139:P139"/>
    <mergeCell ref="A140:L140"/>
    <mergeCell ref="M140:P140"/>
    <mergeCell ref="A135:L135"/>
    <mergeCell ref="M135:P135"/>
    <mergeCell ref="A136:L136"/>
    <mergeCell ref="M136:P136"/>
    <mergeCell ref="A137:L137"/>
    <mergeCell ref="M137:P137"/>
    <mergeCell ref="A132:L132"/>
    <mergeCell ref="M132:P132"/>
    <mergeCell ref="A133:L133"/>
    <mergeCell ref="M133:P133"/>
    <mergeCell ref="A134:L134"/>
    <mergeCell ref="M134:P134"/>
    <mergeCell ref="A129:L129"/>
    <mergeCell ref="M129:P129"/>
    <mergeCell ref="A130:L130"/>
    <mergeCell ref="M130:P130"/>
    <mergeCell ref="A131:L131"/>
    <mergeCell ref="M131:P131"/>
    <mergeCell ref="A126:L126"/>
    <mergeCell ref="M126:P126"/>
    <mergeCell ref="A127:L127"/>
    <mergeCell ref="M127:P127"/>
    <mergeCell ref="A128:L128"/>
    <mergeCell ref="M128:P128"/>
    <mergeCell ref="A123:L123"/>
    <mergeCell ref="M123:P123"/>
    <mergeCell ref="A124:L124"/>
    <mergeCell ref="M124:P124"/>
    <mergeCell ref="A125:L125"/>
    <mergeCell ref="M125:P125"/>
    <mergeCell ref="A120:L120"/>
    <mergeCell ref="M120:P120"/>
    <mergeCell ref="A121:L121"/>
    <mergeCell ref="M121:P121"/>
    <mergeCell ref="A122:L122"/>
    <mergeCell ref="M122:P122"/>
    <mergeCell ref="A117:L117"/>
    <mergeCell ref="M117:P117"/>
    <mergeCell ref="A118:L118"/>
    <mergeCell ref="M118:P118"/>
    <mergeCell ref="A119:L119"/>
    <mergeCell ref="M119:P119"/>
    <mergeCell ref="A114:L114"/>
    <mergeCell ref="M114:P114"/>
    <mergeCell ref="A115:L115"/>
    <mergeCell ref="M115:P115"/>
    <mergeCell ref="A116:L116"/>
    <mergeCell ref="M116:P116"/>
    <mergeCell ref="A111:L111"/>
    <mergeCell ref="M111:P111"/>
    <mergeCell ref="A112:L112"/>
    <mergeCell ref="M112:P112"/>
    <mergeCell ref="A113:L113"/>
    <mergeCell ref="M113:P113"/>
    <mergeCell ref="A108:L108"/>
    <mergeCell ref="M108:P108"/>
    <mergeCell ref="A109:L109"/>
    <mergeCell ref="M109:P109"/>
    <mergeCell ref="A110:L110"/>
    <mergeCell ref="M110:P110"/>
    <mergeCell ref="A105:L105"/>
    <mergeCell ref="M105:P105"/>
    <mergeCell ref="A106:L106"/>
    <mergeCell ref="M106:P106"/>
    <mergeCell ref="A107:L107"/>
    <mergeCell ref="M107:P107"/>
    <mergeCell ref="A102:L102"/>
    <mergeCell ref="M102:P102"/>
    <mergeCell ref="A103:L103"/>
    <mergeCell ref="M103:P103"/>
    <mergeCell ref="A104:L104"/>
    <mergeCell ref="M104:P104"/>
    <mergeCell ref="A99:L99"/>
    <mergeCell ref="M99:P99"/>
    <mergeCell ref="Q99:S99"/>
    <mergeCell ref="A100:L100"/>
    <mergeCell ref="M100:P100"/>
    <mergeCell ref="A101:L101"/>
    <mergeCell ref="M101:P101"/>
    <mergeCell ref="A97:L97"/>
    <mergeCell ref="M97:P97"/>
    <mergeCell ref="Q97:S97"/>
    <mergeCell ref="A98:L98"/>
    <mergeCell ref="M98:P98"/>
    <mergeCell ref="Q98:S98"/>
    <mergeCell ref="A95:L95"/>
    <mergeCell ref="M95:P95"/>
    <mergeCell ref="Q95:S95"/>
    <mergeCell ref="A96:L96"/>
    <mergeCell ref="M96:P96"/>
    <mergeCell ref="Q96:S96"/>
    <mergeCell ref="A93:L93"/>
    <mergeCell ref="M93:P93"/>
    <mergeCell ref="Q93:S93"/>
    <mergeCell ref="A94:L94"/>
    <mergeCell ref="M94:P94"/>
    <mergeCell ref="Q94:S94"/>
    <mergeCell ref="A91:L91"/>
    <mergeCell ref="M91:P91"/>
    <mergeCell ref="Q91:S91"/>
    <mergeCell ref="A92:L92"/>
    <mergeCell ref="M92:P92"/>
    <mergeCell ref="Q92:S92"/>
    <mergeCell ref="A89:L89"/>
    <mergeCell ref="M89:P89"/>
    <mergeCell ref="Q89:S89"/>
    <mergeCell ref="A90:L90"/>
    <mergeCell ref="M90:P90"/>
    <mergeCell ref="Q90:S90"/>
    <mergeCell ref="A87:L87"/>
    <mergeCell ref="M87:P87"/>
    <mergeCell ref="Q87:S87"/>
    <mergeCell ref="A88:L88"/>
    <mergeCell ref="M88:P88"/>
    <mergeCell ref="Q88:S88"/>
    <mergeCell ref="A85:L85"/>
    <mergeCell ref="M85:P85"/>
    <mergeCell ref="Q85:S85"/>
    <mergeCell ref="A86:L86"/>
    <mergeCell ref="M86:P86"/>
    <mergeCell ref="Q86:S86"/>
    <mergeCell ref="A83:L83"/>
    <mergeCell ref="M83:P83"/>
    <mergeCell ref="Q83:S83"/>
    <mergeCell ref="A84:L84"/>
    <mergeCell ref="M84:P84"/>
    <mergeCell ref="Q84:S84"/>
    <mergeCell ref="A81:L81"/>
    <mergeCell ref="M81:P81"/>
    <mergeCell ref="Q81:S81"/>
    <mergeCell ref="A82:L82"/>
    <mergeCell ref="M82:P82"/>
    <mergeCell ref="Q82:S82"/>
    <mergeCell ref="A79:L79"/>
    <mergeCell ref="M79:P79"/>
    <mergeCell ref="Q79:S79"/>
    <mergeCell ref="A80:L80"/>
    <mergeCell ref="M80:P80"/>
    <mergeCell ref="Q80:S80"/>
    <mergeCell ref="A77:L77"/>
    <mergeCell ref="M77:P77"/>
    <mergeCell ref="Q77:S77"/>
    <mergeCell ref="A78:L78"/>
    <mergeCell ref="M78:P78"/>
    <mergeCell ref="Q78:S78"/>
    <mergeCell ref="A75:L75"/>
    <mergeCell ref="M75:P75"/>
    <mergeCell ref="Q75:S75"/>
    <mergeCell ref="A76:L76"/>
    <mergeCell ref="M76:P76"/>
    <mergeCell ref="Q76:S76"/>
    <mergeCell ref="A73:L73"/>
    <mergeCell ref="M73:P73"/>
    <mergeCell ref="Q73:S73"/>
    <mergeCell ref="A74:L74"/>
    <mergeCell ref="M74:P74"/>
    <mergeCell ref="Q74:S74"/>
    <mergeCell ref="A71:L71"/>
    <mergeCell ref="M71:P71"/>
    <mergeCell ref="Q71:S71"/>
    <mergeCell ref="A72:L72"/>
    <mergeCell ref="M72:P72"/>
    <mergeCell ref="Q72:S72"/>
    <mergeCell ref="A69:L69"/>
    <mergeCell ref="M69:P69"/>
    <mergeCell ref="Q69:S69"/>
    <mergeCell ref="A70:L70"/>
    <mergeCell ref="M70:P70"/>
    <mergeCell ref="Q70:S70"/>
    <mergeCell ref="A67:L67"/>
    <mergeCell ref="M67:P67"/>
    <mergeCell ref="Q67:S67"/>
    <mergeCell ref="A68:L68"/>
    <mergeCell ref="M68:P68"/>
    <mergeCell ref="Q68:S68"/>
    <mergeCell ref="A65:L65"/>
    <mergeCell ref="M65:P65"/>
    <mergeCell ref="Q65:S65"/>
    <mergeCell ref="A66:L66"/>
    <mergeCell ref="M66:P66"/>
    <mergeCell ref="Q66:S66"/>
    <mergeCell ref="A63:L63"/>
    <mergeCell ref="M63:P63"/>
    <mergeCell ref="Q63:S63"/>
    <mergeCell ref="A64:L64"/>
    <mergeCell ref="M64:P64"/>
    <mergeCell ref="Q64:S64"/>
    <mergeCell ref="A61:L61"/>
    <mergeCell ref="M61:P61"/>
    <mergeCell ref="Q61:S61"/>
    <mergeCell ref="A62:L62"/>
    <mergeCell ref="M62:P62"/>
    <mergeCell ref="Q62:S62"/>
    <mergeCell ref="A59:L59"/>
    <mergeCell ref="M59:P59"/>
    <mergeCell ref="Q59:S59"/>
    <mergeCell ref="A60:L60"/>
    <mergeCell ref="M60:P60"/>
    <mergeCell ref="Q60:S60"/>
    <mergeCell ref="A57:L57"/>
    <mergeCell ref="M57:P57"/>
    <mergeCell ref="Q57:S57"/>
    <mergeCell ref="A58:L58"/>
    <mergeCell ref="M58:P58"/>
    <mergeCell ref="Q58:S58"/>
    <mergeCell ref="A55:L55"/>
    <mergeCell ref="M55:P55"/>
    <mergeCell ref="Q55:S55"/>
    <mergeCell ref="A56:L56"/>
    <mergeCell ref="M56:P56"/>
    <mergeCell ref="Q56:S56"/>
    <mergeCell ref="A53:L53"/>
    <mergeCell ref="M53:P53"/>
    <mergeCell ref="Q53:S53"/>
    <mergeCell ref="A54:L54"/>
    <mergeCell ref="M54:P54"/>
    <mergeCell ref="Q54:S54"/>
    <mergeCell ref="A51:L51"/>
    <mergeCell ref="M51:P51"/>
    <mergeCell ref="Q51:S51"/>
    <mergeCell ref="A52:L52"/>
    <mergeCell ref="M52:P52"/>
    <mergeCell ref="Q52:S52"/>
    <mergeCell ref="A49:L49"/>
    <mergeCell ref="M49:P49"/>
    <mergeCell ref="Q49:S49"/>
    <mergeCell ref="A50:L50"/>
    <mergeCell ref="M50:P50"/>
    <mergeCell ref="Q50:S50"/>
    <mergeCell ref="A47:L47"/>
    <mergeCell ref="M47:P47"/>
    <mergeCell ref="Q47:S47"/>
    <mergeCell ref="A48:L48"/>
    <mergeCell ref="M48:P48"/>
    <mergeCell ref="Q48:S48"/>
    <mergeCell ref="A45:L45"/>
    <mergeCell ref="M45:P45"/>
    <mergeCell ref="Q45:S45"/>
    <mergeCell ref="A46:L46"/>
    <mergeCell ref="M46:P46"/>
    <mergeCell ref="Q46:S46"/>
    <mergeCell ref="A43:L43"/>
    <mergeCell ref="M43:P43"/>
    <mergeCell ref="Q43:S43"/>
    <mergeCell ref="A44:L44"/>
    <mergeCell ref="M44:P44"/>
    <mergeCell ref="Q44:S44"/>
    <mergeCell ref="A41:L41"/>
    <mergeCell ref="M41:P41"/>
    <mergeCell ref="Q41:S41"/>
    <mergeCell ref="A42:L42"/>
    <mergeCell ref="M42:P42"/>
    <mergeCell ref="Q42:S42"/>
    <mergeCell ref="A39:L39"/>
    <mergeCell ref="M39:P39"/>
    <mergeCell ref="Q39:S39"/>
    <mergeCell ref="A40:L40"/>
    <mergeCell ref="M40:P40"/>
    <mergeCell ref="Q40:S40"/>
    <mergeCell ref="A37:L37"/>
    <mergeCell ref="M37:P37"/>
    <mergeCell ref="Q37:S37"/>
    <mergeCell ref="T37:V37"/>
    <mergeCell ref="A38:L38"/>
    <mergeCell ref="M38:P38"/>
    <mergeCell ref="Q38:S38"/>
    <mergeCell ref="T38:V38"/>
    <mergeCell ref="A35:L35"/>
    <mergeCell ref="M35:P35"/>
    <mergeCell ref="Q35:S35"/>
    <mergeCell ref="T35:V35"/>
    <mergeCell ref="A36:L36"/>
    <mergeCell ref="M36:P36"/>
    <mergeCell ref="Q36:S36"/>
    <mergeCell ref="T36:V36"/>
    <mergeCell ref="A33:L33"/>
    <mergeCell ref="M33:P33"/>
    <mergeCell ref="Q33:S33"/>
    <mergeCell ref="T33:V33"/>
    <mergeCell ref="A34:L34"/>
    <mergeCell ref="M34:P34"/>
    <mergeCell ref="Q34:S34"/>
    <mergeCell ref="T34:V34"/>
    <mergeCell ref="A31:L31"/>
    <mergeCell ref="M31:P31"/>
    <mergeCell ref="Q31:S31"/>
    <mergeCell ref="T31:V31"/>
    <mergeCell ref="A32:L32"/>
    <mergeCell ref="M32:P32"/>
    <mergeCell ref="Q32:S32"/>
    <mergeCell ref="T32:V32"/>
    <mergeCell ref="A29:L29"/>
    <mergeCell ref="M29:P29"/>
    <mergeCell ref="Q29:S29"/>
    <mergeCell ref="T29:V29"/>
    <mergeCell ref="A30:L30"/>
    <mergeCell ref="M30:P30"/>
    <mergeCell ref="Q30:S30"/>
    <mergeCell ref="T30:V30"/>
    <mergeCell ref="A27:L27"/>
    <mergeCell ref="M27:P27"/>
    <mergeCell ref="Q27:S27"/>
    <mergeCell ref="T27:V27"/>
    <mergeCell ref="A28:L28"/>
    <mergeCell ref="M28:P28"/>
    <mergeCell ref="Q28:S28"/>
    <mergeCell ref="T28:V28"/>
    <mergeCell ref="A25:L25"/>
    <mergeCell ref="M25:P25"/>
    <mergeCell ref="Q25:S25"/>
    <mergeCell ref="T25:V25"/>
    <mergeCell ref="A26:L26"/>
    <mergeCell ref="M26:P26"/>
    <mergeCell ref="Q26:S26"/>
    <mergeCell ref="T26:V26"/>
    <mergeCell ref="A23:L23"/>
    <mergeCell ref="M23:P23"/>
    <mergeCell ref="Q23:S23"/>
    <mergeCell ref="T23:V23"/>
    <mergeCell ref="A24:L24"/>
    <mergeCell ref="M24:P24"/>
    <mergeCell ref="Q24:S24"/>
    <mergeCell ref="T24:V24"/>
    <mergeCell ref="A21:L21"/>
    <mergeCell ref="M21:P21"/>
    <mergeCell ref="Q21:S21"/>
    <mergeCell ref="T21:V21"/>
    <mergeCell ref="A22:L22"/>
    <mergeCell ref="M22:P22"/>
    <mergeCell ref="Q22:S22"/>
    <mergeCell ref="T22:V22"/>
    <mergeCell ref="A19:L19"/>
    <mergeCell ref="M19:P19"/>
    <mergeCell ref="Q19:S19"/>
    <mergeCell ref="T19:V19"/>
    <mergeCell ref="A20:L20"/>
    <mergeCell ref="M20:P20"/>
    <mergeCell ref="Q20:S20"/>
    <mergeCell ref="T20:V20"/>
    <mergeCell ref="A17:L17"/>
    <mergeCell ref="M17:P17"/>
    <mergeCell ref="Q17:S17"/>
    <mergeCell ref="T17:V17"/>
    <mergeCell ref="A18:L18"/>
    <mergeCell ref="M18:P18"/>
    <mergeCell ref="Q18:S18"/>
    <mergeCell ref="T18:V18"/>
    <mergeCell ref="A15:L15"/>
    <mergeCell ref="M15:P15"/>
    <mergeCell ref="Q15:S15"/>
    <mergeCell ref="T15:V15"/>
    <mergeCell ref="A16:L16"/>
    <mergeCell ref="M16:P16"/>
    <mergeCell ref="Q16:S16"/>
    <mergeCell ref="T16:V16"/>
    <mergeCell ref="A13:L13"/>
    <mergeCell ref="M13:P13"/>
    <mergeCell ref="Q13:S13"/>
    <mergeCell ref="T13:V13"/>
    <mergeCell ref="A14:L14"/>
    <mergeCell ref="M14:P14"/>
    <mergeCell ref="Q14:S14"/>
    <mergeCell ref="T14:V14"/>
    <mergeCell ref="A11:L11"/>
    <mergeCell ref="M11:P11"/>
    <mergeCell ref="Q11:S11"/>
    <mergeCell ref="T11:V11"/>
    <mergeCell ref="A12:L12"/>
    <mergeCell ref="M12:P12"/>
    <mergeCell ref="Q12:S12"/>
    <mergeCell ref="T12:V12"/>
    <mergeCell ref="A9:L9"/>
    <mergeCell ref="M9:P9"/>
    <mergeCell ref="Q9:S9"/>
    <mergeCell ref="T9:V9"/>
    <mergeCell ref="A10:L10"/>
    <mergeCell ref="M10:P10"/>
    <mergeCell ref="Q10:S10"/>
    <mergeCell ref="T10:V10"/>
    <mergeCell ref="A7:L7"/>
    <mergeCell ref="M7:P7"/>
    <mergeCell ref="Q7:S7"/>
    <mergeCell ref="T7:V7"/>
    <mergeCell ref="A8:L8"/>
    <mergeCell ref="M8:P8"/>
    <mergeCell ref="Q8:S8"/>
    <mergeCell ref="T8:V8"/>
    <mergeCell ref="A6:L6"/>
    <mergeCell ref="M6:P6"/>
    <mergeCell ref="Q6:S6"/>
    <mergeCell ref="T6:V6"/>
    <mergeCell ref="A3:L3"/>
    <mergeCell ref="M3:P3"/>
    <mergeCell ref="Q3:S3"/>
    <mergeCell ref="T3:V3"/>
    <mergeCell ref="A4:L4"/>
    <mergeCell ref="M4:P4"/>
    <mergeCell ref="Q4:S4"/>
    <mergeCell ref="T4:V4"/>
    <mergeCell ref="A1:L1"/>
    <mergeCell ref="M1:P1"/>
    <mergeCell ref="Q1:S1"/>
    <mergeCell ref="T1:V1"/>
    <mergeCell ref="A2:L2"/>
    <mergeCell ref="M2:P2"/>
    <mergeCell ref="Q2:S2"/>
    <mergeCell ref="T2:V2"/>
    <mergeCell ref="A5:L5"/>
    <mergeCell ref="M5:P5"/>
    <mergeCell ref="Q5:S5"/>
    <mergeCell ref="T5:V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O45"/>
  <sheetViews>
    <sheetView workbookViewId="0">
      <selection activeCell="P6" sqref="P6"/>
    </sheetView>
  </sheetViews>
  <sheetFormatPr defaultRowHeight="14.6" x14ac:dyDescent="0.35"/>
  <cols>
    <col min="2" max="2" width="11.05859375" customWidth="1"/>
    <col min="3" max="3" width="9.05859375" bestFit="1" customWidth="1"/>
  </cols>
  <sheetData>
    <row r="1" spans="1:15" s="33" customFormat="1" ht="32.15" thickBot="1" x14ac:dyDescent="0.4">
      <c r="A1" s="31" t="s">
        <v>21</v>
      </c>
      <c r="B1" s="32"/>
      <c r="C1" s="34" t="s">
        <v>36</v>
      </c>
      <c r="D1" s="34" t="s">
        <v>19</v>
      </c>
      <c r="E1" s="34" t="s">
        <v>37</v>
      </c>
      <c r="F1" s="35" t="s">
        <v>42</v>
      </c>
      <c r="G1" s="35" t="s">
        <v>76</v>
      </c>
      <c r="H1" s="32" t="s">
        <v>82</v>
      </c>
      <c r="I1" s="32" t="s">
        <v>81</v>
      </c>
    </row>
    <row r="2" spans="1:15" ht="15" thickBot="1" x14ac:dyDescent="0.4">
      <c r="A2" s="7" t="s">
        <v>44</v>
      </c>
      <c r="B2" s="91" t="s">
        <v>44</v>
      </c>
      <c r="C2" s="83">
        <v>48</v>
      </c>
      <c r="D2" s="95">
        <v>16</v>
      </c>
      <c r="E2" s="95">
        <v>33.299999999999997</v>
      </c>
      <c r="F2" s="22">
        <v>18</v>
      </c>
      <c r="G2" s="26">
        <v>5064</v>
      </c>
      <c r="H2" s="86" t="s">
        <v>117</v>
      </c>
      <c r="I2" s="83">
        <v>33.299999999999997</v>
      </c>
      <c r="K2" t="s">
        <v>44</v>
      </c>
      <c r="L2" s="7" t="s">
        <v>44</v>
      </c>
      <c r="M2" s="22">
        <v>18</v>
      </c>
      <c r="N2" s="120" t="s">
        <v>44</v>
      </c>
      <c r="O2" s="100">
        <v>18</v>
      </c>
    </row>
    <row r="3" spans="1:15" ht="15" thickBot="1" x14ac:dyDescent="0.4">
      <c r="A3" s="18" t="s">
        <v>45</v>
      </c>
      <c r="B3" s="92" t="s">
        <v>45</v>
      </c>
      <c r="C3" s="84">
        <v>181</v>
      </c>
      <c r="D3" s="97">
        <v>82</v>
      </c>
      <c r="E3" s="97">
        <v>45.3</v>
      </c>
      <c r="F3" s="23">
        <v>49</v>
      </c>
      <c r="G3" s="27">
        <v>265543</v>
      </c>
      <c r="H3" s="84" t="s">
        <v>83</v>
      </c>
      <c r="I3" s="84">
        <v>62.7</v>
      </c>
      <c r="K3" t="s">
        <v>45</v>
      </c>
      <c r="L3" s="18" t="s">
        <v>45</v>
      </c>
      <c r="M3" s="23">
        <v>49</v>
      </c>
      <c r="N3" s="120" t="s">
        <v>563</v>
      </c>
      <c r="O3" s="100">
        <v>49</v>
      </c>
    </row>
    <row r="4" spans="1:15" ht="15" thickBot="1" x14ac:dyDescent="0.4">
      <c r="A4" s="7" t="s">
        <v>46</v>
      </c>
      <c r="B4" s="92" t="s">
        <v>46</v>
      </c>
      <c r="C4" s="84">
        <v>57</v>
      </c>
      <c r="D4" s="97">
        <v>21</v>
      </c>
      <c r="E4" s="97">
        <v>36.799999999999997</v>
      </c>
      <c r="F4" s="23">
        <v>82</v>
      </c>
      <c r="G4" s="28">
        <v>9738</v>
      </c>
      <c r="H4" s="84" t="s">
        <v>84</v>
      </c>
      <c r="I4" s="84">
        <v>42.9</v>
      </c>
      <c r="K4" t="s">
        <v>46</v>
      </c>
      <c r="L4" s="7" t="s">
        <v>46</v>
      </c>
      <c r="M4" s="23">
        <v>82</v>
      </c>
      <c r="N4" s="120" t="s">
        <v>46</v>
      </c>
      <c r="O4" s="100">
        <v>82</v>
      </c>
    </row>
    <row r="5" spans="1:15" ht="15" thickBot="1" x14ac:dyDescent="0.4">
      <c r="A5" s="18" t="s">
        <v>2</v>
      </c>
      <c r="B5" s="92" t="s">
        <v>25</v>
      </c>
      <c r="C5" s="84">
        <v>36</v>
      </c>
      <c r="D5" s="97">
        <v>14</v>
      </c>
      <c r="E5" s="97">
        <v>38.9</v>
      </c>
      <c r="F5" s="23">
        <v>97</v>
      </c>
      <c r="G5" s="29">
        <v>2326</v>
      </c>
      <c r="H5" s="87" t="s">
        <v>118</v>
      </c>
      <c r="I5" s="84">
        <v>42.9</v>
      </c>
      <c r="K5" t="s">
        <v>2</v>
      </c>
      <c r="L5" s="18" t="s">
        <v>2</v>
      </c>
      <c r="M5" s="23">
        <v>97</v>
      </c>
      <c r="N5" s="120" t="s">
        <v>25</v>
      </c>
      <c r="O5" s="100">
        <v>97</v>
      </c>
    </row>
    <row r="6" spans="1:15" ht="15" thickBot="1" x14ac:dyDescent="0.4">
      <c r="A6" s="7" t="s">
        <v>3</v>
      </c>
      <c r="B6" s="92" t="s">
        <v>26</v>
      </c>
      <c r="C6" s="84">
        <v>54</v>
      </c>
      <c r="D6" s="97">
        <v>31</v>
      </c>
      <c r="E6" s="97">
        <v>57.4</v>
      </c>
      <c r="F6" s="23">
        <v>98</v>
      </c>
      <c r="G6" s="28">
        <v>21892</v>
      </c>
      <c r="H6" s="84" t="s">
        <v>85</v>
      </c>
      <c r="I6" s="84">
        <v>53.5</v>
      </c>
      <c r="K6" t="s">
        <v>3</v>
      </c>
      <c r="L6" s="7" t="s">
        <v>3</v>
      </c>
      <c r="M6" s="23">
        <v>98</v>
      </c>
      <c r="N6" s="120" t="s">
        <v>26</v>
      </c>
      <c r="O6" s="100">
        <v>54</v>
      </c>
    </row>
    <row r="7" spans="1:15" ht="15" thickBot="1" x14ac:dyDescent="0.4">
      <c r="A7" s="25" t="s">
        <v>4</v>
      </c>
      <c r="B7" s="93" t="s">
        <v>47</v>
      </c>
      <c r="C7" s="84">
        <v>113</v>
      </c>
      <c r="D7" s="97">
        <v>41</v>
      </c>
      <c r="E7" s="97">
        <v>36.299999999999997</v>
      </c>
      <c r="F7" s="23">
        <v>109</v>
      </c>
      <c r="G7" s="29">
        <v>67976</v>
      </c>
      <c r="H7" s="84" t="s">
        <v>86</v>
      </c>
      <c r="I7" s="84">
        <v>33.9</v>
      </c>
      <c r="K7" t="s">
        <v>4</v>
      </c>
      <c r="L7" s="25" t="s">
        <v>4</v>
      </c>
      <c r="M7" s="23">
        <v>109</v>
      </c>
      <c r="N7" s="120" t="s">
        <v>564</v>
      </c>
      <c r="O7" s="100">
        <v>109</v>
      </c>
    </row>
    <row r="8" spans="1:15" ht="15" thickBot="1" x14ac:dyDescent="0.4">
      <c r="A8" s="7" t="s">
        <v>48</v>
      </c>
      <c r="B8" s="92" t="s">
        <v>48</v>
      </c>
      <c r="C8" s="84">
        <v>53</v>
      </c>
      <c r="D8" s="97">
        <v>18</v>
      </c>
      <c r="E8" s="97">
        <v>34</v>
      </c>
      <c r="F8" s="23">
        <v>148</v>
      </c>
      <c r="G8" s="28">
        <v>6814</v>
      </c>
      <c r="H8" s="88" t="s">
        <v>119</v>
      </c>
      <c r="I8" s="84">
        <v>44.4</v>
      </c>
      <c r="K8" t="s">
        <v>48</v>
      </c>
      <c r="L8" s="7" t="s">
        <v>48</v>
      </c>
      <c r="M8" s="23">
        <v>148</v>
      </c>
      <c r="N8" s="120" t="s">
        <v>565</v>
      </c>
      <c r="O8" s="100">
        <v>148</v>
      </c>
    </row>
    <row r="9" spans="1:15" ht="15" thickBot="1" x14ac:dyDescent="0.4">
      <c r="A9" s="18" t="s">
        <v>5</v>
      </c>
      <c r="B9" s="93" t="s">
        <v>49</v>
      </c>
      <c r="C9" s="84">
        <v>133</v>
      </c>
      <c r="D9" s="97">
        <v>59</v>
      </c>
      <c r="E9" s="97">
        <v>44.4</v>
      </c>
      <c r="F9" s="23">
        <v>179</v>
      </c>
      <c r="G9" s="29">
        <v>135780</v>
      </c>
      <c r="H9" s="84" t="s">
        <v>87</v>
      </c>
      <c r="I9" s="84">
        <v>49.3</v>
      </c>
      <c r="K9" t="s">
        <v>5</v>
      </c>
      <c r="L9" s="18" t="s">
        <v>5</v>
      </c>
      <c r="M9" s="23">
        <v>179</v>
      </c>
      <c r="N9" s="120" t="s">
        <v>49</v>
      </c>
      <c r="O9" s="100">
        <v>179</v>
      </c>
    </row>
    <row r="10" spans="1:15" ht="15" thickBot="1" x14ac:dyDescent="0.4">
      <c r="A10" s="7" t="s">
        <v>50</v>
      </c>
      <c r="B10" s="92" t="s">
        <v>50</v>
      </c>
      <c r="C10" s="84">
        <v>65</v>
      </c>
      <c r="D10" s="97">
        <v>25</v>
      </c>
      <c r="E10" s="97">
        <v>38.5</v>
      </c>
      <c r="F10" s="23">
        <v>214</v>
      </c>
      <c r="G10" s="28">
        <v>11883</v>
      </c>
      <c r="H10" s="89" t="s">
        <v>84</v>
      </c>
      <c r="I10" s="84">
        <v>42.9</v>
      </c>
      <c r="K10" t="s">
        <v>50</v>
      </c>
      <c r="L10" s="7" t="s">
        <v>50</v>
      </c>
      <c r="M10" s="23">
        <v>214</v>
      </c>
      <c r="N10" s="120" t="s">
        <v>50</v>
      </c>
      <c r="O10" s="100">
        <v>214</v>
      </c>
    </row>
    <row r="11" spans="1:15" ht="15" thickBot="1" x14ac:dyDescent="0.4">
      <c r="A11" s="18" t="s">
        <v>51</v>
      </c>
      <c r="B11" s="92" t="s">
        <v>51</v>
      </c>
      <c r="C11" s="84">
        <v>45</v>
      </c>
      <c r="D11" s="97">
        <v>22</v>
      </c>
      <c r="E11" s="97">
        <v>48.9</v>
      </c>
      <c r="F11" s="23">
        <v>239</v>
      </c>
      <c r="G11" s="29">
        <v>2398</v>
      </c>
      <c r="H11" s="84" t="s">
        <v>88</v>
      </c>
      <c r="I11" s="84">
        <v>71.400000000000006</v>
      </c>
      <c r="K11" t="s">
        <v>51</v>
      </c>
      <c r="L11" s="18" t="s">
        <v>51</v>
      </c>
      <c r="M11" s="23">
        <v>239</v>
      </c>
      <c r="N11" s="120" t="s">
        <v>51</v>
      </c>
      <c r="O11" s="100">
        <v>239</v>
      </c>
    </row>
    <row r="12" spans="1:15" ht="15" thickBot="1" x14ac:dyDescent="0.4">
      <c r="A12" s="7" t="s">
        <v>22</v>
      </c>
      <c r="B12" s="92" t="s">
        <v>22</v>
      </c>
      <c r="C12" s="84">
        <v>71</v>
      </c>
      <c r="D12" s="97">
        <v>28</v>
      </c>
      <c r="E12" s="97">
        <v>39.4</v>
      </c>
      <c r="F12" s="23">
        <v>322</v>
      </c>
      <c r="G12" s="28">
        <v>6943</v>
      </c>
      <c r="H12" s="84" t="s">
        <v>89</v>
      </c>
      <c r="I12" s="84">
        <v>51.9</v>
      </c>
      <c r="K12" t="s">
        <v>22</v>
      </c>
      <c r="L12" s="7" t="s">
        <v>22</v>
      </c>
      <c r="M12" s="23">
        <v>322</v>
      </c>
      <c r="N12" s="120" t="s">
        <v>566</v>
      </c>
      <c r="O12" s="100">
        <v>322</v>
      </c>
    </row>
    <row r="13" spans="1:15" ht="15" thickBot="1" x14ac:dyDescent="0.4">
      <c r="A13" s="18" t="s">
        <v>52</v>
      </c>
      <c r="B13" s="92" t="s">
        <v>52</v>
      </c>
      <c r="C13" s="84">
        <v>64</v>
      </c>
      <c r="D13" s="97">
        <v>37</v>
      </c>
      <c r="E13" s="97">
        <v>57.8</v>
      </c>
      <c r="F13" s="23">
        <v>249</v>
      </c>
      <c r="G13" s="29">
        <v>10177</v>
      </c>
      <c r="H13" s="84" t="s">
        <v>90</v>
      </c>
      <c r="I13" s="84">
        <v>65.7</v>
      </c>
      <c r="K13" t="s">
        <v>52</v>
      </c>
      <c r="L13" s="18" t="s">
        <v>52</v>
      </c>
      <c r="M13" s="23">
        <v>249</v>
      </c>
      <c r="N13" s="120" t="s">
        <v>52</v>
      </c>
      <c r="O13" s="100">
        <v>249</v>
      </c>
    </row>
    <row r="14" spans="1:15" ht="15" thickBot="1" x14ac:dyDescent="0.4">
      <c r="A14" s="7" t="s">
        <v>72</v>
      </c>
      <c r="B14" s="92" t="s">
        <v>53</v>
      </c>
      <c r="C14" s="84">
        <v>124</v>
      </c>
      <c r="D14" s="97">
        <v>61</v>
      </c>
      <c r="E14" s="97">
        <v>49.2</v>
      </c>
      <c r="F14" s="23">
        <v>272</v>
      </c>
      <c r="G14" s="28">
        <v>47278</v>
      </c>
      <c r="H14" s="84" t="s">
        <v>91</v>
      </c>
      <c r="I14" s="84">
        <v>58.8</v>
      </c>
      <c r="K14" t="s">
        <v>72</v>
      </c>
      <c r="L14" s="7" t="s">
        <v>72</v>
      </c>
      <c r="M14" s="23">
        <v>272</v>
      </c>
      <c r="N14" s="120" t="s">
        <v>567</v>
      </c>
      <c r="O14" s="100">
        <v>272</v>
      </c>
    </row>
    <row r="15" spans="1:15" ht="15" thickBot="1" x14ac:dyDescent="0.4">
      <c r="A15" s="18" t="s">
        <v>6</v>
      </c>
      <c r="B15" s="92" t="s">
        <v>27</v>
      </c>
      <c r="C15" s="84">
        <v>137</v>
      </c>
      <c r="D15" s="97">
        <v>70</v>
      </c>
      <c r="E15" s="97">
        <v>51.1</v>
      </c>
      <c r="F15" s="23">
        <v>285</v>
      </c>
      <c r="G15" s="27">
        <v>54518</v>
      </c>
      <c r="H15" s="84" t="s">
        <v>92</v>
      </c>
      <c r="I15" s="84">
        <v>49</v>
      </c>
      <c r="K15" t="s">
        <v>6</v>
      </c>
      <c r="L15" s="18" t="s">
        <v>6</v>
      </c>
      <c r="M15" s="23">
        <v>285</v>
      </c>
      <c r="N15" s="120" t="s">
        <v>27</v>
      </c>
      <c r="O15" s="100">
        <v>285</v>
      </c>
    </row>
    <row r="16" spans="1:15" ht="15" thickBot="1" x14ac:dyDescent="0.4">
      <c r="A16" s="7" t="s">
        <v>73</v>
      </c>
      <c r="B16" s="92" t="s">
        <v>54</v>
      </c>
      <c r="C16" s="84">
        <v>91</v>
      </c>
      <c r="D16" s="97">
        <v>36</v>
      </c>
      <c r="E16" s="97">
        <v>39.6</v>
      </c>
      <c r="F16" s="23">
        <v>301</v>
      </c>
      <c r="G16" s="26">
        <v>14188</v>
      </c>
      <c r="H16" s="84" t="s">
        <v>93</v>
      </c>
      <c r="I16" s="84">
        <v>62.8</v>
      </c>
      <c r="K16" t="s">
        <v>73</v>
      </c>
      <c r="L16" s="7" t="s">
        <v>73</v>
      </c>
      <c r="M16" s="23">
        <v>301</v>
      </c>
      <c r="N16" s="120" t="s">
        <v>54</v>
      </c>
      <c r="O16" s="100">
        <v>301</v>
      </c>
    </row>
    <row r="17" spans="1:15" ht="15" thickBot="1" x14ac:dyDescent="0.4">
      <c r="A17" s="18" t="s">
        <v>7</v>
      </c>
      <c r="B17" s="92" t="s">
        <v>28</v>
      </c>
      <c r="C17" s="84">
        <v>85</v>
      </c>
      <c r="D17" s="97">
        <v>31</v>
      </c>
      <c r="E17" s="97">
        <v>36.5</v>
      </c>
      <c r="F17" s="23">
        <v>305</v>
      </c>
      <c r="G17" s="27">
        <v>15823</v>
      </c>
      <c r="H17" s="84" t="s">
        <v>94</v>
      </c>
      <c r="I17" s="84">
        <v>48.8</v>
      </c>
      <c r="K17" t="s">
        <v>7</v>
      </c>
      <c r="L17" s="18" t="s">
        <v>7</v>
      </c>
      <c r="M17" s="23">
        <v>305</v>
      </c>
      <c r="N17" s="120" t="s">
        <v>28</v>
      </c>
      <c r="O17" s="100">
        <v>305</v>
      </c>
    </row>
    <row r="18" spans="1:15" ht="15" thickBot="1" x14ac:dyDescent="0.4">
      <c r="A18" s="7" t="s">
        <v>8</v>
      </c>
      <c r="B18" s="92" t="s">
        <v>55</v>
      </c>
      <c r="C18" s="84">
        <v>114</v>
      </c>
      <c r="D18" s="97">
        <v>40</v>
      </c>
      <c r="E18" s="97">
        <v>35.1</v>
      </c>
      <c r="F18" s="23">
        <v>405</v>
      </c>
      <c r="G18" s="26">
        <v>72794</v>
      </c>
      <c r="H18" s="84" t="s">
        <v>95</v>
      </c>
      <c r="I18" s="84">
        <v>35.6</v>
      </c>
      <c r="K18" t="s">
        <v>8</v>
      </c>
      <c r="L18" s="7" t="s">
        <v>8</v>
      </c>
      <c r="M18" s="23">
        <v>405</v>
      </c>
      <c r="N18" s="120" t="s">
        <v>568</v>
      </c>
      <c r="O18" s="100">
        <v>405</v>
      </c>
    </row>
    <row r="19" spans="1:15" ht="15" thickBot="1" x14ac:dyDescent="0.4">
      <c r="A19" s="18" t="s">
        <v>9</v>
      </c>
      <c r="B19" s="92" t="s">
        <v>29</v>
      </c>
      <c r="C19" s="84">
        <v>86</v>
      </c>
      <c r="D19" s="97">
        <v>40</v>
      </c>
      <c r="E19" s="97">
        <v>46.5</v>
      </c>
      <c r="F19" s="23">
        <v>418</v>
      </c>
      <c r="G19" s="27">
        <v>22233</v>
      </c>
      <c r="H19" s="84" t="s">
        <v>96</v>
      </c>
      <c r="I19" s="84">
        <v>69.8</v>
      </c>
      <c r="K19" t="s">
        <v>9</v>
      </c>
      <c r="L19" s="18" t="s">
        <v>9</v>
      </c>
      <c r="M19" s="23">
        <v>418</v>
      </c>
      <c r="N19" s="120" t="s">
        <v>29</v>
      </c>
      <c r="O19" s="100">
        <v>418</v>
      </c>
    </row>
    <row r="20" spans="1:15" ht="15" thickBot="1" x14ac:dyDescent="0.4">
      <c r="A20" s="7" t="s">
        <v>56</v>
      </c>
      <c r="B20" s="92" t="s">
        <v>56</v>
      </c>
      <c r="C20" s="84">
        <v>67</v>
      </c>
      <c r="D20" s="97">
        <v>38</v>
      </c>
      <c r="E20" s="97">
        <v>56.7</v>
      </c>
      <c r="F20" s="23">
        <v>426</v>
      </c>
      <c r="G20" s="26">
        <v>12335</v>
      </c>
      <c r="H20" s="84" t="s">
        <v>97</v>
      </c>
      <c r="I20" s="84">
        <v>57.1</v>
      </c>
      <c r="K20" t="s">
        <v>56</v>
      </c>
      <c r="L20" s="7" t="s">
        <v>56</v>
      </c>
      <c r="M20" s="23">
        <v>426</v>
      </c>
      <c r="N20" s="120" t="s">
        <v>56</v>
      </c>
      <c r="O20" s="100">
        <v>426</v>
      </c>
    </row>
    <row r="21" spans="1:15" ht="15" thickBot="1" x14ac:dyDescent="0.4">
      <c r="A21" s="18" t="s">
        <v>74</v>
      </c>
      <c r="B21" s="92" t="s">
        <v>57</v>
      </c>
      <c r="C21" s="84">
        <v>136</v>
      </c>
      <c r="D21" s="97">
        <v>72</v>
      </c>
      <c r="E21" s="97">
        <v>52.9</v>
      </c>
      <c r="F21" s="23">
        <v>491</v>
      </c>
      <c r="G21" s="27">
        <v>54605</v>
      </c>
      <c r="H21" s="84" t="s">
        <v>98</v>
      </c>
      <c r="I21" s="84">
        <v>71.2</v>
      </c>
      <c r="K21" t="s">
        <v>74</v>
      </c>
      <c r="L21" s="18" t="s">
        <v>74</v>
      </c>
      <c r="M21" s="23">
        <v>491</v>
      </c>
      <c r="N21" s="120" t="s">
        <v>569</v>
      </c>
      <c r="O21" s="100">
        <v>491</v>
      </c>
    </row>
    <row r="22" spans="1:15" ht="15" thickBot="1" x14ac:dyDescent="0.4">
      <c r="A22" s="7" t="s">
        <v>10</v>
      </c>
      <c r="B22" s="92" t="s">
        <v>30</v>
      </c>
      <c r="C22" s="84">
        <v>97</v>
      </c>
      <c r="D22" s="97">
        <v>47</v>
      </c>
      <c r="E22" s="97">
        <v>48.5</v>
      </c>
      <c r="F22" s="23">
        <v>499</v>
      </c>
      <c r="G22" s="26">
        <v>19287</v>
      </c>
      <c r="H22" s="84" t="s">
        <v>99</v>
      </c>
      <c r="I22" s="84">
        <v>67.400000000000006</v>
      </c>
      <c r="K22" t="s">
        <v>10</v>
      </c>
      <c r="L22" s="7" t="s">
        <v>10</v>
      </c>
      <c r="M22" s="23">
        <v>499</v>
      </c>
      <c r="N22" s="120" t="s">
        <v>570</v>
      </c>
      <c r="O22" s="100">
        <v>499</v>
      </c>
    </row>
    <row r="23" spans="1:15" ht="15" thickBot="1" x14ac:dyDescent="0.4">
      <c r="A23" s="18" t="s">
        <v>58</v>
      </c>
      <c r="B23" s="92" t="s">
        <v>58</v>
      </c>
      <c r="C23" s="84">
        <v>49</v>
      </c>
      <c r="D23" s="97">
        <v>19</v>
      </c>
      <c r="E23" s="97">
        <v>38.799999999999997</v>
      </c>
      <c r="F23" s="23">
        <v>535</v>
      </c>
      <c r="G23" s="27">
        <v>10945</v>
      </c>
      <c r="H23" s="84" t="s">
        <v>100</v>
      </c>
      <c r="I23" s="84">
        <v>45.7</v>
      </c>
      <c r="K23" t="s">
        <v>58</v>
      </c>
      <c r="L23" s="18" t="s">
        <v>58</v>
      </c>
      <c r="M23" s="23">
        <v>535</v>
      </c>
      <c r="N23" s="120" t="s">
        <v>58</v>
      </c>
      <c r="O23" s="100">
        <v>535</v>
      </c>
    </row>
    <row r="24" spans="1:15" ht="15" thickBot="1" x14ac:dyDescent="0.4">
      <c r="A24" s="7" t="s">
        <v>11</v>
      </c>
      <c r="B24" s="92" t="s">
        <v>59</v>
      </c>
      <c r="C24" s="84">
        <v>123</v>
      </c>
      <c r="D24" s="97">
        <v>59</v>
      </c>
      <c r="E24" s="97">
        <v>48</v>
      </c>
      <c r="F24" s="23">
        <v>564</v>
      </c>
      <c r="G24" s="26">
        <v>196291</v>
      </c>
      <c r="H24" s="84" t="s">
        <v>101</v>
      </c>
      <c r="I24" s="84">
        <v>55.2</v>
      </c>
      <c r="K24" t="s">
        <v>11</v>
      </c>
      <c r="L24" s="7" t="s">
        <v>11</v>
      </c>
      <c r="M24" s="23">
        <v>564</v>
      </c>
      <c r="N24" s="120" t="s">
        <v>571</v>
      </c>
      <c r="O24" s="100">
        <v>464</v>
      </c>
    </row>
    <row r="25" spans="1:15" ht="15" thickBot="1" x14ac:dyDescent="0.4">
      <c r="A25" s="18" t="s">
        <v>60</v>
      </c>
      <c r="B25" s="92" t="s">
        <v>60</v>
      </c>
      <c r="C25" s="84">
        <v>35</v>
      </c>
      <c r="D25" s="97">
        <v>21</v>
      </c>
      <c r="E25" s="97">
        <v>60</v>
      </c>
      <c r="F25" s="23">
        <v>578</v>
      </c>
      <c r="G25" s="27">
        <v>3564</v>
      </c>
      <c r="H25" s="84" t="s">
        <v>102</v>
      </c>
      <c r="I25" s="84">
        <v>76.2</v>
      </c>
      <c r="K25" t="s">
        <v>60</v>
      </c>
      <c r="L25" s="18" t="s">
        <v>60</v>
      </c>
      <c r="M25" s="23">
        <v>578</v>
      </c>
      <c r="N25" s="120" t="s">
        <v>60</v>
      </c>
      <c r="O25" s="100">
        <v>578</v>
      </c>
    </row>
    <row r="26" spans="1:15" ht="15" thickBot="1" x14ac:dyDescent="0.4">
      <c r="A26" s="7" t="s">
        <v>61</v>
      </c>
      <c r="B26" s="92" t="s">
        <v>61</v>
      </c>
      <c r="C26" s="84">
        <v>75</v>
      </c>
      <c r="D26" s="97">
        <v>28</v>
      </c>
      <c r="E26" s="97">
        <v>37.299999999999997</v>
      </c>
      <c r="F26" s="23">
        <v>581</v>
      </c>
      <c r="G26" s="26">
        <v>6808</v>
      </c>
      <c r="H26" s="84" t="s">
        <v>103</v>
      </c>
      <c r="I26" s="84">
        <v>48.2</v>
      </c>
      <c r="K26" t="s">
        <v>61</v>
      </c>
      <c r="L26" s="7" t="s">
        <v>61</v>
      </c>
      <c r="M26" s="23">
        <v>581</v>
      </c>
      <c r="N26" s="120" t="s">
        <v>61</v>
      </c>
      <c r="O26" s="100">
        <v>581</v>
      </c>
    </row>
    <row r="27" spans="1:15" ht="15" thickBot="1" x14ac:dyDescent="0.4">
      <c r="A27" s="18" t="s">
        <v>62</v>
      </c>
      <c r="B27" s="92" t="s">
        <v>62</v>
      </c>
      <c r="C27" s="84">
        <v>42</v>
      </c>
      <c r="D27" s="97">
        <v>19</v>
      </c>
      <c r="E27" s="97">
        <v>45.2</v>
      </c>
      <c r="F27" s="23">
        <v>592</v>
      </c>
      <c r="G27" s="27">
        <v>4081</v>
      </c>
      <c r="H27" s="84" t="s">
        <v>104</v>
      </c>
      <c r="I27" s="84">
        <v>59.3</v>
      </c>
      <c r="K27" t="s">
        <v>62</v>
      </c>
      <c r="L27" s="18" t="s">
        <v>62</v>
      </c>
      <c r="M27" s="23">
        <v>592</v>
      </c>
      <c r="N27" s="120" t="s">
        <v>62</v>
      </c>
      <c r="O27" s="100">
        <v>592</v>
      </c>
    </row>
    <row r="28" spans="1:15" ht="15" thickBot="1" x14ac:dyDescent="0.4">
      <c r="A28" s="7" t="s">
        <v>12</v>
      </c>
      <c r="B28" s="92" t="s">
        <v>31</v>
      </c>
      <c r="C28" s="84">
        <v>43</v>
      </c>
      <c r="D28" s="97">
        <v>17</v>
      </c>
      <c r="E28" s="97">
        <v>39.5</v>
      </c>
      <c r="F28" s="23">
        <v>615</v>
      </c>
      <c r="G28" s="26">
        <v>8399</v>
      </c>
      <c r="H28" s="84" t="s">
        <v>84</v>
      </c>
      <c r="I28" s="84">
        <v>42.9</v>
      </c>
      <c r="K28" t="s">
        <v>12</v>
      </c>
      <c r="L28" s="7" t="s">
        <v>12</v>
      </c>
      <c r="M28" s="23">
        <v>615</v>
      </c>
      <c r="N28" s="120" t="s">
        <v>31</v>
      </c>
      <c r="O28" s="100">
        <v>615</v>
      </c>
    </row>
    <row r="29" spans="1:15" ht="15" thickBot="1" x14ac:dyDescent="0.4">
      <c r="A29" s="7" t="s">
        <v>64</v>
      </c>
      <c r="B29" s="92" t="s">
        <v>64</v>
      </c>
      <c r="C29" s="84">
        <v>95</v>
      </c>
      <c r="D29" s="97">
        <v>44</v>
      </c>
      <c r="E29" s="97">
        <v>46.3</v>
      </c>
      <c r="F29" s="23">
        <v>710</v>
      </c>
      <c r="G29" s="27">
        <v>28674</v>
      </c>
      <c r="H29" s="84" t="s">
        <v>105</v>
      </c>
      <c r="I29" s="84">
        <v>76.7</v>
      </c>
      <c r="K29" t="s">
        <v>23</v>
      </c>
      <c r="L29" s="18" t="s">
        <v>23</v>
      </c>
      <c r="M29" s="23">
        <v>710</v>
      </c>
      <c r="N29" s="120" t="s">
        <v>572</v>
      </c>
      <c r="O29" s="100">
        <v>710</v>
      </c>
    </row>
    <row r="30" spans="1:15" ht="15" thickBot="1" x14ac:dyDescent="0.4">
      <c r="A30" s="18" t="s">
        <v>65</v>
      </c>
      <c r="B30" s="92" t="s">
        <v>65</v>
      </c>
      <c r="C30" s="84">
        <v>55</v>
      </c>
      <c r="D30" s="97">
        <v>17</v>
      </c>
      <c r="E30" s="97">
        <v>30.9</v>
      </c>
      <c r="F30" s="23">
        <v>680</v>
      </c>
      <c r="G30" s="26">
        <v>24371</v>
      </c>
      <c r="H30" s="87" t="s">
        <v>120</v>
      </c>
      <c r="I30" s="84">
        <v>33.299999999999997</v>
      </c>
      <c r="K30" t="s">
        <v>64</v>
      </c>
      <c r="L30" s="7" t="s">
        <v>64</v>
      </c>
      <c r="M30" s="23">
        <v>680</v>
      </c>
      <c r="N30" s="120" t="s">
        <v>573</v>
      </c>
      <c r="O30" s="100">
        <v>680</v>
      </c>
    </row>
    <row r="31" spans="1:15" ht="15" thickBot="1" x14ac:dyDescent="0.4">
      <c r="A31" s="18" t="s">
        <v>23</v>
      </c>
      <c r="B31" s="92" t="s">
        <v>63</v>
      </c>
      <c r="C31" s="84">
        <v>111</v>
      </c>
      <c r="D31" s="97">
        <v>43</v>
      </c>
      <c r="E31" s="97">
        <v>38.700000000000003</v>
      </c>
      <c r="F31" s="23">
        <v>686</v>
      </c>
      <c r="G31" s="27">
        <v>3374</v>
      </c>
      <c r="H31" s="84" t="s">
        <v>106</v>
      </c>
      <c r="I31" s="84">
        <v>46.5</v>
      </c>
      <c r="K31" t="s">
        <v>65</v>
      </c>
      <c r="L31" s="18" t="s">
        <v>65</v>
      </c>
      <c r="M31" s="23">
        <v>686</v>
      </c>
      <c r="N31" s="120" t="s">
        <v>65</v>
      </c>
      <c r="O31" s="100">
        <v>686</v>
      </c>
    </row>
    <row r="32" spans="1:15" ht="15" thickBot="1" x14ac:dyDescent="0.4">
      <c r="A32" s="7" t="s">
        <v>13</v>
      </c>
      <c r="B32" s="92" t="s">
        <v>66</v>
      </c>
      <c r="C32" s="84">
        <v>120</v>
      </c>
      <c r="D32" s="97">
        <v>55</v>
      </c>
      <c r="E32" s="97">
        <v>45.8</v>
      </c>
      <c r="F32" s="23">
        <v>734</v>
      </c>
      <c r="G32" s="26">
        <v>54238</v>
      </c>
      <c r="H32" s="84" t="s">
        <v>107</v>
      </c>
      <c r="I32" s="84">
        <v>62.7</v>
      </c>
      <c r="K32" t="s">
        <v>13</v>
      </c>
      <c r="L32" s="7" t="s">
        <v>13</v>
      </c>
      <c r="M32" s="23">
        <v>734</v>
      </c>
      <c r="N32" s="120" t="s">
        <v>66</v>
      </c>
      <c r="O32" s="100">
        <v>734</v>
      </c>
    </row>
    <row r="33" spans="1:15" ht="15" thickBot="1" x14ac:dyDescent="0.4">
      <c r="A33" s="18" t="s">
        <v>14</v>
      </c>
      <c r="B33" s="92" t="s">
        <v>32</v>
      </c>
      <c r="C33" s="84">
        <v>75</v>
      </c>
      <c r="D33" s="97">
        <v>36</v>
      </c>
      <c r="E33" s="97">
        <v>48</v>
      </c>
      <c r="F33" s="23">
        <v>753</v>
      </c>
      <c r="G33" s="27">
        <v>19034</v>
      </c>
      <c r="H33" s="84" t="s">
        <v>93</v>
      </c>
      <c r="I33" s="84">
        <v>62.8</v>
      </c>
      <c r="K33" t="s">
        <v>14</v>
      </c>
      <c r="L33" s="18" t="s">
        <v>14</v>
      </c>
      <c r="M33" s="23">
        <v>753</v>
      </c>
      <c r="N33" s="120" t="s">
        <v>574</v>
      </c>
      <c r="O33" s="100">
        <v>753</v>
      </c>
    </row>
    <row r="34" spans="1:15" ht="15" thickBot="1" x14ac:dyDescent="0.4">
      <c r="A34" s="7" t="s">
        <v>67</v>
      </c>
      <c r="B34" s="92" t="s">
        <v>67</v>
      </c>
      <c r="C34" s="84">
        <v>55</v>
      </c>
      <c r="D34" s="97">
        <v>26</v>
      </c>
      <c r="E34" s="97">
        <v>47.3</v>
      </c>
      <c r="F34" s="23">
        <v>783</v>
      </c>
      <c r="G34" s="26">
        <v>4539</v>
      </c>
      <c r="H34" s="84" t="s">
        <v>108</v>
      </c>
      <c r="I34" s="84">
        <v>66.7</v>
      </c>
      <c r="K34" t="s">
        <v>67</v>
      </c>
      <c r="L34" s="7" t="s">
        <v>67</v>
      </c>
      <c r="M34" s="23">
        <v>783</v>
      </c>
      <c r="N34" s="120" t="s">
        <v>67</v>
      </c>
      <c r="O34" s="100">
        <v>783</v>
      </c>
    </row>
    <row r="35" spans="1:15" ht="15" thickBot="1" x14ac:dyDescent="0.4">
      <c r="A35" s="18" t="s">
        <v>68</v>
      </c>
      <c r="B35" s="92" t="s">
        <v>68</v>
      </c>
      <c r="C35" s="84">
        <v>142</v>
      </c>
      <c r="D35" s="97">
        <v>52</v>
      </c>
      <c r="E35" s="97">
        <v>36.6</v>
      </c>
      <c r="F35" s="23">
        <v>837</v>
      </c>
      <c r="G35" s="27">
        <v>223004</v>
      </c>
      <c r="H35" s="84" t="s">
        <v>109</v>
      </c>
      <c r="I35" s="84">
        <v>52.2</v>
      </c>
      <c r="K35" t="s">
        <v>68</v>
      </c>
      <c r="L35" s="18" t="s">
        <v>68</v>
      </c>
      <c r="M35" s="23">
        <v>837</v>
      </c>
      <c r="N35" s="120" t="s">
        <v>575</v>
      </c>
      <c r="O35" s="100">
        <v>837</v>
      </c>
    </row>
    <row r="36" spans="1:15" ht="15" thickBot="1" x14ac:dyDescent="0.4">
      <c r="A36" s="7" t="s">
        <v>69</v>
      </c>
      <c r="B36" s="92" t="s">
        <v>69</v>
      </c>
      <c r="C36" s="84">
        <v>95</v>
      </c>
      <c r="D36" s="97">
        <v>39</v>
      </c>
      <c r="E36" s="97">
        <v>41.1</v>
      </c>
      <c r="F36" s="23">
        <v>851</v>
      </c>
      <c r="G36" s="26">
        <v>22322</v>
      </c>
      <c r="H36" s="84" t="s">
        <v>85</v>
      </c>
      <c r="I36" s="84">
        <v>53.5</v>
      </c>
      <c r="K36" t="s">
        <v>69</v>
      </c>
      <c r="L36" s="7" t="s">
        <v>69</v>
      </c>
      <c r="M36" s="23">
        <v>851</v>
      </c>
      <c r="N36" s="120" t="s">
        <v>576</v>
      </c>
      <c r="O36" s="100">
        <v>851</v>
      </c>
    </row>
    <row r="37" spans="1:15" ht="15" thickBot="1" x14ac:dyDescent="0.4">
      <c r="A37" s="18" t="s">
        <v>15</v>
      </c>
      <c r="B37" s="92" t="s">
        <v>33</v>
      </c>
      <c r="C37" s="84">
        <v>155</v>
      </c>
      <c r="D37" s="97">
        <v>65</v>
      </c>
      <c r="E37" s="97">
        <v>41.9</v>
      </c>
      <c r="F37" s="23">
        <v>853</v>
      </c>
      <c r="G37" s="27">
        <v>183824</v>
      </c>
      <c r="H37" s="84" t="s">
        <v>110</v>
      </c>
      <c r="I37" s="84">
        <v>38.799999999999997</v>
      </c>
      <c r="K37" t="s">
        <v>15</v>
      </c>
      <c r="L37" s="18" t="s">
        <v>15</v>
      </c>
      <c r="M37" s="23">
        <v>853</v>
      </c>
      <c r="N37" s="120" t="s">
        <v>577</v>
      </c>
      <c r="O37" s="100">
        <v>853</v>
      </c>
    </row>
    <row r="38" spans="1:15" ht="15" thickBot="1" x14ac:dyDescent="0.4">
      <c r="A38" s="7" t="s">
        <v>16</v>
      </c>
      <c r="B38" s="92" t="s">
        <v>70</v>
      </c>
      <c r="C38" s="84">
        <v>163</v>
      </c>
      <c r="D38" s="97">
        <v>57</v>
      </c>
      <c r="E38" s="97">
        <v>35</v>
      </c>
      <c r="F38" s="23">
        <v>905</v>
      </c>
      <c r="G38" s="26">
        <v>66965</v>
      </c>
      <c r="H38" s="84" t="s">
        <v>111</v>
      </c>
      <c r="I38" s="84">
        <v>46.3</v>
      </c>
      <c r="K38" t="s">
        <v>16</v>
      </c>
      <c r="L38" s="7" t="s">
        <v>16</v>
      </c>
      <c r="M38" s="23">
        <v>905</v>
      </c>
      <c r="N38" s="120" t="s">
        <v>578</v>
      </c>
      <c r="O38" s="100">
        <v>905</v>
      </c>
    </row>
    <row r="39" spans="1:15" ht="15" thickBot="1" x14ac:dyDescent="0.4">
      <c r="A39" s="18" t="s">
        <v>71</v>
      </c>
      <c r="B39" s="92" t="s">
        <v>71</v>
      </c>
      <c r="C39" s="84">
        <v>149</v>
      </c>
      <c r="D39" s="97">
        <v>89</v>
      </c>
      <c r="E39" s="97">
        <v>59.7</v>
      </c>
      <c r="F39" s="23">
        <v>92</v>
      </c>
      <c r="G39" s="27">
        <v>210803</v>
      </c>
      <c r="H39" s="84" t="s">
        <v>112</v>
      </c>
      <c r="I39" s="84">
        <v>80.599999999999994</v>
      </c>
      <c r="K39" t="s">
        <v>71</v>
      </c>
      <c r="L39" s="18" t="s">
        <v>71</v>
      </c>
      <c r="M39" s="23">
        <v>92</v>
      </c>
      <c r="N39" s="120" t="s">
        <v>579</v>
      </c>
      <c r="O39" s="100">
        <v>92</v>
      </c>
    </row>
    <row r="40" spans="1:15" ht="15" thickBot="1" x14ac:dyDescent="0.4">
      <c r="A40" s="7" t="s">
        <v>17</v>
      </c>
      <c r="B40" s="92" t="s">
        <v>34</v>
      </c>
      <c r="C40" s="84">
        <v>47</v>
      </c>
      <c r="D40" s="97">
        <v>16</v>
      </c>
      <c r="E40" s="97">
        <v>34</v>
      </c>
      <c r="F40" s="23">
        <v>934</v>
      </c>
      <c r="G40" s="26">
        <v>3106</v>
      </c>
      <c r="H40" s="87" t="s">
        <v>121</v>
      </c>
      <c r="I40" s="84">
        <v>28.6</v>
      </c>
      <c r="K40" t="s">
        <v>17</v>
      </c>
      <c r="L40" s="7" t="s">
        <v>17</v>
      </c>
      <c r="M40" s="23">
        <v>934</v>
      </c>
      <c r="N40" s="120" t="s">
        <v>34</v>
      </c>
      <c r="O40" s="100">
        <v>934</v>
      </c>
    </row>
    <row r="41" spans="1:15" ht="15" thickBot="1" x14ac:dyDescent="0.4">
      <c r="A41" s="18" t="s">
        <v>24</v>
      </c>
      <c r="B41" s="92" t="s">
        <v>24</v>
      </c>
      <c r="C41" s="84">
        <v>93</v>
      </c>
      <c r="D41" s="97">
        <v>31</v>
      </c>
      <c r="E41" s="97">
        <v>33.299999999999997</v>
      </c>
      <c r="F41" s="23">
        <v>946</v>
      </c>
      <c r="G41" s="27">
        <v>6705</v>
      </c>
      <c r="H41" s="84" t="s">
        <v>113</v>
      </c>
      <c r="I41" s="84">
        <v>55.6</v>
      </c>
      <c r="K41" t="s">
        <v>24</v>
      </c>
      <c r="L41" s="18" t="s">
        <v>24</v>
      </c>
      <c r="M41" s="23">
        <v>946</v>
      </c>
      <c r="N41" s="120" t="s">
        <v>580</v>
      </c>
      <c r="O41" s="100">
        <v>946</v>
      </c>
    </row>
    <row r="42" spans="1:15" ht="15" thickBot="1" x14ac:dyDescent="0.4">
      <c r="B42" s="21" t="s">
        <v>35</v>
      </c>
      <c r="C42" s="71">
        <v>3652</v>
      </c>
      <c r="D42" s="70">
        <v>1578</v>
      </c>
      <c r="E42" s="69">
        <v>43.2</v>
      </c>
      <c r="H42" s="85"/>
    </row>
    <row r="43" spans="1:15" ht="15" thickBot="1" x14ac:dyDescent="0.4"/>
    <row r="44" spans="1:15" ht="15" thickBot="1" x14ac:dyDescent="0.4">
      <c r="B44" s="94" t="s">
        <v>78</v>
      </c>
      <c r="C44" s="95">
        <v>31</v>
      </c>
      <c r="D44" s="95">
        <v>10</v>
      </c>
      <c r="E44" s="95">
        <v>32.299999999999997</v>
      </c>
      <c r="F44" s="96"/>
      <c r="H44" t="s">
        <v>114</v>
      </c>
      <c r="I44" s="95">
        <v>38.1</v>
      </c>
    </row>
    <row r="45" spans="1:15" ht="15" thickBot="1" x14ac:dyDescent="0.4">
      <c r="B45" s="94" t="s">
        <v>115</v>
      </c>
      <c r="C45" s="95">
        <v>42</v>
      </c>
      <c r="D45" s="95">
        <v>6</v>
      </c>
      <c r="E45" s="95">
        <v>14.3</v>
      </c>
      <c r="F45" s="96"/>
      <c r="H45" t="s">
        <v>116</v>
      </c>
      <c r="I45" s="95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4" workbookViewId="0">
      <selection activeCell="A44" sqref="A44:A4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125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8.6666666666666661</v>
      </c>
      <c r="E2" s="90">
        <v>12</v>
      </c>
    </row>
    <row r="3" spans="1:5" x14ac:dyDescent="0.35">
      <c r="A3" t="s">
        <v>45</v>
      </c>
      <c r="B3" s="100">
        <v>6</v>
      </c>
      <c r="C3" s="100">
        <v>49</v>
      </c>
      <c r="D3" s="90">
        <v>9.4605263157894743</v>
      </c>
      <c r="E3" s="90">
        <v>79</v>
      </c>
    </row>
    <row r="4" spans="1:5" x14ac:dyDescent="0.35">
      <c r="A4" t="s">
        <v>46</v>
      </c>
      <c r="B4" s="100">
        <v>2</v>
      </c>
      <c r="C4" s="100">
        <v>82</v>
      </c>
      <c r="D4" s="90">
        <v>6.8</v>
      </c>
      <c r="E4" s="90">
        <v>16</v>
      </c>
    </row>
    <row r="5" spans="1:5" x14ac:dyDescent="0.35">
      <c r="A5" t="s">
        <v>2</v>
      </c>
      <c r="B5" s="100">
        <v>1</v>
      </c>
      <c r="C5" s="100">
        <v>97</v>
      </c>
      <c r="D5" s="90">
        <v>6</v>
      </c>
      <c r="E5" s="90">
        <v>9</v>
      </c>
    </row>
    <row r="6" spans="1:5" x14ac:dyDescent="0.35">
      <c r="A6" t="s">
        <v>3</v>
      </c>
      <c r="B6" s="100">
        <v>4</v>
      </c>
      <c r="C6" s="100">
        <v>54</v>
      </c>
      <c r="D6" s="90">
        <v>7.36</v>
      </c>
      <c r="E6" s="90">
        <v>25</v>
      </c>
    </row>
    <row r="7" spans="1:5" x14ac:dyDescent="0.35">
      <c r="A7" t="s">
        <v>4</v>
      </c>
      <c r="B7" s="100">
        <v>5</v>
      </c>
      <c r="C7" s="100">
        <v>109</v>
      </c>
      <c r="D7" s="90">
        <v>10.470588235294118</v>
      </c>
      <c r="E7" s="90">
        <v>35</v>
      </c>
    </row>
    <row r="8" spans="1:5" x14ac:dyDescent="0.35">
      <c r="A8" t="s">
        <v>48</v>
      </c>
      <c r="B8" s="100">
        <v>2</v>
      </c>
      <c r="C8" s="100">
        <v>148</v>
      </c>
      <c r="D8" s="90">
        <v>10.692307692307692</v>
      </c>
      <c r="E8" s="90">
        <v>14</v>
      </c>
    </row>
    <row r="9" spans="1:5" x14ac:dyDescent="0.35">
      <c r="A9" t="s">
        <v>5</v>
      </c>
      <c r="B9" s="100">
        <v>6</v>
      </c>
      <c r="C9" s="100">
        <v>179</v>
      </c>
      <c r="D9" s="90">
        <v>11.666666666666666</v>
      </c>
      <c r="E9" s="90">
        <v>48</v>
      </c>
    </row>
    <row r="10" spans="1:5" x14ac:dyDescent="0.35">
      <c r="A10" t="s">
        <v>50</v>
      </c>
      <c r="B10" s="100">
        <v>3</v>
      </c>
      <c r="C10" s="100">
        <v>214</v>
      </c>
      <c r="D10" s="90">
        <v>6.8095238095238093</v>
      </c>
      <c r="E10" s="90">
        <v>21</v>
      </c>
    </row>
    <row r="11" spans="1:5" x14ac:dyDescent="0.35">
      <c r="A11" t="s">
        <v>51</v>
      </c>
      <c r="B11" s="100">
        <v>1</v>
      </c>
      <c r="C11" s="100">
        <v>239</v>
      </c>
      <c r="D11" s="90">
        <v>4.5882352941176467</v>
      </c>
      <c r="E11" s="90">
        <v>17</v>
      </c>
    </row>
    <row r="12" spans="1:5" x14ac:dyDescent="0.35">
      <c r="A12" t="s">
        <v>22</v>
      </c>
      <c r="B12" s="100">
        <v>2</v>
      </c>
      <c r="C12" s="100">
        <v>322</v>
      </c>
      <c r="D12" s="90">
        <v>6.0434782608695654</v>
      </c>
      <c r="E12" s="90">
        <v>23</v>
      </c>
    </row>
    <row r="13" spans="1:5" x14ac:dyDescent="0.35">
      <c r="A13" t="s">
        <v>52</v>
      </c>
      <c r="B13" s="100">
        <v>3</v>
      </c>
      <c r="C13" s="100">
        <v>249</v>
      </c>
      <c r="D13" s="90">
        <v>9.4848484848484844</v>
      </c>
      <c r="E13" s="90">
        <v>34</v>
      </c>
    </row>
    <row r="14" spans="1:5" x14ac:dyDescent="0.35">
      <c r="A14" t="s">
        <v>72</v>
      </c>
      <c r="B14" s="100">
        <v>4</v>
      </c>
      <c r="C14" s="100">
        <v>272</v>
      </c>
      <c r="D14" s="90">
        <v>8.3000000000000007</v>
      </c>
      <c r="E14" s="90">
        <v>53</v>
      </c>
    </row>
    <row r="15" spans="1:5" x14ac:dyDescent="0.35">
      <c r="A15" t="s">
        <v>6</v>
      </c>
      <c r="B15" s="100">
        <v>5</v>
      </c>
      <c r="C15" s="100">
        <v>285</v>
      </c>
      <c r="D15" s="90">
        <v>7.1851851851851851</v>
      </c>
      <c r="E15" s="90">
        <v>58</v>
      </c>
    </row>
    <row r="16" spans="1:5" x14ac:dyDescent="0.35">
      <c r="A16" t="s">
        <v>73</v>
      </c>
      <c r="B16" s="100">
        <v>3</v>
      </c>
      <c r="C16" s="100">
        <v>301</v>
      </c>
      <c r="D16" s="90">
        <v>6.4666666666666668</v>
      </c>
      <c r="E16" s="90">
        <v>30</v>
      </c>
    </row>
    <row r="17" spans="1:5" x14ac:dyDescent="0.35">
      <c r="A17" t="s">
        <v>7</v>
      </c>
      <c r="B17" s="100">
        <v>3</v>
      </c>
      <c r="C17" s="100">
        <v>305</v>
      </c>
      <c r="D17" s="90">
        <v>6.6538461538461542</v>
      </c>
      <c r="E17" s="90">
        <v>27</v>
      </c>
    </row>
    <row r="18" spans="1:5" x14ac:dyDescent="0.35">
      <c r="A18" t="s">
        <v>8</v>
      </c>
      <c r="B18" s="100">
        <v>5</v>
      </c>
      <c r="C18" s="100">
        <v>405</v>
      </c>
      <c r="D18" s="90">
        <v>6.916666666666667</v>
      </c>
      <c r="E18" s="90">
        <v>36</v>
      </c>
    </row>
    <row r="19" spans="1:5" x14ac:dyDescent="0.35">
      <c r="A19" t="s">
        <v>9</v>
      </c>
      <c r="B19" s="100">
        <v>4</v>
      </c>
      <c r="C19" s="100">
        <v>418</v>
      </c>
      <c r="D19" s="90">
        <v>7.416666666666667</v>
      </c>
      <c r="E19" s="90">
        <v>36</v>
      </c>
    </row>
    <row r="20" spans="1:5" x14ac:dyDescent="0.35">
      <c r="A20" t="s">
        <v>56</v>
      </c>
      <c r="B20" s="100">
        <v>3</v>
      </c>
      <c r="C20" s="100">
        <v>426</v>
      </c>
      <c r="D20" s="90">
        <v>5.5652173913043477</v>
      </c>
      <c r="E20" s="90">
        <v>25</v>
      </c>
    </row>
    <row r="21" spans="1:5" x14ac:dyDescent="0.35">
      <c r="A21" t="s">
        <v>74</v>
      </c>
      <c r="B21" s="100">
        <v>5</v>
      </c>
      <c r="C21" s="100">
        <v>491</v>
      </c>
      <c r="D21" s="90">
        <v>7.4925373134328357</v>
      </c>
      <c r="E21" s="90">
        <v>68</v>
      </c>
    </row>
    <row r="22" spans="1:5" x14ac:dyDescent="0.35">
      <c r="A22" t="s">
        <v>10</v>
      </c>
      <c r="B22" s="100">
        <v>2.9767441860465116</v>
      </c>
      <c r="C22" s="100">
        <v>499</v>
      </c>
      <c r="D22" s="90">
        <v>7.6428571428571432</v>
      </c>
      <c r="E22" s="90">
        <v>43</v>
      </c>
    </row>
    <row r="23" spans="1:5" x14ac:dyDescent="0.35">
      <c r="A23" t="s">
        <v>58</v>
      </c>
      <c r="B23" s="100">
        <v>3</v>
      </c>
      <c r="C23" s="100">
        <v>535</v>
      </c>
      <c r="D23" s="90">
        <v>8.2777777777777786</v>
      </c>
      <c r="E23" s="90">
        <v>18</v>
      </c>
    </row>
    <row r="24" spans="1:5" x14ac:dyDescent="0.35">
      <c r="A24" t="s">
        <v>11</v>
      </c>
      <c r="B24" s="100">
        <v>6</v>
      </c>
      <c r="C24" s="100">
        <v>464</v>
      </c>
      <c r="D24" s="90">
        <v>10.244897959183673</v>
      </c>
      <c r="E24" s="90">
        <v>51</v>
      </c>
    </row>
    <row r="25" spans="1:5" x14ac:dyDescent="0.35">
      <c r="A25" t="s">
        <v>60</v>
      </c>
      <c r="B25" s="100">
        <v>1</v>
      </c>
      <c r="C25" s="100">
        <v>578</v>
      </c>
      <c r="D25" s="90">
        <v>5.4705882352941178</v>
      </c>
      <c r="E25" s="90">
        <v>17</v>
      </c>
    </row>
    <row r="26" spans="1:5" x14ac:dyDescent="0.35">
      <c r="A26" t="s">
        <v>61</v>
      </c>
      <c r="B26" s="100">
        <v>2</v>
      </c>
      <c r="C26" s="100">
        <v>581</v>
      </c>
      <c r="D26" s="90">
        <v>5.32</v>
      </c>
      <c r="E26" s="90">
        <v>27</v>
      </c>
    </row>
    <row r="27" spans="1:5" x14ac:dyDescent="0.35">
      <c r="A27" t="s">
        <v>62</v>
      </c>
      <c r="B27" s="100">
        <v>1</v>
      </c>
      <c r="C27" s="100">
        <v>592</v>
      </c>
      <c r="D27" s="90">
        <v>7.9411764705882355</v>
      </c>
      <c r="E27" s="90">
        <v>17</v>
      </c>
    </row>
    <row r="28" spans="1:5" x14ac:dyDescent="0.35">
      <c r="A28" t="s">
        <v>12</v>
      </c>
      <c r="B28" s="100">
        <v>2</v>
      </c>
      <c r="C28" s="100">
        <v>615</v>
      </c>
      <c r="D28" s="90">
        <v>7.7333333333333334</v>
      </c>
      <c r="E28" s="90">
        <v>15</v>
      </c>
    </row>
    <row r="29" spans="1:5" x14ac:dyDescent="0.35">
      <c r="A29" t="s">
        <v>23</v>
      </c>
      <c r="B29" s="100">
        <v>4</v>
      </c>
      <c r="C29" s="100">
        <v>710</v>
      </c>
      <c r="D29" s="90">
        <v>6.4571428571428573</v>
      </c>
      <c r="E29" s="90">
        <v>36</v>
      </c>
    </row>
    <row r="30" spans="1:5" x14ac:dyDescent="0.35">
      <c r="A30" t="s">
        <v>64</v>
      </c>
      <c r="B30" s="100">
        <v>4</v>
      </c>
      <c r="C30" s="100">
        <v>680</v>
      </c>
      <c r="D30" s="90">
        <v>6.5789473684210522</v>
      </c>
      <c r="E30" s="90">
        <v>38</v>
      </c>
    </row>
    <row r="31" spans="1:5" x14ac:dyDescent="0.35">
      <c r="A31" t="s">
        <v>65</v>
      </c>
      <c r="B31" s="100">
        <v>1</v>
      </c>
      <c r="C31" s="100">
        <v>686</v>
      </c>
      <c r="D31" s="90">
        <v>5.5</v>
      </c>
      <c r="E31" s="90">
        <v>12</v>
      </c>
    </row>
    <row r="32" spans="1:5" x14ac:dyDescent="0.35">
      <c r="A32" t="s">
        <v>13</v>
      </c>
      <c r="B32" s="100">
        <v>5</v>
      </c>
      <c r="C32" s="100">
        <v>734</v>
      </c>
      <c r="D32" s="90">
        <v>10.617021276595745</v>
      </c>
      <c r="E32" s="90">
        <v>48</v>
      </c>
    </row>
    <row r="33" spans="1:5" x14ac:dyDescent="0.35">
      <c r="A33" t="s">
        <v>14</v>
      </c>
      <c r="B33" s="100">
        <v>3</v>
      </c>
      <c r="C33" s="100">
        <v>753</v>
      </c>
      <c r="D33" s="90">
        <v>7.1851851851851851</v>
      </c>
      <c r="E33" s="90">
        <v>30</v>
      </c>
    </row>
    <row r="34" spans="1:5" x14ac:dyDescent="0.35">
      <c r="A34" t="s">
        <v>67</v>
      </c>
      <c r="B34" s="100">
        <v>1</v>
      </c>
      <c r="C34" s="100">
        <v>783</v>
      </c>
      <c r="D34" s="90">
        <v>5.5909090909090908</v>
      </c>
      <c r="E34" s="90">
        <v>22</v>
      </c>
    </row>
    <row r="35" spans="1:5" x14ac:dyDescent="0.35">
      <c r="A35" t="s">
        <v>68</v>
      </c>
      <c r="B35" s="100">
        <v>6</v>
      </c>
      <c r="C35" s="100">
        <v>837</v>
      </c>
      <c r="D35" s="90">
        <v>10.042553191489361</v>
      </c>
      <c r="E35" s="90">
        <v>48</v>
      </c>
    </row>
    <row r="36" spans="1:5" x14ac:dyDescent="0.35">
      <c r="A36" t="s">
        <v>69</v>
      </c>
      <c r="B36" s="100">
        <v>4</v>
      </c>
      <c r="C36" s="100">
        <v>851</v>
      </c>
      <c r="D36" s="90">
        <v>9.6785714285714288</v>
      </c>
      <c r="E36" s="90">
        <v>29</v>
      </c>
    </row>
    <row r="37" spans="1:5" x14ac:dyDescent="0.35">
      <c r="A37" t="s">
        <v>15</v>
      </c>
      <c r="B37" s="100">
        <v>6</v>
      </c>
      <c r="C37" s="100">
        <v>853</v>
      </c>
      <c r="D37" s="90">
        <v>8.6851851851851851</v>
      </c>
      <c r="E37" s="90">
        <v>57</v>
      </c>
    </row>
    <row r="38" spans="1:5" x14ac:dyDescent="0.35">
      <c r="A38" t="s">
        <v>16</v>
      </c>
      <c r="B38" s="100">
        <v>5</v>
      </c>
      <c r="C38" s="100">
        <v>905</v>
      </c>
      <c r="D38" s="90">
        <v>8.3461538461538467</v>
      </c>
      <c r="E38" s="90">
        <v>53</v>
      </c>
    </row>
    <row r="39" spans="1:5" x14ac:dyDescent="0.35">
      <c r="A39" t="s">
        <v>71</v>
      </c>
      <c r="B39" s="100">
        <v>6</v>
      </c>
      <c r="C39" s="100">
        <v>92</v>
      </c>
      <c r="D39" s="90">
        <v>9.962025316455696</v>
      </c>
      <c r="E39" s="90">
        <v>79</v>
      </c>
    </row>
    <row r="40" spans="1:5" x14ac:dyDescent="0.35">
      <c r="A40" t="s">
        <v>17</v>
      </c>
      <c r="B40" s="100">
        <v>1</v>
      </c>
      <c r="C40" s="100">
        <v>934</v>
      </c>
      <c r="D40" s="90">
        <v>5.2857142857142856</v>
      </c>
      <c r="E40" s="90">
        <v>15</v>
      </c>
    </row>
    <row r="41" spans="1:5" x14ac:dyDescent="0.35">
      <c r="A41" t="s">
        <v>24</v>
      </c>
      <c r="B41" s="100">
        <v>2</v>
      </c>
      <c r="C41" s="100">
        <v>946</v>
      </c>
      <c r="D41" s="90">
        <v>5.7692307692307692</v>
      </c>
      <c r="E41" s="90">
        <v>26</v>
      </c>
    </row>
    <row r="42" spans="1:5" x14ac:dyDescent="0.35">
      <c r="B42" s="100"/>
      <c r="C42" s="100"/>
    </row>
    <row r="43" spans="1:5" x14ac:dyDescent="0.35">
      <c r="A43" t="s">
        <v>126</v>
      </c>
      <c r="D43" t="s">
        <v>125</v>
      </c>
      <c r="E43" t="s">
        <v>79</v>
      </c>
    </row>
    <row r="44" spans="1:5" x14ac:dyDescent="0.35">
      <c r="A44" t="s">
        <v>130</v>
      </c>
      <c r="D44" s="90">
        <v>6.0583333333333336</v>
      </c>
      <c r="E44" s="90">
        <v>121</v>
      </c>
    </row>
    <row r="45" spans="1:5" x14ac:dyDescent="0.35">
      <c r="A45" t="s">
        <v>131</v>
      </c>
      <c r="D45" s="90">
        <v>6.6949152542372881</v>
      </c>
      <c r="E45" s="90">
        <v>122</v>
      </c>
    </row>
    <row r="46" spans="1:5" x14ac:dyDescent="0.35">
      <c r="A46" t="s">
        <v>132</v>
      </c>
      <c r="D46" s="90">
        <v>7.3242009132420094</v>
      </c>
      <c r="E46" s="90">
        <v>227</v>
      </c>
    </row>
    <row r="47" spans="1:5" x14ac:dyDescent="0.35">
      <c r="A47" t="s">
        <v>133</v>
      </c>
      <c r="D47" s="90">
        <v>7.6084905660377355</v>
      </c>
      <c r="E47" s="90">
        <v>217</v>
      </c>
    </row>
    <row r="48" spans="1:5" x14ac:dyDescent="0.35">
      <c r="A48" t="s">
        <v>134</v>
      </c>
      <c r="D48" s="90">
        <v>8.3724137931034477</v>
      </c>
      <c r="E48" s="90">
        <v>298</v>
      </c>
    </row>
    <row r="49" spans="1:5" x14ac:dyDescent="0.35">
      <c r="A49" t="s">
        <v>135</v>
      </c>
      <c r="D49" s="90">
        <v>9.9405099150141645</v>
      </c>
      <c r="E49" s="90">
        <v>362</v>
      </c>
    </row>
    <row r="51" spans="1:5" x14ac:dyDescent="0.35">
      <c r="A51" t="s">
        <v>127</v>
      </c>
      <c r="D51" s="90">
        <v>8.1300000000000008</v>
      </c>
      <c r="E51" s="90">
        <v>1312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5" workbookViewId="0">
      <selection activeCell="A45" sqref="A45:A50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125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10.555555555555555</v>
      </c>
      <c r="E2" s="100">
        <v>9</v>
      </c>
    </row>
    <row r="3" spans="1:5" x14ac:dyDescent="0.35">
      <c r="A3" t="s">
        <v>45</v>
      </c>
      <c r="B3" s="100">
        <v>6</v>
      </c>
      <c r="C3" s="100">
        <v>49</v>
      </c>
      <c r="D3" s="90">
        <v>11.382978723404255</v>
      </c>
      <c r="E3" s="100">
        <v>49</v>
      </c>
    </row>
    <row r="4" spans="1:5" x14ac:dyDescent="0.35">
      <c r="A4" t="s">
        <v>46</v>
      </c>
      <c r="B4" s="100">
        <v>2</v>
      </c>
      <c r="C4" s="100">
        <v>82</v>
      </c>
      <c r="D4" s="90">
        <v>7.4615384615384617</v>
      </c>
      <c r="E4" s="100">
        <v>14</v>
      </c>
    </row>
    <row r="5" spans="1:5" x14ac:dyDescent="0.35">
      <c r="A5" t="s">
        <v>2</v>
      </c>
      <c r="B5" s="100">
        <v>1</v>
      </c>
      <c r="C5" s="100">
        <v>97</v>
      </c>
      <c r="D5" s="90">
        <v>6</v>
      </c>
      <c r="E5" s="100">
        <v>9</v>
      </c>
    </row>
    <row r="6" spans="1:5" x14ac:dyDescent="0.35">
      <c r="A6" t="s">
        <v>3</v>
      </c>
      <c r="B6" s="100">
        <v>4</v>
      </c>
      <c r="C6" s="100">
        <v>54</v>
      </c>
      <c r="D6" s="90">
        <v>7.458333333333333</v>
      </c>
      <c r="E6" s="100">
        <v>24</v>
      </c>
    </row>
    <row r="7" spans="1:5" x14ac:dyDescent="0.35">
      <c r="A7" t="s">
        <v>4</v>
      </c>
      <c r="B7" s="100">
        <v>5</v>
      </c>
      <c r="C7" s="100">
        <v>109</v>
      </c>
      <c r="D7" s="90">
        <v>15.5</v>
      </c>
      <c r="E7" s="100">
        <v>21</v>
      </c>
    </row>
    <row r="8" spans="1:5" x14ac:dyDescent="0.35">
      <c r="A8" t="s">
        <v>48</v>
      </c>
      <c r="B8" s="100">
        <v>2</v>
      </c>
      <c r="C8" s="100">
        <v>148</v>
      </c>
      <c r="D8" s="90">
        <v>11.25</v>
      </c>
      <c r="E8" s="100">
        <v>12</v>
      </c>
    </row>
    <row r="9" spans="1:5" x14ac:dyDescent="0.35">
      <c r="A9" t="s">
        <v>5</v>
      </c>
      <c r="B9" s="100">
        <v>6</v>
      </c>
      <c r="C9" s="100">
        <v>179</v>
      </c>
      <c r="D9" s="90">
        <v>13.583333333333334</v>
      </c>
      <c r="E9" s="100">
        <v>36</v>
      </c>
    </row>
    <row r="10" spans="1:5" x14ac:dyDescent="0.35">
      <c r="A10" t="s">
        <v>50</v>
      </c>
      <c r="B10" s="100">
        <v>3</v>
      </c>
      <c r="C10" s="100">
        <v>214</v>
      </c>
      <c r="D10" s="90">
        <v>8.6</v>
      </c>
      <c r="E10" s="100">
        <v>15</v>
      </c>
    </row>
    <row r="11" spans="1:5" x14ac:dyDescent="0.35">
      <c r="A11" t="s">
        <v>51</v>
      </c>
      <c r="B11" s="100">
        <v>1</v>
      </c>
      <c r="C11" s="100">
        <v>239</v>
      </c>
      <c r="D11" s="90">
        <v>4.8666666666666663</v>
      </c>
      <c r="E11" s="100">
        <v>15</v>
      </c>
    </row>
    <row r="12" spans="1:5" x14ac:dyDescent="0.35">
      <c r="A12" t="s">
        <v>22</v>
      </c>
      <c r="B12" s="100">
        <v>2</v>
      </c>
      <c r="C12" s="100">
        <v>322</v>
      </c>
      <c r="D12" s="90">
        <v>6.7777777777777777</v>
      </c>
      <c r="E12" s="100">
        <v>18</v>
      </c>
    </row>
    <row r="13" spans="1:5" x14ac:dyDescent="0.35">
      <c r="A13" t="s">
        <v>52</v>
      </c>
      <c r="B13" s="100">
        <v>3</v>
      </c>
      <c r="C13" s="100">
        <v>249</v>
      </c>
      <c r="D13" s="90">
        <v>12.272727272727273</v>
      </c>
      <c r="E13" s="100">
        <v>23</v>
      </c>
    </row>
    <row r="14" spans="1:5" x14ac:dyDescent="0.35">
      <c r="A14" t="s">
        <v>72</v>
      </c>
      <c r="B14" s="100">
        <v>4</v>
      </c>
      <c r="C14" s="100">
        <v>272</v>
      </c>
      <c r="D14" s="90">
        <v>11.551724137931034</v>
      </c>
      <c r="E14" s="100">
        <v>30</v>
      </c>
    </row>
    <row r="15" spans="1:5" x14ac:dyDescent="0.35">
      <c r="A15" t="s">
        <v>6</v>
      </c>
      <c r="B15" s="100">
        <v>5</v>
      </c>
      <c r="C15" s="100">
        <v>285</v>
      </c>
      <c r="D15" s="90">
        <v>11.28</v>
      </c>
      <c r="E15" s="100">
        <v>26</v>
      </c>
    </row>
    <row r="16" spans="1:5" x14ac:dyDescent="0.35">
      <c r="A16" t="s">
        <v>73</v>
      </c>
      <c r="B16" s="100">
        <v>3</v>
      </c>
      <c r="C16" s="100">
        <v>301</v>
      </c>
      <c r="D16" s="90">
        <v>7</v>
      </c>
      <c r="E16" s="100">
        <v>27</v>
      </c>
    </row>
    <row r="17" spans="1:5" x14ac:dyDescent="0.35">
      <c r="A17" t="s">
        <v>7</v>
      </c>
      <c r="B17" s="100">
        <v>3</v>
      </c>
      <c r="C17" s="100">
        <v>305</v>
      </c>
      <c r="D17" s="90">
        <v>7.4285714285714288</v>
      </c>
      <c r="E17" s="100">
        <v>22</v>
      </c>
    </row>
    <row r="18" spans="1:5" x14ac:dyDescent="0.35">
      <c r="A18" t="s">
        <v>8</v>
      </c>
      <c r="B18" s="100">
        <v>5</v>
      </c>
      <c r="C18" s="100">
        <v>405</v>
      </c>
      <c r="D18" s="90">
        <v>9.3809523809523814</v>
      </c>
      <c r="E18" s="100">
        <v>21</v>
      </c>
    </row>
    <row r="19" spans="1:5" x14ac:dyDescent="0.35">
      <c r="A19" t="s">
        <v>9</v>
      </c>
      <c r="B19" s="100">
        <v>4</v>
      </c>
      <c r="C19" s="100">
        <v>418</v>
      </c>
      <c r="D19" s="90">
        <v>7.903225806451613</v>
      </c>
      <c r="E19" s="100">
        <v>31</v>
      </c>
    </row>
    <row r="20" spans="1:5" x14ac:dyDescent="0.35">
      <c r="A20" t="s">
        <v>56</v>
      </c>
      <c r="B20" s="100">
        <v>3</v>
      </c>
      <c r="C20" s="100">
        <v>426</v>
      </c>
      <c r="D20" s="90">
        <v>6.2631578947368425</v>
      </c>
      <c r="E20" s="100">
        <v>21</v>
      </c>
    </row>
    <row r="21" spans="1:5" x14ac:dyDescent="0.35">
      <c r="A21" t="s">
        <v>74</v>
      </c>
      <c r="B21" s="100">
        <v>5</v>
      </c>
      <c r="C21" s="100">
        <v>491</v>
      </c>
      <c r="D21" s="90">
        <v>9.7906976744186043</v>
      </c>
      <c r="E21" s="100">
        <v>43</v>
      </c>
    </row>
    <row r="22" spans="1:5" x14ac:dyDescent="0.35">
      <c r="A22" t="s">
        <v>10</v>
      </c>
      <c r="B22" s="100">
        <v>3</v>
      </c>
      <c r="C22" s="100">
        <v>499</v>
      </c>
      <c r="D22" s="90">
        <v>9.6923076923076916</v>
      </c>
      <c r="E22" s="100">
        <v>27</v>
      </c>
    </row>
    <row r="23" spans="1:5" x14ac:dyDescent="0.35">
      <c r="A23" t="s">
        <v>58</v>
      </c>
      <c r="B23" s="100">
        <v>3</v>
      </c>
      <c r="C23" s="100">
        <v>535</v>
      </c>
      <c r="D23" s="90">
        <v>8.5882352941176467</v>
      </c>
      <c r="E23" s="100">
        <v>17</v>
      </c>
    </row>
    <row r="24" spans="1:5" x14ac:dyDescent="0.35">
      <c r="A24" t="s">
        <v>11</v>
      </c>
      <c r="B24" s="100">
        <v>6</v>
      </c>
      <c r="C24" s="100">
        <v>464</v>
      </c>
      <c r="D24" s="90">
        <v>11.564102564102564</v>
      </c>
      <c r="E24" s="100">
        <v>41</v>
      </c>
    </row>
    <row r="25" spans="1:5" x14ac:dyDescent="0.35">
      <c r="A25" t="s">
        <v>60</v>
      </c>
      <c r="B25" s="100">
        <v>1</v>
      </c>
      <c r="C25" s="100">
        <v>578</v>
      </c>
      <c r="D25" s="90">
        <v>5.4705882352941178</v>
      </c>
      <c r="E25" s="100">
        <v>17</v>
      </c>
    </row>
    <row r="26" spans="1:5" x14ac:dyDescent="0.35">
      <c r="A26" t="s">
        <v>61</v>
      </c>
      <c r="B26" s="100">
        <v>2</v>
      </c>
      <c r="C26" s="100">
        <v>581</v>
      </c>
      <c r="D26" s="90">
        <v>8.3636363636363633</v>
      </c>
      <c r="E26" s="100">
        <v>12</v>
      </c>
    </row>
    <row r="27" spans="1:5" x14ac:dyDescent="0.35">
      <c r="A27" t="s">
        <v>62</v>
      </c>
      <c r="B27" s="100">
        <v>1</v>
      </c>
      <c r="C27" s="100">
        <v>592</v>
      </c>
      <c r="D27" s="90">
        <v>8.3125</v>
      </c>
      <c r="E27" s="100">
        <v>16</v>
      </c>
    </row>
    <row r="28" spans="1:5" x14ac:dyDescent="0.35">
      <c r="A28" t="s">
        <v>12</v>
      </c>
      <c r="B28" s="100">
        <v>2</v>
      </c>
      <c r="C28" s="100">
        <v>615</v>
      </c>
      <c r="D28" s="90">
        <v>7.7333333333333334</v>
      </c>
      <c r="E28" s="100">
        <v>15</v>
      </c>
    </row>
    <row r="29" spans="1:5" x14ac:dyDescent="0.35">
      <c r="A29" t="s">
        <v>23</v>
      </c>
      <c r="B29" s="100">
        <v>4</v>
      </c>
      <c r="C29" s="100">
        <v>710</v>
      </c>
      <c r="D29" s="90">
        <v>8.85</v>
      </c>
      <c r="E29" s="100">
        <v>20</v>
      </c>
    </row>
    <row r="30" spans="1:5" x14ac:dyDescent="0.35">
      <c r="A30" t="s">
        <v>64</v>
      </c>
      <c r="B30" s="100">
        <v>4</v>
      </c>
      <c r="C30" s="100">
        <v>680</v>
      </c>
      <c r="D30" s="90">
        <v>6.8857142857142861</v>
      </c>
      <c r="E30" s="100">
        <v>35</v>
      </c>
    </row>
    <row r="31" spans="1:5" x14ac:dyDescent="0.35">
      <c r="A31" t="s">
        <v>65</v>
      </c>
      <c r="B31" s="100">
        <v>1</v>
      </c>
      <c r="C31" s="100">
        <v>686</v>
      </c>
      <c r="D31" s="90">
        <v>6.375</v>
      </c>
      <c r="E31" s="100">
        <v>8</v>
      </c>
    </row>
    <row r="32" spans="1:5" x14ac:dyDescent="0.35">
      <c r="A32" t="s">
        <v>13</v>
      </c>
      <c r="B32" s="100">
        <v>5</v>
      </c>
      <c r="C32" s="100">
        <v>734</v>
      </c>
      <c r="D32" s="90">
        <v>12.46875</v>
      </c>
      <c r="E32" s="100">
        <v>33</v>
      </c>
    </row>
    <row r="33" spans="1:5" x14ac:dyDescent="0.35">
      <c r="A33" t="s">
        <v>14</v>
      </c>
      <c r="B33" s="100">
        <v>3</v>
      </c>
      <c r="C33" s="100">
        <v>753</v>
      </c>
      <c r="D33" s="90">
        <v>7.3076923076923075</v>
      </c>
      <c r="E33" s="100">
        <v>29</v>
      </c>
    </row>
    <row r="34" spans="1:5" x14ac:dyDescent="0.35">
      <c r="A34" t="s">
        <v>67</v>
      </c>
      <c r="B34" s="100">
        <v>1</v>
      </c>
      <c r="C34" s="100">
        <v>783</v>
      </c>
      <c r="D34" s="90">
        <v>6</v>
      </c>
      <c r="E34" s="100">
        <v>18</v>
      </c>
    </row>
    <row r="35" spans="1:5" x14ac:dyDescent="0.35">
      <c r="A35" t="s">
        <v>68</v>
      </c>
      <c r="B35" s="100">
        <v>6</v>
      </c>
      <c r="C35" s="100">
        <v>837</v>
      </c>
      <c r="D35" s="90">
        <v>11.527777777777779</v>
      </c>
      <c r="E35" s="100">
        <v>36</v>
      </c>
    </row>
    <row r="36" spans="1:5" x14ac:dyDescent="0.35">
      <c r="A36" t="s">
        <v>69</v>
      </c>
      <c r="B36" s="100">
        <v>4</v>
      </c>
      <c r="C36" s="100">
        <v>851</v>
      </c>
      <c r="D36" s="90">
        <v>10.521739130434783</v>
      </c>
      <c r="E36" s="100">
        <v>24</v>
      </c>
    </row>
    <row r="37" spans="1:5" x14ac:dyDescent="0.35">
      <c r="A37" t="s">
        <v>15</v>
      </c>
      <c r="B37" s="100">
        <v>6</v>
      </c>
      <c r="C37" s="100">
        <v>853</v>
      </c>
      <c r="D37" s="90">
        <v>12.52</v>
      </c>
      <c r="E37" s="100">
        <v>27</v>
      </c>
    </row>
    <row r="38" spans="1:5" x14ac:dyDescent="0.35">
      <c r="A38" t="s">
        <v>16</v>
      </c>
      <c r="B38" s="100">
        <v>5</v>
      </c>
      <c r="C38" s="100">
        <v>905</v>
      </c>
      <c r="D38" s="90">
        <v>11.466666666666667</v>
      </c>
      <c r="E38" s="100">
        <v>31</v>
      </c>
    </row>
    <row r="39" spans="1:5" x14ac:dyDescent="0.35">
      <c r="A39" t="s">
        <v>71</v>
      </c>
      <c r="B39" s="100">
        <v>6</v>
      </c>
      <c r="C39" s="100">
        <v>92</v>
      </c>
      <c r="D39" s="90">
        <v>10.819672131147541</v>
      </c>
      <c r="E39" s="100">
        <v>61</v>
      </c>
    </row>
    <row r="40" spans="1:5" x14ac:dyDescent="0.35">
      <c r="A40" t="s">
        <v>17</v>
      </c>
      <c r="B40" s="100">
        <v>1</v>
      </c>
      <c r="C40" s="100">
        <v>934</v>
      </c>
      <c r="D40" s="90">
        <v>8.8333333333333339</v>
      </c>
      <c r="E40" s="100">
        <v>6</v>
      </c>
    </row>
    <row r="41" spans="1:5" x14ac:dyDescent="0.35">
      <c r="A41" t="s">
        <v>24</v>
      </c>
      <c r="B41" s="100">
        <v>2</v>
      </c>
      <c r="C41" s="100">
        <v>946</v>
      </c>
      <c r="D41" s="90">
        <v>8.1999999999999993</v>
      </c>
      <c r="E41" s="100">
        <v>15</v>
      </c>
    </row>
    <row r="44" spans="1:5" x14ac:dyDescent="0.35">
      <c r="A44" t="s">
        <v>126</v>
      </c>
      <c r="D44" t="s">
        <v>125</v>
      </c>
      <c r="E44" t="s">
        <v>79</v>
      </c>
    </row>
    <row r="45" spans="1:5" x14ac:dyDescent="0.35">
      <c r="A45" t="s">
        <v>130</v>
      </c>
      <c r="D45" s="90">
        <v>6.7346938775510203</v>
      </c>
      <c r="E45" s="100">
        <v>98</v>
      </c>
    </row>
    <row r="46" spans="1:5" x14ac:dyDescent="0.35">
      <c r="A46" t="s">
        <v>131</v>
      </c>
      <c r="D46" s="90">
        <v>8.1547619047619051</v>
      </c>
      <c r="E46" s="100">
        <v>86</v>
      </c>
    </row>
    <row r="47" spans="1:5" x14ac:dyDescent="0.35">
      <c r="A47" t="s">
        <v>132</v>
      </c>
      <c r="D47" s="90">
        <v>8.3872832369942198</v>
      </c>
      <c r="E47" s="100">
        <v>181</v>
      </c>
    </row>
    <row r="48" spans="1:5" x14ac:dyDescent="0.35">
      <c r="A48" t="s">
        <v>133</v>
      </c>
      <c r="D48" s="90">
        <v>8.7592592592592595</v>
      </c>
      <c r="E48" s="100">
        <v>164</v>
      </c>
    </row>
    <row r="49" spans="1:5" x14ac:dyDescent="0.35">
      <c r="A49" t="s">
        <v>134</v>
      </c>
      <c r="D49" s="90">
        <v>11.421052631578947</v>
      </c>
      <c r="E49" s="100">
        <v>175</v>
      </c>
    </row>
    <row r="50" spans="1:5" x14ac:dyDescent="0.35">
      <c r="A50" t="s">
        <v>135</v>
      </c>
      <c r="D50" s="90">
        <v>11.733606557377049</v>
      </c>
      <c r="E50" s="100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0" workbookViewId="0">
      <selection activeCell="A2" sqref="A2:S41"/>
    </sheetView>
  </sheetViews>
  <sheetFormatPr defaultColWidth="8.76171875" defaultRowHeight="14.6" x14ac:dyDescent="0.35"/>
  <cols>
    <col min="1" max="16384" width="8.76171875" style="119"/>
  </cols>
  <sheetData>
    <row r="1" spans="1:19" x14ac:dyDescent="0.35">
      <c r="A1" s="119" t="s">
        <v>122</v>
      </c>
      <c r="B1" s="119" t="s">
        <v>123</v>
      </c>
      <c r="C1" s="119" t="s">
        <v>124</v>
      </c>
      <c r="D1" s="119" t="s">
        <v>581</v>
      </c>
      <c r="E1" s="119" t="s">
        <v>582</v>
      </c>
      <c r="F1" s="119" t="s">
        <v>583</v>
      </c>
      <c r="G1" s="119" t="s">
        <v>584</v>
      </c>
      <c r="H1" s="119" t="s">
        <v>585</v>
      </c>
      <c r="I1" s="119" t="s">
        <v>586</v>
      </c>
      <c r="J1" s="119" t="s">
        <v>587</v>
      </c>
      <c r="K1" s="119" t="s">
        <v>588</v>
      </c>
      <c r="L1" s="119" t="s">
        <v>589</v>
      </c>
      <c r="M1" s="119" t="s">
        <v>590</v>
      </c>
      <c r="N1" s="119" t="s">
        <v>591</v>
      </c>
      <c r="O1" s="119" t="s">
        <v>592</v>
      </c>
      <c r="P1" s="119" t="s">
        <v>593</v>
      </c>
      <c r="Q1" s="119" t="s">
        <v>594</v>
      </c>
      <c r="R1" s="119" t="s">
        <v>595</v>
      </c>
      <c r="S1" s="119" t="s">
        <v>79</v>
      </c>
    </row>
    <row r="2" spans="1:19" x14ac:dyDescent="0.35">
      <c r="A2" s="119" t="s">
        <v>44</v>
      </c>
      <c r="B2" s="100">
        <v>1</v>
      </c>
      <c r="C2" s="100">
        <v>18</v>
      </c>
      <c r="D2" s="90">
        <v>3.9166666666666665</v>
      </c>
      <c r="E2" s="90">
        <v>3.8333333333333335</v>
      </c>
      <c r="F2" s="90">
        <v>3</v>
      </c>
      <c r="G2" s="90">
        <v>3.9166666666666665</v>
      </c>
      <c r="H2" s="90">
        <v>3.5833333333333335</v>
      </c>
      <c r="I2" s="90">
        <v>3.4545454545454546</v>
      </c>
      <c r="J2" s="90">
        <v>3.6666666666666665</v>
      </c>
      <c r="K2" s="90">
        <v>2.3333333333333335</v>
      </c>
      <c r="L2" s="90">
        <v>2.7</v>
      </c>
      <c r="M2" s="90">
        <v>3</v>
      </c>
      <c r="N2" s="90">
        <v>1.7777777777777777</v>
      </c>
      <c r="O2" s="90">
        <v>3.25</v>
      </c>
      <c r="P2" s="90">
        <v>3.6666666666666665</v>
      </c>
      <c r="Q2" s="90">
        <v>3.5833333333333335</v>
      </c>
      <c r="R2" s="90">
        <v>2.6666666666666665</v>
      </c>
      <c r="S2" s="100">
        <v>12</v>
      </c>
    </row>
    <row r="3" spans="1:19" x14ac:dyDescent="0.35">
      <c r="A3" s="119" t="s">
        <v>45</v>
      </c>
      <c r="B3" s="100">
        <v>6</v>
      </c>
      <c r="C3" s="100">
        <v>49</v>
      </c>
      <c r="D3" s="90">
        <v>4.2784810126582276</v>
      </c>
      <c r="E3" s="90">
        <v>4.481012658227848</v>
      </c>
      <c r="F3" s="90">
        <v>2.6753246753246751</v>
      </c>
      <c r="G3" s="90">
        <v>3.5443037974683542</v>
      </c>
      <c r="H3" s="90">
        <v>3.1315789473684212</v>
      </c>
      <c r="I3" s="90">
        <v>2.8860759493670884</v>
      </c>
      <c r="J3" s="90">
        <v>3.4358974358974357</v>
      </c>
      <c r="K3" s="90">
        <v>2.8205128205128207</v>
      </c>
      <c r="L3" s="90">
        <v>2.6666666666666665</v>
      </c>
      <c r="M3" s="90">
        <v>3.037974683544304</v>
      </c>
      <c r="N3" s="90">
        <v>2.2602739726027399</v>
      </c>
      <c r="O3" s="90">
        <v>3.452054794520548</v>
      </c>
      <c r="P3" s="90">
        <v>3.3544303797468356</v>
      </c>
      <c r="Q3" s="90">
        <v>3.4303797468354431</v>
      </c>
      <c r="R3" s="90">
        <v>2.8205128205128207</v>
      </c>
      <c r="S3" s="100">
        <v>79</v>
      </c>
    </row>
    <row r="4" spans="1:19" x14ac:dyDescent="0.35">
      <c r="A4" s="119" t="s">
        <v>46</v>
      </c>
      <c r="B4" s="100">
        <v>2</v>
      </c>
      <c r="C4" s="100">
        <v>82</v>
      </c>
      <c r="D4" s="90">
        <v>4.1875</v>
      </c>
      <c r="E4" s="90">
        <v>4.125</v>
      </c>
      <c r="F4" s="90">
        <v>2.7857142857142856</v>
      </c>
      <c r="G4" s="90">
        <v>3.875</v>
      </c>
      <c r="H4" s="90">
        <v>3.75</v>
      </c>
      <c r="I4" s="90">
        <v>3.375</v>
      </c>
      <c r="J4" s="90">
        <v>2.8125</v>
      </c>
      <c r="K4" s="90">
        <v>3.0625</v>
      </c>
      <c r="L4" s="90">
        <v>2.25</v>
      </c>
      <c r="M4" s="90">
        <v>2.9285714285714284</v>
      </c>
      <c r="N4" s="90">
        <v>2.25</v>
      </c>
      <c r="O4" s="90">
        <v>3.3846153846153846</v>
      </c>
      <c r="P4" s="90">
        <v>3.8125</v>
      </c>
      <c r="Q4" s="90">
        <v>3.5</v>
      </c>
      <c r="R4" s="90">
        <v>2.9375</v>
      </c>
      <c r="S4" s="100">
        <v>16</v>
      </c>
    </row>
    <row r="5" spans="1:19" x14ac:dyDescent="0.35">
      <c r="A5" s="119" t="s">
        <v>2</v>
      </c>
      <c r="B5" s="100">
        <v>1</v>
      </c>
      <c r="C5" s="100">
        <v>97</v>
      </c>
      <c r="D5" s="90">
        <v>4.2222222222222223</v>
      </c>
      <c r="E5" s="90">
        <v>4.333333333333333</v>
      </c>
      <c r="F5" s="90">
        <v>2.8888888888888888</v>
      </c>
      <c r="G5" s="90">
        <v>3.2222222222222223</v>
      </c>
      <c r="H5" s="90">
        <v>3</v>
      </c>
      <c r="I5" s="90">
        <v>2.6666666666666665</v>
      </c>
      <c r="J5" s="90">
        <v>3.5555555555555554</v>
      </c>
      <c r="K5" s="90">
        <v>2.3333333333333335</v>
      </c>
      <c r="L5" s="90">
        <v>3</v>
      </c>
      <c r="M5" s="90">
        <v>3.4444444444444446</v>
      </c>
      <c r="N5" s="90">
        <v>2.7142857142857144</v>
      </c>
      <c r="O5" s="90">
        <v>4.2</v>
      </c>
      <c r="P5" s="90">
        <v>4.1111111111111107</v>
      </c>
      <c r="Q5" s="90">
        <v>4.1111111111111107</v>
      </c>
      <c r="R5" s="90">
        <v>2.7777777777777777</v>
      </c>
      <c r="S5" s="100">
        <v>9</v>
      </c>
    </row>
    <row r="6" spans="1:19" x14ac:dyDescent="0.35">
      <c r="A6" s="119" t="s">
        <v>3</v>
      </c>
      <c r="B6" s="100">
        <v>4</v>
      </c>
      <c r="C6" s="100">
        <v>54</v>
      </c>
      <c r="D6" s="90">
        <v>4.16</v>
      </c>
      <c r="E6" s="90">
        <v>4.4000000000000004</v>
      </c>
      <c r="F6" s="90">
        <v>3.2083333333333335</v>
      </c>
      <c r="G6" s="90">
        <v>3.92</v>
      </c>
      <c r="H6" s="90">
        <v>3.88</v>
      </c>
      <c r="I6" s="90">
        <v>3.6</v>
      </c>
      <c r="J6" s="90">
        <v>3.76</v>
      </c>
      <c r="K6" s="90">
        <v>3.56</v>
      </c>
      <c r="L6" s="90">
        <v>2.44</v>
      </c>
      <c r="M6" s="90">
        <v>3.24</v>
      </c>
      <c r="N6" s="90">
        <v>2.0833333333333335</v>
      </c>
      <c r="O6" s="90">
        <v>3.4782608695652173</v>
      </c>
      <c r="P6" s="90">
        <v>3.5416666666666665</v>
      </c>
      <c r="Q6" s="90">
        <v>3.4583333333333335</v>
      </c>
      <c r="R6" s="90">
        <v>2.76</v>
      </c>
      <c r="S6" s="100">
        <v>25</v>
      </c>
    </row>
    <row r="7" spans="1:19" x14ac:dyDescent="0.35">
      <c r="A7" s="119" t="s">
        <v>4</v>
      </c>
      <c r="B7" s="100">
        <v>5</v>
      </c>
      <c r="C7" s="100">
        <v>109</v>
      </c>
      <c r="D7" s="90">
        <v>4.2058823529411766</v>
      </c>
      <c r="E7" s="90">
        <v>4.4000000000000004</v>
      </c>
      <c r="F7" s="90">
        <v>3.2352941176470589</v>
      </c>
      <c r="G7" s="90">
        <v>3.6285714285714286</v>
      </c>
      <c r="H7" s="90">
        <v>3.0285714285714285</v>
      </c>
      <c r="I7" s="90">
        <v>3.0571428571428569</v>
      </c>
      <c r="J7" s="90">
        <v>3.4285714285714284</v>
      </c>
      <c r="K7" s="90">
        <v>2.8529411764705883</v>
      </c>
      <c r="L7" s="90">
        <v>2.7941176470588234</v>
      </c>
      <c r="M7" s="90">
        <v>3.0294117647058822</v>
      </c>
      <c r="N7" s="90">
        <v>2.8787878787878789</v>
      </c>
      <c r="O7" s="90">
        <v>3.625</v>
      </c>
      <c r="P7" s="90">
        <v>3.5142857142857142</v>
      </c>
      <c r="Q7" s="90">
        <v>3.5294117647058822</v>
      </c>
      <c r="R7" s="90">
        <v>2.8285714285714287</v>
      </c>
      <c r="S7" s="100">
        <v>35</v>
      </c>
    </row>
    <row r="8" spans="1:19" x14ac:dyDescent="0.35">
      <c r="A8" s="119" t="s">
        <v>48</v>
      </c>
      <c r="B8" s="100">
        <v>2</v>
      </c>
      <c r="C8" s="100">
        <v>148</v>
      </c>
      <c r="D8" s="90">
        <v>4.3571428571428568</v>
      </c>
      <c r="E8" s="90">
        <v>4.2142857142857144</v>
      </c>
      <c r="F8" s="90">
        <v>2.7857142857142856</v>
      </c>
      <c r="G8" s="90">
        <v>3.6428571428571428</v>
      </c>
      <c r="H8" s="90">
        <v>3.3571428571428572</v>
      </c>
      <c r="I8" s="90">
        <v>2.7857142857142856</v>
      </c>
      <c r="J8" s="90">
        <v>3.5714285714285716</v>
      </c>
      <c r="K8" s="90">
        <v>3</v>
      </c>
      <c r="L8" s="90">
        <v>1.9230769230769231</v>
      </c>
      <c r="M8" s="90">
        <v>2.8571428571428572</v>
      </c>
      <c r="N8" s="90">
        <v>2.6428571428571428</v>
      </c>
      <c r="O8" s="90">
        <v>3.8333333333333335</v>
      </c>
      <c r="P8" s="90">
        <v>3.7142857142857144</v>
      </c>
      <c r="Q8" s="90">
        <v>3.6428571428571428</v>
      </c>
      <c r="R8" s="90">
        <v>2.7692307692307692</v>
      </c>
      <c r="S8" s="100">
        <v>14</v>
      </c>
    </row>
    <row r="9" spans="1:19" x14ac:dyDescent="0.35">
      <c r="A9" s="119" t="s">
        <v>5</v>
      </c>
      <c r="B9" s="100">
        <v>6</v>
      </c>
      <c r="C9" s="100">
        <v>179</v>
      </c>
      <c r="D9" s="90">
        <v>4.270833333333333</v>
      </c>
      <c r="E9" s="90">
        <v>4.4255319148936172</v>
      </c>
      <c r="F9" s="90">
        <v>3.2888888888888888</v>
      </c>
      <c r="G9" s="90">
        <v>3.4893617021276597</v>
      </c>
      <c r="H9" s="90">
        <v>3.1739130434782608</v>
      </c>
      <c r="I9" s="90">
        <v>3.2666666666666666</v>
      </c>
      <c r="J9" s="90">
        <v>3.5777777777777779</v>
      </c>
      <c r="K9" s="90">
        <v>3.0217391304347827</v>
      </c>
      <c r="L9" s="90">
        <v>2.9347826086956523</v>
      </c>
      <c r="M9" s="90">
        <v>3.5217391304347827</v>
      </c>
      <c r="N9" s="90">
        <v>2.5777777777777779</v>
      </c>
      <c r="O9" s="90">
        <v>3.5555555555555554</v>
      </c>
      <c r="P9" s="90">
        <v>3.6595744680851063</v>
      </c>
      <c r="Q9" s="90">
        <v>3.5434782608695654</v>
      </c>
      <c r="R9" s="90">
        <v>2.8666666666666667</v>
      </c>
      <c r="S9" s="100">
        <v>48</v>
      </c>
    </row>
    <row r="10" spans="1:19" x14ac:dyDescent="0.35">
      <c r="A10" s="119" t="s">
        <v>50</v>
      </c>
      <c r="B10" s="100">
        <v>3</v>
      </c>
      <c r="C10" s="100">
        <v>214</v>
      </c>
      <c r="D10" s="90">
        <v>3.75</v>
      </c>
      <c r="E10" s="90">
        <v>4.2380952380952381</v>
      </c>
      <c r="F10" s="90">
        <v>2.85</v>
      </c>
      <c r="G10" s="90">
        <v>3.8</v>
      </c>
      <c r="H10" s="90">
        <v>3.3809523809523809</v>
      </c>
      <c r="I10" s="90">
        <v>3.3</v>
      </c>
      <c r="J10" s="90">
        <v>3.7</v>
      </c>
      <c r="K10" s="90">
        <v>2.9523809523809526</v>
      </c>
      <c r="L10" s="90">
        <v>2.4500000000000002</v>
      </c>
      <c r="M10" s="90">
        <v>2.9047619047619047</v>
      </c>
      <c r="N10" s="90">
        <v>2.2999999999999998</v>
      </c>
      <c r="O10" s="90">
        <v>3.2380952380952381</v>
      </c>
      <c r="P10" s="90">
        <v>3.6</v>
      </c>
      <c r="Q10" s="90">
        <v>3.7</v>
      </c>
      <c r="R10" s="90">
        <v>2.6666666666666665</v>
      </c>
      <c r="S10" s="100">
        <v>21</v>
      </c>
    </row>
    <row r="11" spans="1:19" x14ac:dyDescent="0.35">
      <c r="A11" s="119" t="s">
        <v>51</v>
      </c>
      <c r="B11" s="100">
        <v>1</v>
      </c>
      <c r="C11" s="100">
        <v>239</v>
      </c>
      <c r="D11" s="90">
        <v>3.5882352941176472</v>
      </c>
      <c r="E11" s="90">
        <v>3.8235294117647061</v>
      </c>
      <c r="F11" s="90">
        <v>2.8823529411764706</v>
      </c>
      <c r="G11" s="90">
        <v>3.7647058823529411</v>
      </c>
      <c r="H11" s="90">
        <v>3.4705882352941178</v>
      </c>
      <c r="I11" s="90">
        <v>3.4117647058823528</v>
      </c>
      <c r="J11" s="90">
        <v>3.8235294117647061</v>
      </c>
      <c r="K11" s="90">
        <v>4.2352941176470589</v>
      </c>
      <c r="L11" s="90">
        <v>2.8823529411764706</v>
      </c>
      <c r="M11" s="90">
        <v>3.8235294117647061</v>
      </c>
      <c r="N11" s="90">
        <v>2.4</v>
      </c>
      <c r="O11" s="90">
        <v>4</v>
      </c>
      <c r="P11" s="90">
        <v>4.1764705882352944</v>
      </c>
      <c r="Q11" s="90">
        <v>4</v>
      </c>
      <c r="R11" s="90">
        <v>2.9411764705882355</v>
      </c>
      <c r="S11" s="100">
        <v>17</v>
      </c>
    </row>
    <row r="12" spans="1:19" x14ac:dyDescent="0.35">
      <c r="A12" s="119" t="s">
        <v>22</v>
      </c>
      <c r="B12" s="100">
        <v>2</v>
      </c>
      <c r="C12" s="100">
        <v>322</v>
      </c>
      <c r="D12" s="90">
        <v>4.0434782608695654</v>
      </c>
      <c r="E12" s="90">
        <v>4.4347826086956523</v>
      </c>
      <c r="F12" s="90">
        <v>2.4347826086956523</v>
      </c>
      <c r="G12" s="90">
        <v>3.1363636363636362</v>
      </c>
      <c r="H12" s="90">
        <v>2.8260869565217392</v>
      </c>
      <c r="I12" s="90">
        <v>2.652173913043478</v>
      </c>
      <c r="J12" s="90">
        <v>3.3043478260869565</v>
      </c>
      <c r="K12" s="90">
        <v>2.0869565217391304</v>
      </c>
      <c r="L12" s="90">
        <v>2.1304347826086958</v>
      </c>
      <c r="M12" s="90">
        <v>2.8695652173913042</v>
      </c>
      <c r="N12" s="90">
        <v>1.6666666666666667</v>
      </c>
      <c r="O12" s="90">
        <v>3.1363636363636362</v>
      </c>
      <c r="P12" s="90">
        <v>2.9523809523809526</v>
      </c>
      <c r="Q12" s="90">
        <v>3.5217391304347827</v>
      </c>
      <c r="R12" s="90">
        <v>2.652173913043478</v>
      </c>
      <c r="S12" s="100">
        <v>23</v>
      </c>
    </row>
    <row r="13" spans="1:19" x14ac:dyDescent="0.35">
      <c r="A13" s="119" t="s">
        <v>52</v>
      </c>
      <c r="B13" s="100">
        <v>3</v>
      </c>
      <c r="C13" s="100">
        <v>249</v>
      </c>
      <c r="D13" s="90">
        <v>4.0606060606060606</v>
      </c>
      <c r="E13" s="90">
        <v>4.1212121212121211</v>
      </c>
      <c r="F13" s="90">
        <v>3.5625</v>
      </c>
      <c r="G13" s="90">
        <v>3.2727272727272729</v>
      </c>
      <c r="H13" s="90">
        <v>2.806451612903226</v>
      </c>
      <c r="I13" s="90">
        <v>2.9696969696969697</v>
      </c>
      <c r="J13" s="90">
        <v>3.1818181818181817</v>
      </c>
      <c r="K13" s="90">
        <v>2.5454545454545454</v>
      </c>
      <c r="L13" s="90">
        <v>2.606060606060606</v>
      </c>
      <c r="M13" s="90">
        <v>2.7575757575757578</v>
      </c>
      <c r="N13" s="90">
        <v>2.4375</v>
      </c>
      <c r="O13" s="90">
        <v>3.2592592592592591</v>
      </c>
      <c r="P13" s="90">
        <v>3.193548387096774</v>
      </c>
      <c r="Q13" s="90">
        <v>3.5</v>
      </c>
      <c r="R13" s="90">
        <v>2.625</v>
      </c>
      <c r="S13" s="100">
        <v>34</v>
      </c>
    </row>
    <row r="14" spans="1:19" x14ac:dyDescent="0.35">
      <c r="A14" s="119" t="s">
        <v>72</v>
      </c>
      <c r="B14" s="100">
        <v>4</v>
      </c>
      <c r="C14" s="100">
        <v>272</v>
      </c>
      <c r="D14" s="90">
        <v>3.8867924528301887</v>
      </c>
      <c r="E14" s="90">
        <v>4.2884615384615383</v>
      </c>
      <c r="F14" s="90">
        <v>2.7</v>
      </c>
      <c r="G14" s="90">
        <v>3.18</v>
      </c>
      <c r="H14" s="90">
        <v>2.795918367346939</v>
      </c>
      <c r="I14" s="90">
        <v>2.54</v>
      </c>
      <c r="J14" s="90">
        <v>3.06</v>
      </c>
      <c r="K14" s="90">
        <v>2.5208333333333335</v>
      </c>
      <c r="L14" s="90">
        <v>2.16</v>
      </c>
      <c r="M14" s="90">
        <v>2.8979591836734695</v>
      </c>
      <c r="N14" s="90">
        <v>2.2916666666666665</v>
      </c>
      <c r="O14" s="90">
        <v>3.2790697674418605</v>
      </c>
      <c r="P14" s="90">
        <v>3.24</v>
      </c>
      <c r="Q14" s="90">
        <v>3.4489795918367347</v>
      </c>
      <c r="R14" s="90">
        <v>2.693877551020408</v>
      </c>
      <c r="S14" s="100">
        <v>53</v>
      </c>
    </row>
    <row r="15" spans="1:19" x14ac:dyDescent="0.35">
      <c r="A15" s="119" t="s">
        <v>6</v>
      </c>
      <c r="B15" s="100">
        <v>5</v>
      </c>
      <c r="C15" s="100">
        <v>285</v>
      </c>
      <c r="D15" s="90">
        <v>3.9464285714285716</v>
      </c>
      <c r="E15" s="90">
        <v>4.1607142857142856</v>
      </c>
      <c r="F15" s="90">
        <v>2.8727272727272726</v>
      </c>
      <c r="G15" s="90">
        <v>3.1071428571428572</v>
      </c>
      <c r="H15" s="90">
        <v>2.8928571428571428</v>
      </c>
      <c r="I15" s="90">
        <v>2.6607142857142856</v>
      </c>
      <c r="J15" s="90">
        <v>3.4727272727272727</v>
      </c>
      <c r="K15" s="90">
        <v>2.6</v>
      </c>
      <c r="L15" s="90">
        <v>2.4107142857142856</v>
      </c>
      <c r="M15" s="90">
        <v>3.1785714285714284</v>
      </c>
      <c r="N15" s="90">
        <v>2.7692307692307692</v>
      </c>
      <c r="O15" s="90">
        <v>3.5</v>
      </c>
      <c r="P15" s="90">
        <v>3.581818181818182</v>
      </c>
      <c r="Q15" s="90">
        <v>3.5</v>
      </c>
      <c r="R15" s="90">
        <v>2.7678571428571428</v>
      </c>
      <c r="S15" s="100">
        <v>58</v>
      </c>
    </row>
    <row r="16" spans="1:19" x14ac:dyDescent="0.35">
      <c r="A16" s="119" t="s">
        <v>73</v>
      </c>
      <c r="B16" s="100">
        <v>3</v>
      </c>
      <c r="C16" s="100">
        <v>301</v>
      </c>
      <c r="D16" s="90">
        <v>3.9666666666666668</v>
      </c>
      <c r="E16" s="90">
        <v>4.3666666666666663</v>
      </c>
      <c r="F16" s="90">
        <v>3.2666666666666666</v>
      </c>
      <c r="G16" s="90">
        <v>3.7586206896551726</v>
      </c>
      <c r="H16" s="90">
        <v>3.0333333333333332</v>
      </c>
      <c r="I16" s="90">
        <v>3</v>
      </c>
      <c r="J16" s="90">
        <v>3.7</v>
      </c>
      <c r="K16" s="90">
        <v>2.8</v>
      </c>
      <c r="L16" s="90">
        <v>3.5666666666666669</v>
      </c>
      <c r="M16" s="90">
        <v>3.3448275862068964</v>
      </c>
      <c r="N16" s="90">
        <v>2.5357142857142856</v>
      </c>
      <c r="O16" s="90">
        <v>3.36</v>
      </c>
      <c r="P16" s="90">
        <v>3.7241379310344827</v>
      </c>
      <c r="Q16" s="90">
        <v>3.8620689655172415</v>
      </c>
      <c r="R16" s="90">
        <v>2.5666666666666669</v>
      </c>
      <c r="S16" s="100">
        <v>30</v>
      </c>
    </row>
    <row r="17" spans="1:19" x14ac:dyDescent="0.35">
      <c r="A17" s="119" t="s">
        <v>7</v>
      </c>
      <c r="B17" s="100">
        <v>3</v>
      </c>
      <c r="C17" s="100">
        <v>305</v>
      </c>
      <c r="D17" s="90">
        <v>3.9629629629629628</v>
      </c>
      <c r="E17" s="90">
        <v>4.0370370370370372</v>
      </c>
      <c r="F17" s="90">
        <v>3.08</v>
      </c>
      <c r="G17" s="90">
        <v>3.3703703703703702</v>
      </c>
      <c r="H17" s="90">
        <v>2.9615384615384617</v>
      </c>
      <c r="I17" s="90">
        <v>2.8518518518518516</v>
      </c>
      <c r="J17" s="90">
        <v>3.5555555555555554</v>
      </c>
      <c r="K17" s="90">
        <v>2.925925925925926</v>
      </c>
      <c r="L17" s="90">
        <v>2.6666666666666665</v>
      </c>
      <c r="M17" s="90">
        <v>3.3333333333333335</v>
      </c>
      <c r="N17" s="90">
        <v>2.7083333333333335</v>
      </c>
      <c r="O17" s="90">
        <v>3.2272727272727271</v>
      </c>
      <c r="P17" s="90">
        <v>3.3333333333333335</v>
      </c>
      <c r="Q17" s="90">
        <v>3.6666666666666665</v>
      </c>
      <c r="R17" s="90">
        <v>2.8846153846153846</v>
      </c>
      <c r="S17" s="100">
        <v>27</v>
      </c>
    </row>
    <row r="18" spans="1:19" x14ac:dyDescent="0.35">
      <c r="A18" s="119" t="s">
        <v>8</v>
      </c>
      <c r="B18" s="100">
        <v>5</v>
      </c>
      <c r="C18" s="100">
        <v>405</v>
      </c>
      <c r="D18" s="90">
        <v>3.96875</v>
      </c>
      <c r="E18" s="90">
        <v>4.2285714285714286</v>
      </c>
      <c r="F18" s="90">
        <v>3.2777777777777777</v>
      </c>
      <c r="G18" s="90">
        <v>3.7714285714285714</v>
      </c>
      <c r="H18" s="90">
        <v>3.3714285714285714</v>
      </c>
      <c r="I18" s="90">
        <v>3.5714285714285716</v>
      </c>
      <c r="J18" s="90">
        <v>3.6764705882352939</v>
      </c>
      <c r="K18" s="90">
        <v>2.8571428571428572</v>
      </c>
      <c r="L18" s="90">
        <v>2.7142857142857144</v>
      </c>
      <c r="M18" s="90">
        <v>3.5714285714285716</v>
      </c>
      <c r="N18" s="90">
        <v>2.21875</v>
      </c>
      <c r="O18" s="90">
        <v>3.8518518518518516</v>
      </c>
      <c r="P18" s="90">
        <v>3.5588235294117645</v>
      </c>
      <c r="Q18" s="90">
        <v>3.5757575757575757</v>
      </c>
      <c r="R18" s="90">
        <v>2.7714285714285714</v>
      </c>
      <c r="S18" s="100">
        <v>36</v>
      </c>
    </row>
    <row r="19" spans="1:19" x14ac:dyDescent="0.35">
      <c r="A19" s="119" t="s">
        <v>9</v>
      </c>
      <c r="B19" s="100">
        <v>4</v>
      </c>
      <c r="C19" s="100">
        <v>418</v>
      </c>
      <c r="D19" s="90">
        <v>4</v>
      </c>
      <c r="E19" s="90">
        <v>4.4000000000000004</v>
      </c>
      <c r="F19" s="90">
        <v>2.9714285714285715</v>
      </c>
      <c r="G19" s="90">
        <v>3.342857142857143</v>
      </c>
      <c r="H19" s="90">
        <v>2.9722222222222223</v>
      </c>
      <c r="I19" s="90">
        <v>2.8571428571428572</v>
      </c>
      <c r="J19" s="90">
        <v>3.3888888888888888</v>
      </c>
      <c r="K19" s="90">
        <v>3</v>
      </c>
      <c r="L19" s="90">
        <v>2.6176470588235294</v>
      </c>
      <c r="M19" s="90">
        <v>2.7142857142857144</v>
      </c>
      <c r="N19" s="90">
        <v>2.1333333333333333</v>
      </c>
      <c r="O19" s="90">
        <v>3.6764705882352939</v>
      </c>
      <c r="P19" s="90">
        <v>3.7222222222222223</v>
      </c>
      <c r="Q19" s="90">
        <v>3.3611111111111112</v>
      </c>
      <c r="R19" s="90">
        <v>2.8857142857142857</v>
      </c>
      <c r="S19" s="100">
        <v>36</v>
      </c>
    </row>
    <row r="20" spans="1:19" x14ac:dyDescent="0.35">
      <c r="A20" s="119" t="s">
        <v>56</v>
      </c>
      <c r="B20" s="100">
        <v>3</v>
      </c>
      <c r="C20" s="100">
        <v>426</v>
      </c>
      <c r="D20" s="90">
        <v>4.28</v>
      </c>
      <c r="E20" s="90">
        <v>4.16</v>
      </c>
      <c r="F20" s="90">
        <v>3.4583333333333335</v>
      </c>
      <c r="G20" s="90">
        <v>3.88</v>
      </c>
      <c r="H20" s="90">
        <v>3.52</v>
      </c>
      <c r="I20" s="90">
        <v>3.4</v>
      </c>
      <c r="J20" s="90">
        <v>3.88</v>
      </c>
      <c r="K20" s="90">
        <v>3.2083333333333335</v>
      </c>
      <c r="L20" s="90">
        <v>2.7916666666666665</v>
      </c>
      <c r="M20" s="90">
        <v>3.08</v>
      </c>
      <c r="N20" s="90">
        <v>2.52</v>
      </c>
      <c r="O20" s="90">
        <v>3.875</v>
      </c>
      <c r="P20" s="90">
        <v>3.88</v>
      </c>
      <c r="Q20" s="90">
        <v>3.92</v>
      </c>
      <c r="R20" s="90">
        <v>2.76</v>
      </c>
      <c r="S20" s="100">
        <v>25</v>
      </c>
    </row>
    <row r="21" spans="1:19" x14ac:dyDescent="0.35">
      <c r="A21" s="119" t="s">
        <v>74</v>
      </c>
      <c r="B21" s="100">
        <v>5</v>
      </c>
      <c r="C21" s="100">
        <v>491</v>
      </c>
      <c r="D21" s="90">
        <v>4.1764705882352944</v>
      </c>
      <c r="E21" s="90">
        <v>4.3880597014925371</v>
      </c>
      <c r="F21" s="90">
        <v>3.0757575757575757</v>
      </c>
      <c r="G21" s="90">
        <v>3.5</v>
      </c>
      <c r="H21" s="90">
        <v>3.1641791044776117</v>
      </c>
      <c r="I21" s="90">
        <v>3</v>
      </c>
      <c r="J21" s="90">
        <v>3.1470588235294117</v>
      </c>
      <c r="K21" s="90">
        <v>2.6969696969696968</v>
      </c>
      <c r="L21" s="90">
        <v>2.8333333333333335</v>
      </c>
      <c r="M21" s="90">
        <v>3.1764705882352939</v>
      </c>
      <c r="N21" s="90">
        <v>2.6363636363636362</v>
      </c>
      <c r="O21" s="90">
        <v>3.5555555555555554</v>
      </c>
      <c r="P21" s="90">
        <v>3.5757575757575757</v>
      </c>
      <c r="Q21" s="90">
        <v>3.8333333333333335</v>
      </c>
      <c r="R21" s="90">
        <v>3.1692307692307691</v>
      </c>
      <c r="S21" s="100">
        <v>68</v>
      </c>
    </row>
    <row r="22" spans="1:19" x14ac:dyDescent="0.35">
      <c r="A22" s="119" t="s">
        <v>10</v>
      </c>
      <c r="B22" s="100">
        <v>2.9767441860465116</v>
      </c>
      <c r="C22" s="100">
        <v>499</v>
      </c>
      <c r="D22" s="90">
        <v>3.7674418604651163</v>
      </c>
      <c r="E22" s="90">
        <v>4.1395348837209305</v>
      </c>
      <c r="F22" s="90">
        <v>2.6744186046511627</v>
      </c>
      <c r="G22" s="90">
        <v>3.3333333333333335</v>
      </c>
      <c r="H22" s="90">
        <v>2.6904761904761907</v>
      </c>
      <c r="I22" s="90">
        <v>2.6190476190476191</v>
      </c>
      <c r="J22" s="90">
        <v>2.7380952380952381</v>
      </c>
      <c r="K22" s="90">
        <v>2.7073170731707319</v>
      </c>
      <c r="L22" s="90">
        <v>2.8139534883720931</v>
      </c>
      <c r="M22" s="90">
        <v>3.0238095238095237</v>
      </c>
      <c r="N22" s="90">
        <v>1.75</v>
      </c>
      <c r="O22" s="90">
        <v>2.9750000000000001</v>
      </c>
      <c r="P22" s="90">
        <v>3.3571428571428572</v>
      </c>
      <c r="Q22" s="90">
        <v>3.2682926829268291</v>
      </c>
      <c r="R22" s="90">
        <v>2.6341463414634148</v>
      </c>
      <c r="S22" s="100">
        <v>43</v>
      </c>
    </row>
    <row r="23" spans="1:19" x14ac:dyDescent="0.35">
      <c r="A23" s="119" t="s">
        <v>58</v>
      </c>
      <c r="B23" s="100">
        <v>3</v>
      </c>
      <c r="C23" s="100">
        <v>535</v>
      </c>
      <c r="D23" s="90">
        <v>3.9444444444444446</v>
      </c>
      <c r="E23" s="90">
        <v>4.0555555555555554</v>
      </c>
      <c r="F23" s="90">
        <v>3.2222222222222223</v>
      </c>
      <c r="G23" s="90">
        <v>3.6111111111111112</v>
      </c>
      <c r="H23" s="90">
        <v>3.5555555555555554</v>
      </c>
      <c r="I23" s="90">
        <v>3.1111111111111112</v>
      </c>
      <c r="J23" s="90">
        <v>3.7777777777777777</v>
      </c>
      <c r="K23" s="90">
        <v>3.2352941176470589</v>
      </c>
      <c r="L23" s="90">
        <v>2.3333333333333335</v>
      </c>
      <c r="M23" s="90">
        <v>3.5882352941176472</v>
      </c>
      <c r="N23" s="90">
        <v>2.3333333333333335</v>
      </c>
      <c r="O23" s="90">
        <v>3.3529411764705883</v>
      </c>
      <c r="P23" s="90">
        <v>3.5882352941176472</v>
      </c>
      <c r="Q23" s="90">
        <v>3.6111111111111112</v>
      </c>
      <c r="R23" s="90">
        <v>2.7777777777777777</v>
      </c>
      <c r="S23" s="100">
        <v>18</v>
      </c>
    </row>
    <row r="24" spans="1:19" x14ac:dyDescent="0.35">
      <c r="A24" s="119" t="s">
        <v>11</v>
      </c>
      <c r="B24" s="100">
        <v>6</v>
      </c>
      <c r="C24" s="100">
        <v>464</v>
      </c>
      <c r="D24" s="90">
        <v>4.2352941176470589</v>
      </c>
      <c r="E24" s="90">
        <v>4.4901960784313726</v>
      </c>
      <c r="F24" s="90">
        <v>3.18</v>
      </c>
      <c r="G24" s="90">
        <v>3.510204081632653</v>
      </c>
      <c r="H24" s="90">
        <v>2.9803921568627452</v>
      </c>
      <c r="I24" s="90">
        <v>2.7647058823529411</v>
      </c>
      <c r="J24" s="90">
        <v>3.44</v>
      </c>
      <c r="K24" s="90">
        <v>2.6666666666666665</v>
      </c>
      <c r="L24" s="90">
        <v>2.86</v>
      </c>
      <c r="M24" s="90">
        <v>3.5098039215686274</v>
      </c>
      <c r="N24" s="90">
        <v>2.5217391304347827</v>
      </c>
      <c r="O24" s="90">
        <v>3.9302325581395348</v>
      </c>
      <c r="P24" s="90">
        <v>3.56</v>
      </c>
      <c r="Q24" s="90">
        <v>3.795918367346939</v>
      </c>
      <c r="R24" s="90">
        <v>3.0980392156862746</v>
      </c>
      <c r="S24" s="100">
        <v>51</v>
      </c>
    </row>
    <row r="25" spans="1:19" x14ac:dyDescent="0.35">
      <c r="A25" s="119" t="s">
        <v>60</v>
      </c>
      <c r="B25" s="100">
        <v>1</v>
      </c>
      <c r="C25" s="100">
        <v>578</v>
      </c>
      <c r="D25" s="90">
        <v>3.5882352941176472</v>
      </c>
      <c r="E25" s="90">
        <v>4.2941176470588234</v>
      </c>
      <c r="F25" s="90">
        <v>3.4117647058823528</v>
      </c>
      <c r="G25" s="90">
        <v>3.8235294117647061</v>
      </c>
      <c r="H25" s="90">
        <v>3.6470588235294117</v>
      </c>
      <c r="I25" s="90">
        <v>3.1764705882352939</v>
      </c>
      <c r="J25" s="90">
        <v>3.3529411764705883</v>
      </c>
      <c r="K25" s="90">
        <v>3.3529411764705883</v>
      </c>
      <c r="L25" s="90">
        <v>2.6470588235294117</v>
      </c>
      <c r="M25" s="90">
        <v>3.4117647058823528</v>
      </c>
      <c r="N25" s="90">
        <v>2.6470588235294117</v>
      </c>
      <c r="O25" s="90">
        <v>3.6470588235294117</v>
      </c>
      <c r="P25" s="90">
        <v>3.8235294117647061</v>
      </c>
      <c r="Q25" s="90">
        <v>3.9411764705882355</v>
      </c>
      <c r="R25" s="90">
        <v>3.2352941176470589</v>
      </c>
      <c r="S25" s="100">
        <v>17</v>
      </c>
    </row>
    <row r="26" spans="1:19" x14ac:dyDescent="0.35">
      <c r="A26" s="119" t="s">
        <v>61</v>
      </c>
      <c r="B26" s="100">
        <v>2</v>
      </c>
      <c r="C26" s="100">
        <v>581</v>
      </c>
      <c r="D26" s="90">
        <v>3.8888888888888888</v>
      </c>
      <c r="E26" s="90">
        <v>3.9230769230769229</v>
      </c>
      <c r="F26" s="90">
        <v>2.7777777777777777</v>
      </c>
      <c r="G26" s="90">
        <v>3.32</v>
      </c>
      <c r="H26" s="90">
        <v>3.16</v>
      </c>
      <c r="I26" s="90">
        <v>2.64</v>
      </c>
      <c r="J26" s="90">
        <v>2.8846153846153846</v>
      </c>
      <c r="K26" s="90">
        <v>2.52</v>
      </c>
      <c r="L26" s="90">
        <v>2.76</v>
      </c>
      <c r="M26" s="90">
        <v>3.3461538461538463</v>
      </c>
      <c r="N26" s="90">
        <v>2.3846153846153846</v>
      </c>
      <c r="O26" s="90">
        <v>3.16</v>
      </c>
      <c r="P26" s="90">
        <v>3.4166666666666665</v>
      </c>
      <c r="Q26" s="90">
        <v>3.6153846153846154</v>
      </c>
      <c r="R26" s="90">
        <v>2.76</v>
      </c>
      <c r="S26" s="100">
        <v>27</v>
      </c>
    </row>
    <row r="27" spans="1:19" x14ac:dyDescent="0.35">
      <c r="A27" s="119" t="s">
        <v>62</v>
      </c>
      <c r="B27" s="100">
        <v>1</v>
      </c>
      <c r="C27" s="100">
        <v>592</v>
      </c>
      <c r="D27" s="90">
        <v>4</v>
      </c>
      <c r="E27" s="90">
        <v>4.1875</v>
      </c>
      <c r="F27" s="90">
        <v>2.1176470588235294</v>
      </c>
      <c r="G27" s="90">
        <v>3.1764705882352939</v>
      </c>
      <c r="H27" s="90">
        <v>2.7058823529411766</v>
      </c>
      <c r="I27" s="90">
        <v>2.6470588235294117</v>
      </c>
      <c r="J27" s="90">
        <v>3.2941176470588234</v>
      </c>
      <c r="K27" s="90">
        <v>2.4117647058823528</v>
      </c>
      <c r="L27" s="90">
        <v>2.1764705882352939</v>
      </c>
      <c r="M27" s="90">
        <v>3</v>
      </c>
      <c r="N27" s="90">
        <v>1.8235294117647058</v>
      </c>
      <c r="O27" s="90">
        <v>2.6</v>
      </c>
      <c r="P27" s="90">
        <v>3.3125</v>
      </c>
      <c r="Q27" s="90">
        <v>3.6470588235294117</v>
      </c>
      <c r="R27" s="90">
        <v>2.7647058823529411</v>
      </c>
      <c r="S27" s="100">
        <v>17</v>
      </c>
    </row>
    <row r="28" spans="1:19" x14ac:dyDescent="0.35">
      <c r="A28" s="119" t="s">
        <v>12</v>
      </c>
      <c r="B28" s="100">
        <v>2</v>
      </c>
      <c r="C28" s="100">
        <v>615</v>
      </c>
      <c r="D28" s="90">
        <v>3.9333333333333331</v>
      </c>
      <c r="E28" s="90">
        <v>4</v>
      </c>
      <c r="F28" s="90">
        <v>3.7142857142857144</v>
      </c>
      <c r="G28" s="90">
        <v>4</v>
      </c>
      <c r="H28" s="90">
        <v>3.3571428571428572</v>
      </c>
      <c r="I28" s="90">
        <v>3.4</v>
      </c>
      <c r="J28" s="90">
        <v>3.8666666666666667</v>
      </c>
      <c r="K28" s="90">
        <v>3.3333333333333335</v>
      </c>
      <c r="L28" s="90">
        <v>2.8666666666666667</v>
      </c>
      <c r="M28" s="90">
        <v>3.8</v>
      </c>
      <c r="N28" s="90">
        <v>3</v>
      </c>
      <c r="O28" s="90">
        <v>3.2857142857142856</v>
      </c>
      <c r="P28" s="90">
        <v>3.6</v>
      </c>
      <c r="Q28" s="90">
        <v>3.7333333333333334</v>
      </c>
      <c r="R28" s="90">
        <v>3.2666666666666666</v>
      </c>
      <c r="S28" s="100">
        <v>15</v>
      </c>
    </row>
    <row r="29" spans="1:19" x14ac:dyDescent="0.35">
      <c r="A29" s="119" t="s">
        <v>23</v>
      </c>
      <c r="B29" s="100">
        <v>4</v>
      </c>
      <c r="C29" s="100">
        <v>710</v>
      </c>
      <c r="D29" s="90">
        <v>3.6944444444444446</v>
      </c>
      <c r="E29" s="90">
        <v>4.1428571428571432</v>
      </c>
      <c r="F29" s="90">
        <v>2.8</v>
      </c>
      <c r="G29" s="90">
        <v>3.4444444444444446</v>
      </c>
      <c r="H29" s="90">
        <v>3.1176470588235294</v>
      </c>
      <c r="I29" s="90">
        <v>2.7142857142857144</v>
      </c>
      <c r="J29" s="90">
        <v>2.9722222222222223</v>
      </c>
      <c r="K29" s="90">
        <v>2.2857142857142856</v>
      </c>
      <c r="L29" s="90">
        <v>2.3333333333333335</v>
      </c>
      <c r="M29" s="90">
        <v>2.7777777777777777</v>
      </c>
      <c r="N29" s="90">
        <v>1.8484848484848484</v>
      </c>
      <c r="O29" s="90">
        <v>3.3548387096774195</v>
      </c>
      <c r="P29" s="90">
        <v>3.2857142857142856</v>
      </c>
      <c r="Q29" s="90">
        <v>3.3142857142857145</v>
      </c>
      <c r="R29" s="90">
        <v>2.7058823529411766</v>
      </c>
      <c r="S29" s="100">
        <v>36</v>
      </c>
    </row>
    <row r="30" spans="1:19" x14ac:dyDescent="0.35">
      <c r="A30" s="119" t="s">
        <v>64</v>
      </c>
      <c r="B30" s="100">
        <v>4</v>
      </c>
      <c r="C30" s="100">
        <v>680</v>
      </c>
      <c r="D30" s="90">
        <v>4.0540540540540544</v>
      </c>
      <c r="E30" s="90">
        <v>4.1842105263157894</v>
      </c>
      <c r="F30" s="90">
        <v>3.1142857142857143</v>
      </c>
      <c r="G30" s="90">
        <v>3.4736842105263159</v>
      </c>
      <c r="H30" s="90">
        <v>3.3421052631578947</v>
      </c>
      <c r="I30" s="90">
        <v>3.1351351351351351</v>
      </c>
      <c r="J30" s="90">
        <v>3.4736842105263159</v>
      </c>
      <c r="K30" s="90">
        <v>3.4473684210526314</v>
      </c>
      <c r="L30" s="90">
        <v>2.4736842105263159</v>
      </c>
      <c r="M30" s="90">
        <v>3.1315789473684212</v>
      </c>
      <c r="N30" s="90">
        <v>2</v>
      </c>
      <c r="O30" s="90">
        <v>3.1944444444444446</v>
      </c>
      <c r="P30" s="90">
        <v>3.1578947368421053</v>
      </c>
      <c r="Q30" s="90">
        <v>3.4722222222222223</v>
      </c>
      <c r="R30" s="90">
        <v>2.8157894736842106</v>
      </c>
      <c r="S30" s="100">
        <v>38</v>
      </c>
    </row>
    <row r="31" spans="1:19" x14ac:dyDescent="0.35">
      <c r="A31" s="119" t="s">
        <v>65</v>
      </c>
      <c r="B31" s="100">
        <v>1</v>
      </c>
      <c r="C31" s="100">
        <v>686</v>
      </c>
      <c r="D31" s="90">
        <v>4.166666666666667</v>
      </c>
      <c r="E31" s="90">
        <v>3.6666666666666665</v>
      </c>
      <c r="F31" s="90">
        <v>3.4166666666666665</v>
      </c>
      <c r="G31" s="90">
        <v>3.6666666666666665</v>
      </c>
      <c r="H31" s="90">
        <v>2.9166666666666665</v>
      </c>
      <c r="I31" s="90">
        <v>2.5833333333333335</v>
      </c>
      <c r="J31" s="90">
        <v>2.9166666666666665</v>
      </c>
      <c r="K31" s="90">
        <v>2.6666666666666665</v>
      </c>
      <c r="L31" s="90">
        <v>3.1666666666666665</v>
      </c>
      <c r="M31" s="90">
        <v>3.4166666666666665</v>
      </c>
      <c r="N31" s="90">
        <v>1.75</v>
      </c>
      <c r="O31" s="90">
        <v>3.3636363636363638</v>
      </c>
      <c r="P31" s="90">
        <v>3</v>
      </c>
      <c r="Q31" s="90">
        <v>3.5</v>
      </c>
      <c r="R31" s="90">
        <v>2.9166666666666665</v>
      </c>
      <c r="S31" s="100">
        <v>12</v>
      </c>
    </row>
    <row r="32" spans="1:19" x14ac:dyDescent="0.35">
      <c r="A32" s="119" t="s">
        <v>13</v>
      </c>
      <c r="B32" s="100">
        <v>5</v>
      </c>
      <c r="C32" s="100">
        <v>734</v>
      </c>
      <c r="D32" s="90">
        <v>4.042553191489362</v>
      </c>
      <c r="E32" s="90">
        <v>4.270833333333333</v>
      </c>
      <c r="F32" s="90">
        <v>2.8297872340425534</v>
      </c>
      <c r="G32" s="90">
        <v>3.3125</v>
      </c>
      <c r="H32" s="90">
        <v>2.8958333333333335</v>
      </c>
      <c r="I32" s="90">
        <v>2.6666666666666665</v>
      </c>
      <c r="J32" s="90">
        <v>3.5208333333333335</v>
      </c>
      <c r="K32" s="90">
        <v>2.347826086956522</v>
      </c>
      <c r="L32" s="90">
        <v>2.7291666666666665</v>
      </c>
      <c r="M32" s="90">
        <v>3.4255319148936172</v>
      </c>
      <c r="N32" s="90">
        <v>2.6818181818181817</v>
      </c>
      <c r="O32" s="90">
        <v>3.3783783783783785</v>
      </c>
      <c r="P32" s="90">
        <v>3.5957446808510638</v>
      </c>
      <c r="Q32" s="90">
        <v>3.6458333333333335</v>
      </c>
      <c r="R32" s="90">
        <v>3.1739130434782608</v>
      </c>
      <c r="S32" s="100">
        <v>48</v>
      </c>
    </row>
    <row r="33" spans="1:19" x14ac:dyDescent="0.35">
      <c r="A33" s="119" t="s">
        <v>14</v>
      </c>
      <c r="B33" s="100">
        <v>3</v>
      </c>
      <c r="C33" s="100">
        <v>753</v>
      </c>
      <c r="D33" s="90">
        <v>3.9333333333333331</v>
      </c>
      <c r="E33" s="90">
        <v>4.1333333333333337</v>
      </c>
      <c r="F33" s="90">
        <v>2.8620689655172415</v>
      </c>
      <c r="G33" s="90">
        <v>3.5517241379310347</v>
      </c>
      <c r="H33" s="90">
        <v>3.3</v>
      </c>
      <c r="I33" s="90">
        <v>3.0333333333333332</v>
      </c>
      <c r="J33" s="90">
        <v>3.6896551724137931</v>
      </c>
      <c r="K33" s="90">
        <v>3.4</v>
      </c>
      <c r="L33" s="90">
        <v>2.5</v>
      </c>
      <c r="M33" s="90">
        <v>3.2333333333333334</v>
      </c>
      <c r="N33" s="90">
        <v>2.3913043478260869</v>
      </c>
      <c r="O33" s="90">
        <v>3.6428571428571428</v>
      </c>
      <c r="P33" s="90">
        <v>3.6333333333333333</v>
      </c>
      <c r="Q33" s="90">
        <v>3.3333333333333335</v>
      </c>
      <c r="R33" s="90">
        <v>2.9655172413793105</v>
      </c>
      <c r="S33" s="100">
        <v>30</v>
      </c>
    </row>
    <row r="34" spans="1:19" x14ac:dyDescent="0.35">
      <c r="A34" s="119" t="s">
        <v>67</v>
      </c>
      <c r="B34" s="100">
        <v>1</v>
      </c>
      <c r="C34" s="100">
        <v>783</v>
      </c>
      <c r="D34" s="90">
        <v>3.4545454545454546</v>
      </c>
      <c r="E34" s="90">
        <v>4.0454545454545459</v>
      </c>
      <c r="F34" s="90">
        <v>2.8571428571428572</v>
      </c>
      <c r="G34" s="90">
        <v>3.5</v>
      </c>
      <c r="H34" s="90">
        <v>2.9047619047619047</v>
      </c>
      <c r="I34" s="90">
        <v>3.2380952380952381</v>
      </c>
      <c r="J34" s="90">
        <v>3.5454545454545454</v>
      </c>
      <c r="K34" s="90">
        <v>3.2272727272727271</v>
      </c>
      <c r="L34" s="90">
        <v>2.6363636363636362</v>
      </c>
      <c r="M34" s="90">
        <v>3.6818181818181817</v>
      </c>
      <c r="N34" s="90">
        <v>2.3636363636363638</v>
      </c>
      <c r="O34" s="90">
        <v>3.75</v>
      </c>
      <c r="P34" s="90">
        <v>3.4545454545454546</v>
      </c>
      <c r="Q34" s="90">
        <v>3.4285714285714284</v>
      </c>
      <c r="R34" s="90">
        <v>2.8</v>
      </c>
      <c r="S34" s="100">
        <v>22</v>
      </c>
    </row>
    <row r="35" spans="1:19" x14ac:dyDescent="0.35">
      <c r="A35" s="119" t="s">
        <v>68</v>
      </c>
      <c r="B35" s="100">
        <v>6</v>
      </c>
      <c r="C35" s="100">
        <v>837</v>
      </c>
      <c r="D35" s="90">
        <v>4.3478260869565215</v>
      </c>
      <c r="E35" s="90">
        <v>4.5625</v>
      </c>
      <c r="F35" s="90">
        <v>3.1041666666666665</v>
      </c>
      <c r="G35" s="90">
        <v>3.6666666666666665</v>
      </c>
      <c r="H35" s="90">
        <v>2.9791666666666665</v>
      </c>
      <c r="I35" s="90">
        <v>2.8958333333333335</v>
      </c>
      <c r="J35" s="90">
        <v>3.5</v>
      </c>
      <c r="K35" s="90">
        <v>2.8958333333333335</v>
      </c>
      <c r="L35" s="90">
        <v>3.021276595744681</v>
      </c>
      <c r="M35" s="90">
        <v>3.2291666666666665</v>
      </c>
      <c r="N35" s="90">
        <v>2.5106382978723403</v>
      </c>
      <c r="O35" s="90">
        <v>3.0526315789473686</v>
      </c>
      <c r="P35" s="90">
        <v>3.6041666666666665</v>
      </c>
      <c r="Q35" s="90">
        <v>3.6875</v>
      </c>
      <c r="R35" s="90">
        <v>2.8125</v>
      </c>
      <c r="S35" s="100">
        <v>48</v>
      </c>
    </row>
    <row r="36" spans="1:19" x14ac:dyDescent="0.35">
      <c r="A36" s="119" t="s">
        <v>69</v>
      </c>
      <c r="B36" s="100">
        <v>4</v>
      </c>
      <c r="C36" s="100">
        <v>851</v>
      </c>
      <c r="D36" s="90">
        <v>3.8275862068965516</v>
      </c>
      <c r="E36" s="90">
        <v>4</v>
      </c>
      <c r="F36" s="90">
        <v>3.0370370370370372</v>
      </c>
      <c r="G36" s="90">
        <v>3.5172413793103448</v>
      </c>
      <c r="H36" s="90">
        <v>2.9642857142857144</v>
      </c>
      <c r="I36" s="90">
        <v>2.7931034482758621</v>
      </c>
      <c r="J36" s="90">
        <v>3.6206896551724137</v>
      </c>
      <c r="K36" s="90">
        <v>3</v>
      </c>
      <c r="L36" s="90">
        <v>2.3571428571428572</v>
      </c>
      <c r="M36" s="90">
        <v>2.896551724137931</v>
      </c>
      <c r="N36" s="90">
        <v>2.2068965517241379</v>
      </c>
      <c r="O36" s="90">
        <v>3.8461538461538463</v>
      </c>
      <c r="P36" s="90">
        <v>3.5357142857142856</v>
      </c>
      <c r="Q36" s="90">
        <v>3.9285714285714284</v>
      </c>
      <c r="R36" s="90">
        <v>3</v>
      </c>
      <c r="S36" s="100">
        <v>29</v>
      </c>
    </row>
    <row r="37" spans="1:19" x14ac:dyDescent="0.35">
      <c r="A37" s="119" t="s">
        <v>15</v>
      </c>
      <c r="B37" s="100">
        <v>6</v>
      </c>
      <c r="C37" s="100">
        <v>853</v>
      </c>
      <c r="D37" s="90">
        <v>4.0350877192982457</v>
      </c>
      <c r="E37" s="90">
        <v>4.2321428571428568</v>
      </c>
      <c r="F37" s="90">
        <v>2.6727272727272728</v>
      </c>
      <c r="G37" s="90">
        <v>3.581818181818182</v>
      </c>
      <c r="H37" s="90">
        <v>3.1090909090909089</v>
      </c>
      <c r="I37" s="90">
        <v>2.9642857142857144</v>
      </c>
      <c r="J37" s="90">
        <v>3.6</v>
      </c>
      <c r="K37" s="90">
        <v>2.574074074074074</v>
      </c>
      <c r="L37" s="90">
        <v>2.6603773584905661</v>
      </c>
      <c r="M37" s="90">
        <v>3.3518518518518516</v>
      </c>
      <c r="N37" s="90">
        <v>2.64</v>
      </c>
      <c r="O37" s="90">
        <v>3.2708333333333335</v>
      </c>
      <c r="P37" s="90">
        <v>3.3962264150943398</v>
      </c>
      <c r="Q37" s="90">
        <v>3.6792452830188678</v>
      </c>
      <c r="R37" s="90">
        <v>3.0754716981132075</v>
      </c>
      <c r="S37" s="100">
        <v>57</v>
      </c>
    </row>
    <row r="38" spans="1:19" x14ac:dyDescent="0.35">
      <c r="A38" s="119" t="s">
        <v>16</v>
      </c>
      <c r="B38" s="100">
        <v>5</v>
      </c>
      <c r="C38" s="100">
        <v>905</v>
      </c>
      <c r="D38" s="90">
        <v>4.25</v>
      </c>
      <c r="E38" s="90">
        <v>4.365384615384615</v>
      </c>
      <c r="F38" s="90">
        <v>2.9591836734693877</v>
      </c>
      <c r="G38" s="90">
        <v>3.5</v>
      </c>
      <c r="H38" s="90">
        <v>2.86</v>
      </c>
      <c r="I38" s="90">
        <v>2.8</v>
      </c>
      <c r="J38" s="90">
        <v>3.1346153846153846</v>
      </c>
      <c r="K38" s="90">
        <v>2.6862745098039214</v>
      </c>
      <c r="L38" s="90">
        <v>2.6923076923076925</v>
      </c>
      <c r="M38" s="90">
        <v>2.9811320754716979</v>
      </c>
      <c r="N38" s="90">
        <v>2.36</v>
      </c>
      <c r="O38" s="90">
        <v>3.1956521739130435</v>
      </c>
      <c r="P38" s="90">
        <v>3.6346153846153846</v>
      </c>
      <c r="Q38" s="90">
        <v>3.5769230769230771</v>
      </c>
      <c r="R38" s="90">
        <v>2.9807692307692308</v>
      </c>
      <c r="S38" s="100">
        <v>53</v>
      </c>
    </row>
    <row r="39" spans="1:19" x14ac:dyDescent="0.35">
      <c r="A39" s="119" t="s">
        <v>71</v>
      </c>
      <c r="B39" s="100">
        <v>6</v>
      </c>
      <c r="C39" s="100">
        <v>92</v>
      </c>
      <c r="D39" s="90">
        <v>4.166666666666667</v>
      </c>
      <c r="E39" s="90">
        <v>4.1518987341772151</v>
      </c>
      <c r="F39" s="90">
        <v>2.9487179487179489</v>
      </c>
      <c r="G39" s="90">
        <v>3.6153846153846154</v>
      </c>
      <c r="H39" s="90">
        <v>3.0641025641025643</v>
      </c>
      <c r="I39" s="90">
        <v>3.051948051948052</v>
      </c>
      <c r="J39" s="90">
        <v>3.5443037974683542</v>
      </c>
      <c r="K39" s="90">
        <v>2.9746835443037973</v>
      </c>
      <c r="L39" s="90">
        <v>2.5897435897435899</v>
      </c>
      <c r="M39" s="90">
        <v>3.220779220779221</v>
      </c>
      <c r="N39" s="90">
        <v>2.1948051948051948</v>
      </c>
      <c r="O39" s="90">
        <v>3.6710526315789473</v>
      </c>
      <c r="P39" s="90">
        <v>3.2467532467532467</v>
      </c>
      <c r="Q39" s="90">
        <v>3.3974358974358974</v>
      </c>
      <c r="R39" s="90">
        <v>2.6794871794871793</v>
      </c>
      <c r="S39" s="100">
        <v>79</v>
      </c>
    </row>
    <row r="40" spans="1:19" x14ac:dyDescent="0.35">
      <c r="A40" s="119" t="s">
        <v>17</v>
      </c>
      <c r="B40" s="100">
        <v>1</v>
      </c>
      <c r="C40" s="100">
        <v>934</v>
      </c>
      <c r="D40" s="90">
        <v>4</v>
      </c>
      <c r="E40" s="90">
        <v>4.2666666666666666</v>
      </c>
      <c r="F40" s="90">
        <v>2.3076923076923075</v>
      </c>
      <c r="G40" s="90">
        <v>2.6666666666666665</v>
      </c>
      <c r="H40" s="90">
        <v>2.3333333333333335</v>
      </c>
      <c r="I40" s="90">
        <v>3</v>
      </c>
      <c r="J40" s="90">
        <v>2.2857142857142856</v>
      </c>
      <c r="K40" s="90">
        <v>2.5333333333333332</v>
      </c>
      <c r="L40" s="90">
        <v>2.4666666666666668</v>
      </c>
      <c r="M40" s="90">
        <v>2.8666666666666667</v>
      </c>
      <c r="N40" s="90">
        <v>3</v>
      </c>
      <c r="O40" s="90">
        <v>3.8461538461538463</v>
      </c>
      <c r="P40" s="90">
        <v>3.4666666666666668</v>
      </c>
      <c r="Q40" s="90">
        <v>3.2666666666666666</v>
      </c>
      <c r="R40" s="90">
        <v>2.3076923076923075</v>
      </c>
      <c r="S40" s="100">
        <v>15</v>
      </c>
    </row>
    <row r="41" spans="1:19" x14ac:dyDescent="0.35">
      <c r="A41" s="119" t="s">
        <v>24</v>
      </c>
      <c r="B41" s="100">
        <v>2</v>
      </c>
      <c r="C41" s="100">
        <v>946</v>
      </c>
      <c r="D41" s="90">
        <v>4.04</v>
      </c>
      <c r="E41" s="90">
        <v>4.0384615384615383</v>
      </c>
      <c r="F41" s="90">
        <v>2.6</v>
      </c>
      <c r="G41" s="90">
        <v>3.4230769230769229</v>
      </c>
      <c r="H41" s="90">
        <v>2.92</v>
      </c>
      <c r="I41" s="90">
        <v>2.84</v>
      </c>
      <c r="J41" s="90">
        <v>2.64</v>
      </c>
      <c r="K41" s="90">
        <v>2.625</v>
      </c>
      <c r="L41" s="90">
        <v>2.1818181818181817</v>
      </c>
      <c r="M41" s="90">
        <v>2.9090909090909092</v>
      </c>
      <c r="N41" s="90">
        <v>1.9583333333333333</v>
      </c>
      <c r="O41" s="90">
        <v>3.5217391304347827</v>
      </c>
      <c r="P41" s="90">
        <v>3.375</v>
      </c>
      <c r="Q41" s="90">
        <v>3.25</v>
      </c>
      <c r="R41" s="90">
        <v>2</v>
      </c>
      <c r="S41" s="100">
        <v>26</v>
      </c>
    </row>
    <row r="45" spans="1:19" x14ac:dyDescent="0.35">
      <c r="A45" s="119" t="s">
        <v>126</v>
      </c>
      <c r="D45" s="119" t="s">
        <v>581</v>
      </c>
      <c r="E45" s="119" t="s">
        <v>582</v>
      </c>
      <c r="F45" s="119" t="s">
        <v>583</v>
      </c>
      <c r="G45" s="119" t="s">
        <v>584</v>
      </c>
      <c r="H45" s="119" t="s">
        <v>585</v>
      </c>
      <c r="I45" s="119" t="s">
        <v>586</v>
      </c>
      <c r="J45" s="119" t="s">
        <v>587</v>
      </c>
      <c r="K45" s="119" t="s">
        <v>588</v>
      </c>
      <c r="L45" s="119" t="s">
        <v>589</v>
      </c>
      <c r="M45" s="119" t="s">
        <v>590</v>
      </c>
      <c r="N45" s="119" t="s">
        <v>591</v>
      </c>
      <c r="O45" s="119" t="s">
        <v>592</v>
      </c>
      <c r="P45" s="119" t="s">
        <v>593</v>
      </c>
      <c r="Q45" s="119" t="s">
        <v>594</v>
      </c>
      <c r="R45" s="119" t="s">
        <v>595</v>
      </c>
      <c r="S45" s="119" t="s">
        <v>79</v>
      </c>
    </row>
    <row r="46" spans="1:19" x14ac:dyDescent="0.35">
      <c r="A46" s="119" t="s">
        <v>130</v>
      </c>
      <c r="D46" s="90">
        <v>3.8099173553719008</v>
      </c>
      <c r="E46" s="90">
        <v>4.0583333333333336</v>
      </c>
      <c r="F46" s="90">
        <v>2.847457627118644</v>
      </c>
      <c r="G46" s="90">
        <v>3.4710743801652892</v>
      </c>
      <c r="H46" s="90">
        <v>3.0666666666666669</v>
      </c>
      <c r="I46" s="90">
        <v>3.0504201680672267</v>
      </c>
      <c r="J46" s="90">
        <v>3.3250000000000002</v>
      </c>
      <c r="K46" s="90">
        <v>2.9752066115702478</v>
      </c>
      <c r="L46" s="90">
        <v>2.672268907563025</v>
      </c>
      <c r="M46" s="90">
        <v>3.3553719008264462</v>
      </c>
      <c r="N46" s="90">
        <v>2.3185840707964602</v>
      </c>
      <c r="O46" s="90">
        <v>3.5462962962962963</v>
      </c>
      <c r="P46" s="90">
        <v>3.6271186440677967</v>
      </c>
      <c r="Q46" s="90">
        <v>3.6666666666666665</v>
      </c>
      <c r="R46" s="90">
        <v>2.8205128205128207</v>
      </c>
      <c r="S46" s="100">
        <v>121</v>
      </c>
    </row>
    <row r="47" spans="1:19" x14ac:dyDescent="0.35">
      <c r="A47" s="119" t="s">
        <v>131</v>
      </c>
      <c r="D47" s="90">
        <v>4.0495867768595044</v>
      </c>
      <c r="E47" s="90">
        <v>4.115702479338843</v>
      </c>
      <c r="F47" s="90">
        <v>2.7711864406779663</v>
      </c>
      <c r="G47" s="90">
        <v>3.5042016806722689</v>
      </c>
      <c r="H47" s="90">
        <v>3.1610169491525424</v>
      </c>
      <c r="I47" s="90">
        <v>2.8907563025210083</v>
      </c>
      <c r="J47" s="90">
        <v>3.1083333333333334</v>
      </c>
      <c r="K47" s="90">
        <v>2.6949152542372881</v>
      </c>
      <c r="L47" s="90">
        <v>2.3652173913043479</v>
      </c>
      <c r="M47" s="90">
        <v>3.1217391304347828</v>
      </c>
      <c r="N47" s="90">
        <v>2.2347826086956522</v>
      </c>
      <c r="O47" s="90">
        <v>3.3636363636363638</v>
      </c>
      <c r="P47" s="90">
        <v>3.4521739130434783</v>
      </c>
      <c r="Q47" s="90">
        <v>3.53781512605042</v>
      </c>
      <c r="R47" s="90">
        <v>2.6982758620689653</v>
      </c>
      <c r="S47" s="100">
        <v>122</v>
      </c>
    </row>
    <row r="48" spans="1:19" x14ac:dyDescent="0.35">
      <c r="A48" s="119" t="s">
        <v>132</v>
      </c>
      <c r="D48" s="90">
        <v>3.951111111111111</v>
      </c>
      <c r="E48" s="90">
        <v>4.1592920353982299</v>
      </c>
      <c r="F48" s="90">
        <v>3.1090909090909089</v>
      </c>
      <c r="G48" s="90">
        <v>3.5405405405405403</v>
      </c>
      <c r="H48" s="90">
        <v>3.099099099099099</v>
      </c>
      <c r="I48" s="90">
        <v>2.9955357142857144</v>
      </c>
      <c r="J48" s="90">
        <v>3.4529147982062782</v>
      </c>
      <c r="K48" s="90">
        <v>2.9324324324324325</v>
      </c>
      <c r="L48" s="90">
        <v>2.755656108597285</v>
      </c>
      <c r="M48" s="90">
        <v>3.1255605381165918</v>
      </c>
      <c r="N48" s="90">
        <v>2.339712918660287</v>
      </c>
      <c r="O48" s="90">
        <v>3.3349753694581281</v>
      </c>
      <c r="P48" s="90">
        <v>3.5090909090909093</v>
      </c>
      <c r="Q48" s="90">
        <v>3.570135746606335</v>
      </c>
      <c r="R48" s="90">
        <v>2.7149321266968327</v>
      </c>
      <c r="S48" s="100">
        <v>227</v>
      </c>
    </row>
    <row r="49" spans="1:19" x14ac:dyDescent="0.35">
      <c r="A49" s="119" t="s">
        <v>133</v>
      </c>
      <c r="D49" s="90">
        <v>3.925925925925926</v>
      </c>
      <c r="E49" s="90">
        <v>4.2383177570093462</v>
      </c>
      <c r="F49" s="90">
        <v>2.936893203883495</v>
      </c>
      <c r="G49" s="90">
        <v>3.436619718309859</v>
      </c>
      <c r="H49" s="90">
        <v>3.1285714285714286</v>
      </c>
      <c r="I49" s="90">
        <v>2.8862559241706163</v>
      </c>
      <c r="J49" s="90">
        <v>3.3317757009345796</v>
      </c>
      <c r="K49" s="90">
        <v>2.919431279620853</v>
      </c>
      <c r="L49" s="90">
        <v>2.3791469194312795</v>
      </c>
      <c r="M49" s="90">
        <v>2.9292452830188678</v>
      </c>
      <c r="N49" s="90">
        <v>2.105</v>
      </c>
      <c r="O49" s="90">
        <v>3.4455958549222796</v>
      </c>
      <c r="P49" s="90">
        <v>3.3886255924170614</v>
      </c>
      <c r="Q49" s="90">
        <v>3.4807692307692308</v>
      </c>
      <c r="R49" s="90">
        <v>2.7971014492753623</v>
      </c>
      <c r="S49" s="100">
        <v>217</v>
      </c>
    </row>
    <row r="50" spans="1:19" x14ac:dyDescent="0.35">
      <c r="A50" s="119" t="s">
        <v>134</v>
      </c>
      <c r="D50" s="90">
        <v>4.1038062283737027</v>
      </c>
      <c r="E50" s="90">
        <v>4.3037542662116044</v>
      </c>
      <c r="F50" s="90">
        <v>3.0209059233449476</v>
      </c>
      <c r="G50" s="90">
        <v>3.4417808219178081</v>
      </c>
      <c r="H50" s="90">
        <v>3.0240549828178693</v>
      </c>
      <c r="I50" s="90">
        <v>2.9209621993127146</v>
      </c>
      <c r="J50" s="90">
        <v>3.3630136986301369</v>
      </c>
      <c r="K50" s="90">
        <v>2.6585365853658538</v>
      </c>
      <c r="L50" s="90">
        <v>2.6907216494845363</v>
      </c>
      <c r="M50" s="90">
        <v>3.21160409556314</v>
      </c>
      <c r="N50" s="90">
        <v>2.5992779783393503</v>
      </c>
      <c r="O50" s="90">
        <v>3.4940239043824701</v>
      </c>
      <c r="P50" s="90">
        <v>3.5813148788927336</v>
      </c>
      <c r="Q50" s="90">
        <v>3.6262975778546713</v>
      </c>
      <c r="R50" s="90">
        <v>2.9688581314878895</v>
      </c>
      <c r="S50" s="100">
        <v>298</v>
      </c>
    </row>
    <row r="51" spans="1:19" x14ac:dyDescent="0.35">
      <c r="A51" s="119" t="s">
        <v>135</v>
      </c>
      <c r="D51" s="90">
        <v>4.2172701949860727</v>
      </c>
      <c r="E51" s="90">
        <v>4.375</v>
      </c>
      <c r="F51" s="90">
        <v>2.9433427762039659</v>
      </c>
      <c r="G51" s="90">
        <v>3.5702247191011236</v>
      </c>
      <c r="H51" s="90">
        <v>3.0762711864406778</v>
      </c>
      <c r="I51" s="90">
        <v>2.9662921348314608</v>
      </c>
      <c r="J51" s="90">
        <v>3.5126760563380284</v>
      </c>
      <c r="K51" s="90">
        <v>2.8314606741573032</v>
      </c>
      <c r="L51" s="90">
        <v>2.7585227272727271</v>
      </c>
      <c r="M51" s="90">
        <v>3.2816901408450705</v>
      </c>
      <c r="N51" s="90">
        <v>2.4142011834319526</v>
      </c>
      <c r="O51" s="90">
        <v>3.5077399380804954</v>
      </c>
      <c r="P51" s="90">
        <v>3.4406779661016951</v>
      </c>
      <c r="Q51" s="90">
        <v>3.5609065155807365</v>
      </c>
      <c r="R51" s="90">
        <v>2.8725212464589234</v>
      </c>
      <c r="S51" s="100">
        <v>362</v>
      </c>
    </row>
    <row r="54" spans="1:19" x14ac:dyDescent="0.35">
      <c r="A54" s="119" t="s">
        <v>127</v>
      </c>
      <c r="D54" s="90">
        <v>4.05</v>
      </c>
      <c r="E54" s="90">
        <v>4.25</v>
      </c>
      <c r="F54" s="90">
        <v>2.96</v>
      </c>
      <c r="G54" s="90">
        <v>3.5</v>
      </c>
      <c r="H54" s="90">
        <v>3.08</v>
      </c>
      <c r="I54" s="90">
        <v>2.95</v>
      </c>
      <c r="J54" s="90">
        <v>3.39</v>
      </c>
      <c r="K54" s="90">
        <v>2.83</v>
      </c>
      <c r="L54" s="90">
        <v>2.64</v>
      </c>
      <c r="M54" s="90">
        <v>3.18</v>
      </c>
      <c r="N54" s="90">
        <v>2.37</v>
      </c>
      <c r="O54" s="90">
        <v>3.46</v>
      </c>
      <c r="P54" s="90">
        <v>3.49</v>
      </c>
      <c r="Q54" s="90">
        <v>3.57</v>
      </c>
      <c r="R54" s="90">
        <v>2.83</v>
      </c>
    </row>
    <row r="55" spans="1:19" x14ac:dyDescent="0.35">
      <c r="C55" s="119" t="s">
        <v>596</v>
      </c>
      <c r="D55" s="100">
        <v>1331</v>
      </c>
      <c r="E55" s="100">
        <v>1334</v>
      </c>
      <c r="F55" s="100">
        <v>1302</v>
      </c>
      <c r="G55" s="100">
        <v>1323</v>
      </c>
      <c r="H55" s="100">
        <v>1315</v>
      </c>
      <c r="I55" s="100">
        <v>1320</v>
      </c>
      <c r="J55" s="100">
        <v>1324</v>
      </c>
      <c r="K55" s="100">
        <v>1315</v>
      </c>
      <c r="L55" s="100">
        <v>1309</v>
      </c>
      <c r="M55" s="100">
        <v>1319</v>
      </c>
      <c r="N55" s="100">
        <v>1252</v>
      </c>
      <c r="O55" s="100">
        <v>1188</v>
      </c>
      <c r="P55" s="100">
        <v>1307</v>
      </c>
      <c r="Q55" s="100">
        <v>1310</v>
      </c>
      <c r="R55" s="100">
        <v>1303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4" workbookViewId="0">
      <selection activeCell="A69" sqref="A69:L6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128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25</v>
      </c>
      <c r="E2" s="100">
        <v>12</v>
      </c>
    </row>
    <row r="3" spans="1:5" x14ac:dyDescent="0.35">
      <c r="A3" t="s">
        <v>45</v>
      </c>
      <c r="B3" s="100">
        <v>6</v>
      </c>
      <c r="C3" s="100">
        <v>49</v>
      </c>
      <c r="D3" s="90">
        <v>62.025316455696199</v>
      </c>
      <c r="E3" s="100">
        <v>79</v>
      </c>
    </row>
    <row r="4" spans="1:5" x14ac:dyDescent="0.35">
      <c r="A4" t="s">
        <v>46</v>
      </c>
      <c r="B4" s="100">
        <v>2</v>
      </c>
      <c r="C4" s="100">
        <v>82</v>
      </c>
      <c r="D4" s="90">
        <v>25</v>
      </c>
      <c r="E4" s="100">
        <v>16</v>
      </c>
    </row>
    <row r="5" spans="1:5" x14ac:dyDescent="0.35">
      <c r="A5" t="s">
        <v>2</v>
      </c>
      <c r="B5" s="100">
        <v>1</v>
      </c>
      <c r="C5" s="100">
        <v>97</v>
      </c>
      <c r="D5" s="90">
        <v>22.222222222222221</v>
      </c>
      <c r="E5" s="100">
        <v>9</v>
      </c>
    </row>
    <row r="6" spans="1:5" x14ac:dyDescent="0.35">
      <c r="A6" t="s">
        <v>3</v>
      </c>
      <c r="B6" s="100">
        <v>4</v>
      </c>
      <c r="C6" s="100">
        <v>54</v>
      </c>
      <c r="D6" s="90">
        <v>44</v>
      </c>
      <c r="E6" s="100">
        <v>25</v>
      </c>
    </row>
    <row r="7" spans="1:5" x14ac:dyDescent="0.35">
      <c r="A7" t="s">
        <v>4</v>
      </c>
      <c r="B7" s="100">
        <v>5</v>
      </c>
      <c r="C7" s="100">
        <v>109</v>
      </c>
      <c r="D7" s="90">
        <v>37.142857142857146</v>
      </c>
      <c r="E7" s="100">
        <v>35</v>
      </c>
    </row>
    <row r="8" spans="1:5" x14ac:dyDescent="0.35">
      <c r="A8" t="s">
        <v>48</v>
      </c>
      <c r="B8" s="100">
        <v>2</v>
      </c>
      <c r="C8" s="100">
        <v>148</v>
      </c>
      <c r="D8" s="90">
        <v>23.076923076923077</v>
      </c>
      <c r="E8" s="100">
        <v>14</v>
      </c>
    </row>
    <row r="9" spans="1:5" x14ac:dyDescent="0.35">
      <c r="A9" t="s">
        <v>5</v>
      </c>
      <c r="B9" s="100">
        <v>6</v>
      </c>
      <c r="C9" s="100">
        <v>179</v>
      </c>
      <c r="D9" s="90">
        <v>39.583333333333336</v>
      </c>
      <c r="E9" s="100">
        <v>48</v>
      </c>
    </row>
    <row r="10" spans="1:5" x14ac:dyDescent="0.35">
      <c r="A10" t="s">
        <v>50</v>
      </c>
      <c r="B10" s="100">
        <v>3</v>
      </c>
      <c r="C10" s="100">
        <v>214</v>
      </c>
      <c r="D10" s="90">
        <v>38.095238095238095</v>
      </c>
      <c r="E10" s="100">
        <v>21</v>
      </c>
    </row>
    <row r="11" spans="1:5" x14ac:dyDescent="0.35">
      <c r="A11" t="s">
        <v>51</v>
      </c>
      <c r="B11" s="100">
        <v>1</v>
      </c>
      <c r="C11" s="100">
        <v>239</v>
      </c>
      <c r="D11" s="90">
        <v>41.176470588235297</v>
      </c>
      <c r="E11" s="100">
        <v>17</v>
      </c>
    </row>
    <row r="12" spans="1:5" x14ac:dyDescent="0.35">
      <c r="A12" t="s">
        <v>22</v>
      </c>
      <c r="B12" s="100">
        <v>2</v>
      </c>
      <c r="C12" s="100">
        <v>322</v>
      </c>
      <c r="D12" s="90">
        <v>34.782608695652172</v>
      </c>
      <c r="E12" s="100">
        <v>23</v>
      </c>
    </row>
    <row r="13" spans="1:5" x14ac:dyDescent="0.35">
      <c r="A13" t="s">
        <v>52</v>
      </c>
      <c r="B13" s="100">
        <v>3</v>
      </c>
      <c r="C13" s="100">
        <v>249</v>
      </c>
      <c r="D13" s="90">
        <v>29.411764705882351</v>
      </c>
      <c r="E13" s="100">
        <v>34</v>
      </c>
    </row>
    <row r="14" spans="1:5" x14ac:dyDescent="0.35">
      <c r="A14" t="s">
        <v>72</v>
      </c>
      <c r="B14" s="100">
        <v>4</v>
      </c>
      <c r="C14" s="100">
        <v>272</v>
      </c>
      <c r="D14" s="90">
        <v>28.846153846153847</v>
      </c>
      <c r="E14" s="100">
        <v>53</v>
      </c>
    </row>
    <row r="15" spans="1:5" x14ac:dyDescent="0.35">
      <c r="A15" t="s">
        <v>6</v>
      </c>
      <c r="B15" s="100">
        <v>5</v>
      </c>
      <c r="C15" s="100">
        <v>285</v>
      </c>
      <c r="D15" s="90">
        <v>37.931034482758619</v>
      </c>
      <c r="E15" s="100">
        <v>58</v>
      </c>
    </row>
    <row r="16" spans="1:5" x14ac:dyDescent="0.35">
      <c r="A16" t="s">
        <v>73</v>
      </c>
      <c r="B16" s="100">
        <v>3</v>
      </c>
      <c r="C16" s="100">
        <v>301</v>
      </c>
      <c r="D16" s="90">
        <v>23.333333333333332</v>
      </c>
      <c r="E16" s="100">
        <v>30</v>
      </c>
    </row>
    <row r="17" spans="1:5" x14ac:dyDescent="0.35">
      <c r="A17" t="s">
        <v>7</v>
      </c>
      <c r="B17" s="100">
        <v>3</v>
      </c>
      <c r="C17" s="100">
        <v>305</v>
      </c>
      <c r="D17" s="90">
        <v>30.76923076923077</v>
      </c>
      <c r="E17" s="100">
        <v>27</v>
      </c>
    </row>
    <row r="18" spans="1:5" x14ac:dyDescent="0.35">
      <c r="A18" t="s">
        <v>8</v>
      </c>
      <c r="B18" s="100">
        <v>5</v>
      </c>
      <c r="C18" s="100">
        <v>405</v>
      </c>
      <c r="D18" s="90">
        <v>27.777777777777779</v>
      </c>
      <c r="E18" s="100">
        <v>36</v>
      </c>
    </row>
    <row r="19" spans="1:5" x14ac:dyDescent="0.35">
      <c r="A19" t="s">
        <v>9</v>
      </c>
      <c r="B19" s="100">
        <v>4</v>
      </c>
      <c r="C19" s="100">
        <v>418</v>
      </c>
      <c r="D19" s="90">
        <v>27.777777777777779</v>
      </c>
      <c r="E19" s="100">
        <v>36</v>
      </c>
    </row>
    <row r="20" spans="1:5" x14ac:dyDescent="0.35">
      <c r="A20" t="s">
        <v>56</v>
      </c>
      <c r="B20" s="100">
        <v>3</v>
      </c>
      <c r="C20" s="100">
        <v>426</v>
      </c>
      <c r="D20" s="90">
        <v>52</v>
      </c>
      <c r="E20" s="100">
        <v>25</v>
      </c>
    </row>
    <row r="21" spans="1:5" x14ac:dyDescent="0.35">
      <c r="A21" t="s">
        <v>74</v>
      </c>
      <c r="B21" s="100">
        <v>5</v>
      </c>
      <c r="C21" s="100">
        <v>491</v>
      </c>
      <c r="D21" s="90">
        <v>39.705882352941174</v>
      </c>
      <c r="E21" s="100">
        <v>68</v>
      </c>
    </row>
    <row r="22" spans="1:5" x14ac:dyDescent="0.35">
      <c r="A22" t="s">
        <v>10</v>
      </c>
      <c r="B22" s="100">
        <v>2.9767441860465116</v>
      </c>
      <c r="C22" s="100">
        <v>499</v>
      </c>
      <c r="D22" s="90">
        <v>20.930232558139537</v>
      </c>
      <c r="E22" s="100">
        <v>43</v>
      </c>
    </row>
    <row r="23" spans="1:5" x14ac:dyDescent="0.35">
      <c r="A23" t="s">
        <v>58</v>
      </c>
      <c r="B23" s="100">
        <v>3</v>
      </c>
      <c r="C23" s="100">
        <v>535</v>
      </c>
      <c r="D23" s="90">
        <v>22.222222222222221</v>
      </c>
      <c r="E23" s="100">
        <v>18</v>
      </c>
    </row>
    <row r="24" spans="1:5" x14ac:dyDescent="0.35">
      <c r="A24" t="s">
        <v>11</v>
      </c>
      <c r="B24" s="100">
        <v>6</v>
      </c>
      <c r="C24" s="100">
        <v>464</v>
      </c>
      <c r="D24" s="90">
        <v>49.019607843137258</v>
      </c>
      <c r="E24" s="100">
        <v>51</v>
      </c>
    </row>
    <row r="25" spans="1:5" x14ac:dyDescent="0.35">
      <c r="A25" t="s">
        <v>60</v>
      </c>
      <c r="B25" s="100">
        <v>1</v>
      </c>
      <c r="C25" s="100">
        <v>578</v>
      </c>
      <c r="D25" s="90">
        <v>29.411764705882351</v>
      </c>
      <c r="E25" s="100">
        <v>17</v>
      </c>
    </row>
    <row r="26" spans="1:5" x14ac:dyDescent="0.35">
      <c r="A26" t="s">
        <v>61</v>
      </c>
      <c r="B26" s="100">
        <v>2</v>
      </c>
      <c r="C26" s="100">
        <v>581</v>
      </c>
      <c r="D26" s="90">
        <v>29.62962962962963</v>
      </c>
      <c r="E26" s="100">
        <v>27</v>
      </c>
    </row>
    <row r="27" spans="1:5" x14ac:dyDescent="0.35">
      <c r="A27" t="s">
        <v>62</v>
      </c>
      <c r="B27" s="100">
        <v>1</v>
      </c>
      <c r="C27" s="100">
        <v>592</v>
      </c>
      <c r="D27" s="90">
        <v>23.529411764705884</v>
      </c>
      <c r="E27" s="100">
        <v>17</v>
      </c>
    </row>
    <row r="28" spans="1:5" x14ac:dyDescent="0.35">
      <c r="A28" t="s">
        <v>12</v>
      </c>
      <c r="B28" s="100">
        <v>2</v>
      </c>
      <c r="C28" s="100">
        <v>615</v>
      </c>
      <c r="D28" s="90">
        <v>33.333333333333336</v>
      </c>
      <c r="E28" s="100">
        <v>15</v>
      </c>
    </row>
    <row r="29" spans="1:5" x14ac:dyDescent="0.35">
      <c r="A29" t="s">
        <v>23</v>
      </c>
      <c r="B29" s="100">
        <v>4</v>
      </c>
      <c r="C29" s="100">
        <v>710</v>
      </c>
      <c r="D29" s="90">
        <v>25</v>
      </c>
      <c r="E29" s="100">
        <v>36</v>
      </c>
    </row>
    <row r="30" spans="1:5" x14ac:dyDescent="0.35">
      <c r="A30" t="s">
        <v>64</v>
      </c>
      <c r="B30" s="100">
        <v>4</v>
      </c>
      <c r="C30" s="100">
        <v>680</v>
      </c>
      <c r="D30" s="90">
        <v>44.736842105263158</v>
      </c>
      <c r="E30" s="100">
        <v>38</v>
      </c>
    </row>
    <row r="31" spans="1:5" x14ac:dyDescent="0.35">
      <c r="A31" t="s">
        <v>65</v>
      </c>
      <c r="B31" s="100">
        <v>1</v>
      </c>
      <c r="C31" s="100">
        <v>686</v>
      </c>
      <c r="D31" s="90">
        <v>41.666666666666664</v>
      </c>
      <c r="E31" s="100">
        <v>12</v>
      </c>
    </row>
    <row r="32" spans="1:5" x14ac:dyDescent="0.35">
      <c r="A32" t="s">
        <v>13</v>
      </c>
      <c r="B32" s="100">
        <v>5</v>
      </c>
      <c r="C32" s="100">
        <v>734</v>
      </c>
      <c r="D32" s="90">
        <v>31.25</v>
      </c>
      <c r="E32" s="100">
        <v>48</v>
      </c>
    </row>
    <row r="33" spans="1:5" x14ac:dyDescent="0.35">
      <c r="A33" t="s">
        <v>14</v>
      </c>
      <c r="B33" s="100">
        <v>3</v>
      </c>
      <c r="C33" s="100">
        <v>753</v>
      </c>
      <c r="D33" s="90">
        <v>20</v>
      </c>
      <c r="E33" s="100">
        <v>30</v>
      </c>
    </row>
    <row r="34" spans="1:5" x14ac:dyDescent="0.35">
      <c r="A34" t="s">
        <v>67</v>
      </c>
      <c r="B34" s="100">
        <v>1</v>
      </c>
      <c r="C34" s="100">
        <v>783</v>
      </c>
      <c r="D34" s="90">
        <v>27.272727272727273</v>
      </c>
      <c r="E34" s="100">
        <v>22</v>
      </c>
    </row>
    <row r="35" spans="1:5" x14ac:dyDescent="0.35">
      <c r="A35" t="s">
        <v>68</v>
      </c>
      <c r="B35" s="100">
        <v>6</v>
      </c>
      <c r="C35" s="100">
        <v>837</v>
      </c>
      <c r="D35" s="90">
        <v>41.666666666666664</v>
      </c>
      <c r="E35" s="100">
        <v>48</v>
      </c>
    </row>
    <row r="36" spans="1:5" x14ac:dyDescent="0.35">
      <c r="A36" t="s">
        <v>69</v>
      </c>
      <c r="B36" s="100">
        <v>4</v>
      </c>
      <c r="C36" s="100">
        <v>851</v>
      </c>
      <c r="D36" s="90">
        <v>51.724137931034484</v>
      </c>
      <c r="E36" s="100">
        <v>29</v>
      </c>
    </row>
    <row r="37" spans="1:5" x14ac:dyDescent="0.35">
      <c r="A37" t="s">
        <v>15</v>
      </c>
      <c r="B37" s="100">
        <v>6</v>
      </c>
      <c r="C37" s="100">
        <v>853</v>
      </c>
      <c r="D37" s="90">
        <v>59.649122807017541</v>
      </c>
      <c r="E37" s="100">
        <v>57</v>
      </c>
    </row>
    <row r="38" spans="1:5" x14ac:dyDescent="0.35">
      <c r="A38" t="s">
        <v>16</v>
      </c>
      <c r="B38" s="100">
        <v>5</v>
      </c>
      <c r="C38" s="100">
        <v>905</v>
      </c>
      <c r="D38" s="90">
        <v>19.23076923076923</v>
      </c>
      <c r="E38" s="100">
        <v>53</v>
      </c>
    </row>
    <row r="39" spans="1:5" x14ac:dyDescent="0.35">
      <c r="A39" t="s">
        <v>71</v>
      </c>
      <c r="B39" s="100">
        <v>6</v>
      </c>
      <c r="C39" s="100">
        <v>92</v>
      </c>
      <c r="D39" s="90">
        <v>51.898734177215189</v>
      </c>
      <c r="E39" s="100">
        <v>79</v>
      </c>
    </row>
    <row r="40" spans="1:5" x14ac:dyDescent="0.35">
      <c r="A40" t="s">
        <v>17</v>
      </c>
      <c r="B40" s="100">
        <v>1</v>
      </c>
      <c r="C40" s="100">
        <v>934</v>
      </c>
      <c r="D40" s="90">
        <v>20</v>
      </c>
      <c r="E40" s="100">
        <v>15</v>
      </c>
    </row>
    <row r="41" spans="1:5" x14ac:dyDescent="0.35">
      <c r="A41" t="s">
        <v>24</v>
      </c>
      <c r="B41" s="100">
        <v>2</v>
      </c>
      <c r="C41" s="100">
        <v>946</v>
      </c>
      <c r="D41" s="90">
        <v>12</v>
      </c>
      <c r="E41" s="100">
        <v>26</v>
      </c>
    </row>
    <row r="43" spans="1:5" x14ac:dyDescent="0.35">
      <c r="A43" t="s">
        <v>126</v>
      </c>
      <c r="D43" t="s">
        <v>128</v>
      </c>
      <c r="E43" t="s">
        <v>79</v>
      </c>
    </row>
    <row r="44" spans="1:5" x14ac:dyDescent="0.35">
      <c r="A44" t="s">
        <v>130</v>
      </c>
      <c r="D44" s="90">
        <v>28.925619834710744</v>
      </c>
      <c r="E44" s="100">
        <v>121</v>
      </c>
    </row>
    <row r="45" spans="1:5" x14ac:dyDescent="0.35">
      <c r="A45" t="s">
        <v>131</v>
      </c>
      <c r="D45" s="90">
        <v>25.833333333333332</v>
      </c>
      <c r="E45" s="100">
        <v>122</v>
      </c>
    </row>
    <row r="46" spans="1:5" x14ac:dyDescent="0.35">
      <c r="A46" t="s">
        <v>132</v>
      </c>
      <c r="D46" s="90">
        <v>28.761061946902654</v>
      </c>
      <c r="E46" s="100">
        <v>227</v>
      </c>
    </row>
    <row r="47" spans="1:5" x14ac:dyDescent="0.35">
      <c r="A47" t="s">
        <v>133</v>
      </c>
      <c r="D47" s="90">
        <v>35.648148148148145</v>
      </c>
      <c r="E47" s="100">
        <v>217</v>
      </c>
    </row>
    <row r="48" spans="1:5" x14ac:dyDescent="0.35">
      <c r="A48" t="s">
        <v>134</v>
      </c>
      <c r="D48" s="90">
        <v>32.659932659932657</v>
      </c>
      <c r="E48" s="100">
        <v>298</v>
      </c>
    </row>
    <row r="49" spans="1:5" x14ac:dyDescent="0.35">
      <c r="A49" t="s">
        <v>135</v>
      </c>
      <c r="D49" s="90">
        <v>51.933701657458563</v>
      </c>
      <c r="E49" s="100">
        <v>362</v>
      </c>
    </row>
    <row r="51" spans="1:5" x14ac:dyDescent="0.35">
      <c r="A51" t="s">
        <v>127</v>
      </c>
      <c r="D51" s="90">
        <v>36.700000000000003</v>
      </c>
      <c r="E51" s="100">
        <v>1342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69" sqref="A69:L69"/>
    </sheetView>
  </sheetViews>
  <sheetFormatPr defaultRowHeight="14.6" x14ac:dyDescent="0.35"/>
  <sheetData>
    <row r="1" spans="1:5" x14ac:dyDescent="0.35">
      <c r="A1" t="s">
        <v>122</v>
      </c>
      <c r="B1" t="s">
        <v>123</v>
      </c>
      <c r="C1" t="s">
        <v>124</v>
      </c>
      <c r="D1" t="s">
        <v>129</v>
      </c>
      <c r="E1" t="s">
        <v>79</v>
      </c>
    </row>
    <row r="2" spans="1:5" x14ac:dyDescent="0.35">
      <c r="A2" t="s">
        <v>44</v>
      </c>
      <c r="B2" s="100">
        <v>1</v>
      </c>
      <c r="C2" s="100">
        <v>18</v>
      </c>
      <c r="D2" s="90">
        <v>50</v>
      </c>
      <c r="E2" s="100">
        <v>12</v>
      </c>
    </row>
    <row r="3" spans="1:5" x14ac:dyDescent="0.35">
      <c r="A3" t="s">
        <v>45</v>
      </c>
      <c r="B3" s="100">
        <v>6</v>
      </c>
      <c r="C3" s="100">
        <v>49</v>
      </c>
      <c r="D3" s="90">
        <v>74.683544303797461</v>
      </c>
      <c r="E3" s="100">
        <v>79</v>
      </c>
    </row>
    <row r="4" spans="1:5" x14ac:dyDescent="0.35">
      <c r="A4" t="s">
        <v>46</v>
      </c>
      <c r="B4" s="100">
        <v>2</v>
      </c>
      <c r="C4" s="100">
        <v>82</v>
      </c>
      <c r="D4" s="90">
        <v>43.75</v>
      </c>
      <c r="E4" s="100">
        <v>16</v>
      </c>
    </row>
    <row r="5" spans="1:5" x14ac:dyDescent="0.35">
      <c r="A5" t="s">
        <v>2</v>
      </c>
      <c r="B5" s="100">
        <v>1</v>
      </c>
      <c r="C5" s="100">
        <v>97</v>
      </c>
      <c r="D5" s="90">
        <v>33.333333333333336</v>
      </c>
      <c r="E5" s="100">
        <v>9</v>
      </c>
    </row>
    <row r="6" spans="1:5" x14ac:dyDescent="0.35">
      <c r="A6" t="s">
        <v>3</v>
      </c>
      <c r="B6" s="100">
        <v>4</v>
      </c>
      <c r="C6" s="100">
        <v>54</v>
      </c>
      <c r="D6" s="90">
        <v>60</v>
      </c>
      <c r="E6" s="100">
        <v>25</v>
      </c>
    </row>
    <row r="7" spans="1:5" x14ac:dyDescent="0.35">
      <c r="A7" t="s">
        <v>4</v>
      </c>
      <c r="B7" s="100">
        <v>5</v>
      </c>
      <c r="C7" s="100">
        <v>109</v>
      </c>
      <c r="D7" s="90">
        <v>57.142857142857146</v>
      </c>
      <c r="E7" s="100">
        <v>35</v>
      </c>
    </row>
    <row r="8" spans="1:5" x14ac:dyDescent="0.35">
      <c r="A8" t="s">
        <v>48</v>
      </c>
      <c r="B8" s="100">
        <v>2</v>
      </c>
      <c r="C8" s="100">
        <v>148</v>
      </c>
      <c r="D8" s="90">
        <v>57.142857142857146</v>
      </c>
      <c r="E8" s="100">
        <v>14</v>
      </c>
    </row>
    <row r="9" spans="1:5" x14ac:dyDescent="0.35">
      <c r="A9" t="s">
        <v>5</v>
      </c>
      <c r="B9" s="100">
        <v>6</v>
      </c>
      <c r="C9" s="100">
        <v>179</v>
      </c>
      <c r="D9" s="90">
        <v>51.063829787234042</v>
      </c>
      <c r="E9" s="100">
        <v>48</v>
      </c>
    </row>
    <row r="10" spans="1:5" x14ac:dyDescent="0.35">
      <c r="A10" t="s">
        <v>50</v>
      </c>
      <c r="B10" s="100">
        <v>3</v>
      </c>
      <c r="C10" s="100">
        <v>214</v>
      </c>
      <c r="D10" s="90">
        <v>61.904761904761905</v>
      </c>
      <c r="E10" s="100">
        <v>21</v>
      </c>
    </row>
    <row r="11" spans="1:5" x14ac:dyDescent="0.35">
      <c r="A11" t="s">
        <v>51</v>
      </c>
      <c r="B11" s="100">
        <v>1</v>
      </c>
      <c r="C11" s="100">
        <v>239</v>
      </c>
      <c r="D11" s="90">
        <v>64.705882352941174</v>
      </c>
      <c r="E11" s="100">
        <v>17</v>
      </c>
    </row>
    <row r="12" spans="1:5" x14ac:dyDescent="0.35">
      <c r="A12" t="s">
        <v>22</v>
      </c>
      <c r="B12" s="100">
        <v>2</v>
      </c>
      <c r="C12" s="100">
        <v>322</v>
      </c>
      <c r="D12" s="90">
        <v>63.636363636363633</v>
      </c>
      <c r="E12" s="100">
        <v>23</v>
      </c>
    </row>
    <row r="13" spans="1:5" x14ac:dyDescent="0.35">
      <c r="A13" t="s">
        <v>52</v>
      </c>
      <c r="B13" s="100">
        <v>3</v>
      </c>
      <c r="C13" s="100">
        <v>249</v>
      </c>
      <c r="D13" s="90">
        <v>63.636363636363633</v>
      </c>
      <c r="E13" s="100">
        <v>34</v>
      </c>
    </row>
    <row r="14" spans="1:5" x14ac:dyDescent="0.35">
      <c r="A14" t="s">
        <v>72</v>
      </c>
      <c r="B14" s="100">
        <v>4</v>
      </c>
      <c r="C14" s="100">
        <v>272</v>
      </c>
      <c r="D14" s="90">
        <v>44.230769230769234</v>
      </c>
      <c r="E14" s="100">
        <v>53</v>
      </c>
    </row>
    <row r="15" spans="1:5" x14ac:dyDescent="0.35">
      <c r="A15" t="s">
        <v>6</v>
      </c>
      <c r="B15" s="100">
        <v>5</v>
      </c>
      <c r="C15" s="100">
        <v>285</v>
      </c>
      <c r="D15" s="90">
        <v>56.896551724137929</v>
      </c>
      <c r="E15" s="100">
        <v>58</v>
      </c>
    </row>
    <row r="16" spans="1:5" x14ac:dyDescent="0.35">
      <c r="A16" t="s">
        <v>73</v>
      </c>
      <c r="B16" s="100">
        <v>3</v>
      </c>
      <c r="C16" s="100">
        <v>301</v>
      </c>
      <c r="D16" s="90">
        <v>46.666666666666664</v>
      </c>
      <c r="E16" s="100">
        <v>30</v>
      </c>
    </row>
    <row r="17" spans="1:5" x14ac:dyDescent="0.35">
      <c r="A17" t="s">
        <v>7</v>
      </c>
      <c r="B17" s="100">
        <v>3</v>
      </c>
      <c r="C17" s="100">
        <v>305</v>
      </c>
      <c r="D17" s="90">
        <v>55.555555555555557</v>
      </c>
      <c r="E17" s="100">
        <v>27</v>
      </c>
    </row>
    <row r="18" spans="1:5" x14ac:dyDescent="0.35">
      <c r="A18" t="s">
        <v>8</v>
      </c>
      <c r="B18" s="100">
        <v>5</v>
      </c>
      <c r="C18" s="100">
        <v>405</v>
      </c>
      <c r="D18" s="90">
        <v>55.555555555555557</v>
      </c>
      <c r="E18" s="100">
        <v>36</v>
      </c>
    </row>
    <row r="19" spans="1:5" x14ac:dyDescent="0.35">
      <c r="A19" t="s">
        <v>9</v>
      </c>
      <c r="B19" s="100">
        <v>4</v>
      </c>
      <c r="C19" s="100">
        <v>418</v>
      </c>
      <c r="D19" s="90">
        <v>36.111111111111114</v>
      </c>
      <c r="E19" s="100">
        <v>36</v>
      </c>
    </row>
    <row r="20" spans="1:5" x14ac:dyDescent="0.35">
      <c r="A20" t="s">
        <v>56</v>
      </c>
      <c r="B20" s="100">
        <v>3</v>
      </c>
      <c r="C20" s="100">
        <v>426</v>
      </c>
      <c r="D20" s="90">
        <v>64</v>
      </c>
      <c r="E20" s="100">
        <v>25</v>
      </c>
    </row>
    <row r="21" spans="1:5" x14ac:dyDescent="0.35">
      <c r="A21" t="s">
        <v>74</v>
      </c>
      <c r="B21" s="100">
        <v>5</v>
      </c>
      <c r="C21" s="100">
        <v>491</v>
      </c>
      <c r="D21" s="90">
        <v>54.411764705882355</v>
      </c>
      <c r="E21" s="100">
        <v>68</v>
      </c>
    </row>
    <row r="22" spans="1:5" x14ac:dyDescent="0.35">
      <c r="A22" t="s">
        <v>10</v>
      </c>
      <c r="B22" s="100">
        <v>2.9767441860465116</v>
      </c>
      <c r="C22" s="100">
        <v>499</v>
      </c>
      <c r="D22" s="90">
        <v>58.139534883720927</v>
      </c>
      <c r="E22" s="100">
        <v>43</v>
      </c>
    </row>
    <row r="23" spans="1:5" x14ac:dyDescent="0.35">
      <c r="A23" t="s">
        <v>58</v>
      </c>
      <c r="B23" s="100">
        <v>3</v>
      </c>
      <c r="C23" s="100">
        <v>535</v>
      </c>
      <c r="D23" s="90">
        <v>55.555555555555557</v>
      </c>
      <c r="E23" s="100">
        <v>18</v>
      </c>
    </row>
    <row r="24" spans="1:5" x14ac:dyDescent="0.35">
      <c r="A24" t="s">
        <v>11</v>
      </c>
      <c r="B24" s="100">
        <v>6</v>
      </c>
      <c r="C24" s="100">
        <v>464</v>
      </c>
      <c r="D24" s="90">
        <v>60.784313725490193</v>
      </c>
      <c r="E24" s="100">
        <v>51</v>
      </c>
    </row>
    <row r="25" spans="1:5" x14ac:dyDescent="0.35">
      <c r="A25" t="s">
        <v>60</v>
      </c>
      <c r="B25" s="100">
        <v>1</v>
      </c>
      <c r="C25" s="100">
        <v>578</v>
      </c>
      <c r="D25" s="90">
        <v>75</v>
      </c>
      <c r="E25" s="100">
        <v>17</v>
      </c>
    </row>
    <row r="26" spans="1:5" x14ac:dyDescent="0.35">
      <c r="A26" t="s">
        <v>61</v>
      </c>
      <c r="B26" s="100">
        <v>2</v>
      </c>
      <c r="C26" s="100">
        <v>581</v>
      </c>
      <c r="D26" s="90">
        <v>59.25925925925926</v>
      </c>
      <c r="E26" s="100">
        <v>27</v>
      </c>
    </row>
    <row r="27" spans="1:5" x14ac:dyDescent="0.35">
      <c r="A27" t="s">
        <v>62</v>
      </c>
      <c r="B27" s="100">
        <v>1</v>
      </c>
      <c r="C27" s="100">
        <v>592</v>
      </c>
      <c r="D27" s="90">
        <v>29.411764705882351</v>
      </c>
      <c r="E27" s="100">
        <v>17</v>
      </c>
    </row>
    <row r="28" spans="1:5" x14ac:dyDescent="0.35">
      <c r="A28" t="s">
        <v>12</v>
      </c>
      <c r="B28" s="100">
        <v>2</v>
      </c>
      <c r="C28" s="100">
        <v>615</v>
      </c>
      <c r="D28" s="90">
        <v>60</v>
      </c>
      <c r="E28" s="100">
        <v>15</v>
      </c>
    </row>
    <row r="29" spans="1:5" x14ac:dyDescent="0.35">
      <c r="A29" t="s">
        <v>23</v>
      </c>
      <c r="B29" s="100">
        <v>4</v>
      </c>
      <c r="C29" s="100">
        <v>710</v>
      </c>
      <c r="D29" s="90">
        <v>52.777777777777779</v>
      </c>
      <c r="E29" s="100">
        <v>36</v>
      </c>
    </row>
    <row r="30" spans="1:5" x14ac:dyDescent="0.35">
      <c r="A30" t="s">
        <v>64</v>
      </c>
      <c r="B30" s="100">
        <v>4</v>
      </c>
      <c r="C30" s="100">
        <v>680</v>
      </c>
      <c r="D30" s="90">
        <v>48.648648648648646</v>
      </c>
      <c r="E30" s="100">
        <v>38</v>
      </c>
    </row>
    <row r="31" spans="1:5" x14ac:dyDescent="0.35">
      <c r="A31" t="s">
        <v>65</v>
      </c>
      <c r="B31" s="100">
        <v>1</v>
      </c>
      <c r="C31" s="100">
        <v>686</v>
      </c>
      <c r="D31" s="90">
        <v>58.333333333333336</v>
      </c>
      <c r="E31" s="100">
        <v>12</v>
      </c>
    </row>
    <row r="32" spans="1:5" x14ac:dyDescent="0.35">
      <c r="A32" t="s">
        <v>13</v>
      </c>
      <c r="B32" s="100">
        <v>5</v>
      </c>
      <c r="C32" s="100">
        <v>734</v>
      </c>
      <c r="D32" s="90">
        <v>55.319148936170215</v>
      </c>
      <c r="E32" s="100">
        <v>48</v>
      </c>
    </row>
    <row r="33" spans="1:5" x14ac:dyDescent="0.35">
      <c r="A33" t="s">
        <v>14</v>
      </c>
      <c r="B33" s="100">
        <v>3</v>
      </c>
      <c r="C33" s="100">
        <v>753</v>
      </c>
      <c r="D33" s="90">
        <v>46.666666666666664</v>
      </c>
      <c r="E33" s="100">
        <v>30</v>
      </c>
    </row>
    <row r="34" spans="1:5" x14ac:dyDescent="0.35">
      <c r="A34" t="s">
        <v>67</v>
      </c>
      <c r="B34" s="100">
        <v>1</v>
      </c>
      <c r="C34" s="100">
        <v>783</v>
      </c>
      <c r="D34" s="90">
        <v>45.454545454545453</v>
      </c>
      <c r="E34" s="100">
        <v>22</v>
      </c>
    </row>
    <row r="35" spans="1:5" x14ac:dyDescent="0.35">
      <c r="A35" t="s">
        <v>68</v>
      </c>
      <c r="B35" s="100">
        <v>6</v>
      </c>
      <c r="C35" s="100">
        <v>837</v>
      </c>
      <c r="D35" s="90">
        <v>66.666666666666671</v>
      </c>
      <c r="E35" s="100">
        <v>48</v>
      </c>
    </row>
    <row r="36" spans="1:5" x14ac:dyDescent="0.35">
      <c r="A36" t="s">
        <v>69</v>
      </c>
      <c r="B36" s="100">
        <v>4</v>
      </c>
      <c r="C36" s="100">
        <v>851</v>
      </c>
      <c r="D36" s="90">
        <v>58.620689655172413</v>
      </c>
      <c r="E36" s="100">
        <v>29</v>
      </c>
    </row>
    <row r="37" spans="1:5" x14ac:dyDescent="0.35">
      <c r="A37" t="s">
        <v>15</v>
      </c>
      <c r="B37" s="100">
        <v>6</v>
      </c>
      <c r="C37" s="100">
        <v>853</v>
      </c>
      <c r="D37" s="90">
        <v>68.421052631578945</v>
      </c>
      <c r="E37" s="100">
        <v>57</v>
      </c>
    </row>
    <row r="38" spans="1:5" x14ac:dyDescent="0.35">
      <c r="A38" t="s">
        <v>16</v>
      </c>
      <c r="B38" s="100">
        <v>5</v>
      </c>
      <c r="C38" s="100">
        <v>905</v>
      </c>
      <c r="D38" s="90">
        <v>56.60377358490566</v>
      </c>
      <c r="E38" s="100">
        <v>53</v>
      </c>
    </row>
    <row r="39" spans="1:5" x14ac:dyDescent="0.35">
      <c r="A39" t="s">
        <v>71</v>
      </c>
      <c r="B39" s="100">
        <v>6</v>
      </c>
      <c r="C39" s="100">
        <v>92</v>
      </c>
      <c r="D39" s="90">
        <v>65.822784810126578</v>
      </c>
      <c r="E39" s="100">
        <v>79</v>
      </c>
    </row>
    <row r="40" spans="1:5" x14ac:dyDescent="0.35">
      <c r="A40" t="s">
        <v>17</v>
      </c>
      <c r="B40" s="100">
        <v>1</v>
      </c>
      <c r="C40" s="100">
        <v>934</v>
      </c>
      <c r="D40" s="90">
        <v>40</v>
      </c>
      <c r="E40" s="100">
        <v>15</v>
      </c>
    </row>
    <row r="41" spans="1:5" x14ac:dyDescent="0.35">
      <c r="A41" t="s">
        <v>24</v>
      </c>
      <c r="B41" s="100">
        <v>2</v>
      </c>
      <c r="C41" s="100">
        <v>946</v>
      </c>
      <c r="D41" s="90">
        <v>48</v>
      </c>
      <c r="E41" s="100">
        <v>26</v>
      </c>
    </row>
    <row r="44" spans="1:5" x14ac:dyDescent="0.35">
      <c r="A44" t="s">
        <v>126</v>
      </c>
      <c r="D44" t="s">
        <v>129</v>
      </c>
      <c r="E44" t="s">
        <v>79</v>
      </c>
    </row>
    <row r="45" spans="1:5" x14ac:dyDescent="0.35">
      <c r="A45" t="s">
        <v>130</v>
      </c>
      <c r="D45" s="90">
        <v>50</v>
      </c>
      <c r="E45" s="100">
        <v>121</v>
      </c>
    </row>
    <row r="46" spans="1:5" x14ac:dyDescent="0.35">
      <c r="A46" t="s">
        <v>131</v>
      </c>
      <c r="D46" s="90">
        <v>55.833333333333336</v>
      </c>
      <c r="E46" s="100">
        <v>122</v>
      </c>
    </row>
    <row r="47" spans="1:5" x14ac:dyDescent="0.35">
      <c r="A47" t="s">
        <v>132</v>
      </c>
      <c r="D47" s="90">
        <v>56.194690265486727</v>
      </c>
      <c r="E47" s="100">
        <v>227</v>
      </c>
    </row>
    <row r="48" spans="1:5" x14ac:dyDescent="0.35">
      <c r="A48" t="s">
        <v>133</v>
      </c>
      <c r="D48" s="90">
        <v>48.837209302325583</v>
      </c>
      <c r="E48" s="100">
        <v>217</v>
      </c>
    </row>
    <row r="49" spans="1:5" x14ac:dyDescent="0.35">
      <c r="A49" t="s">
        <v>134</v>
      </c>
      <c r="D49" s="90">
        <v>55.892255892255889</v>
      </c>
      <c r="E49" s="100">
        <v>298</v>
      </c>
    </row>
    <row r="50" spans="1:5" x14ac:dyDescent="0.35">
      <c r="A50" t="s">
        <v>135</v>
      </c>
      <c r="D50" s="90">
        <v>65.65096952908587</v>
      </c>
      <c r="E50" s="100">
        <v>362</v>
      </c>
    </row>
    <row r="52" spans="1:5" x14ac:dyDescent="0.35">
      <c r="A52" t="s">
        <v>127</v>
      </c>
      <c r="D52" s="90">
        <v>56.9</v>
      </c>
      <c r="E52" s="100">
        <v>1339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10" workbookViewId="0">
      <selection activeCell="A69" sqref="A69:L69"/>
    </sheetView>
  </sheetViews>
  <sheetFormatPr defaultRowHeight="14.6" x14ac:dyDescent="0.35"/>
  <sheetData>
    <row r="1" spans="1:17" x14ac:dyDescent="0.35">
      <c r="A1" t="s">
        <v>122</v>
      </c>
      <c r="B1" t="s">
        <v>123</v>
      </c>
      <c r="C1" t="s">
        <v>124</v>
      </c>
      <c r="D1" t="s">
        <v>137</v>
      </c>
      <c r="E1" t="s">
        <v>138</v>
      </c>
      <c r="F1" t="s">
        <v>139</v>
      </c>
      <c r="G1" t="s">
        <v>140</v>
      </c>
      <c r="H1" t="s">
        <v>141</v>
      </c>
      <c r="I1" t="s">
        <v>142</v>
      </c>
      <c r="J1" t="s">
        <v>143</v>
      </c>
      <c r="K1" t="s">
        <v>144</v>
      </c>
      <c r="L1" t="s">
        <v>145</v>
      </c>
      <c r="M1" t="s">
        <v>146</v>
      </c>
      <c r="N1" t="s">
        <v>147</v>
      </c>
      <c r="O1" t="s">
        <v>148</v>
      </c>
      <c r="P1" t="s">
        <v>149</v>
      </c>
      <c r="Q1" t="s">
        <v>79</v>
      </c>
    </row>
    <row r="2" spans="1:17" x14ac:dyDescent="0.35">
      <c r="A2" t="s">
        <v>44</v>
      </c>
      <c r="B2" s="100">
        <v>1</v>
      </c>
      <c r="C2" s="100">
        <v>18</v>
      </c>
      <c r="D2" s="90">
        <v>43.75</v>
      </c>
      <c r="E2" s="90">
        <v>37.5</v>
      </c>
      <c r="F2" s="90">
        <v>43.75</v>
      </c>
      <c r="G2" s="90">
        <v>56.25</v>
      </c>
      <c r="H2" s="90">
        <v>93.75</v>
      </c>
      <c r="I2" s="90">
        <v>50</v>
      </c>
      <c r="J2" s="90">
        <v>33.333333333333336</v>
      </c>
      <c r="K2" s="90">
        <v>12.5</v>
      </c>
      <c r="L2" s="90">
        <v>37.5</v>
      </c>
      <c r="M2" s="90">
        <v>68.75</v>
      </c>
      <c r="N2" s="90">
        <v>6.25</v>
      </c>
      <c r="O2" s="90">
        <v>25</v>
      </c>
      <c r="P2" s="90">
        <v>25</v>
      </c>
      <c r="Q2" s="100">
        <v>16</v>
      </c>
    </row>
    <row r="3" spans="1:17" x14ac:dyDescent="0.35">
      <c r="A3" t="s">
        <v>45</v>
      </c>
      <c r="B3" s="100">
        <v>6</v>
      </c>
      <c r="C3" s="100">
        <v>49</v>
      </c>
      <c r="D3" s="90">
        <v>58.02469135802469</v>
      </c>
      <c r="E3" s="90">
        <v>39.024390243902438</v>
      </c>
      <c r="F3" s="90">
        <v>29.26829268292683</v>
      </c>
      <c r="G3" s="90">
        <v>29.26829268292683</v>
      </c>
      <c r="H3" s="90">
        <v>60.975609756097562</v>
      </c>
      <c r="I3" s="90">
        <v>50.617283950617285</v>
      </c>
      <c r="J3" s="90">
        <v>24.390243902439025</v>
      </c>
      <c r="K3" s="90">
        <v>6.0975609756097562</v>
      </c>
      <c r="L3" s="90">
        <v>26.829268292682926</v>
      </c>
      <c r="M3" s="90">
        <v>60.975609756097562</v>
      </c>
      <c r="N3" s="90">
        <v>30.487804878048781</v>
      </c>
      <c r="O3" s="90">
        <v>45.121951219512198</v>
      </c>
      <c r="P3" s="90">
        <v>34.567901234567898</v>
      </c>
      <c r="Q3" s="100">
        <v>82</v>
      </c>
    </row>
    <row r="4" spans="1:17" x14ac:dyDescent="0.35">
      <c r="A4" t="s">
        <v>46</v>
      </c>
      <c r="B4" s="100">
        <v>2</v>
      </c>
      <c r="C4" s="100">
        <v>82</v>
      </c>
      <c r="D4" s="90">
        <v>61.904761904761905</v>
      </c>
      <c r="E4" s="90">
        <v>28.571428571428573</v>
      </c>
      <c r="F4" s="90">
        <v>42.857142857142854</v>
      </c>
      <c r="G4" s="90">
        <v>38.095238095238095</v>
      </c>
      <c r="H4" s="90">
        <v>80</v>
      </c>
      <c r="I4" s="90">
        <v>66.666666666666671</v>
      </c>
      <c r="J4" s="90">
        <v>28.571428571428573</v>
      </c>
      <c r="K4" s="90">
        <v>0</v>
      </c>
      <c r="L4" s="90">
        <v>61.904761904761905</v>
      </c>
      <c r="M4" s="90">
        <v>47.61904761904762</v>
      </c>
      <c r="N4" s="90">
        <v>10</v>
      </c>
      <c r="O4" s="90">
        <v>14.285714285714286</v>
      </c>
      <c r="P4" s="90">
        <v>33.333333333333336</v>
      </c>
      <c r="Q4" s="100">
        <v>21</v>
      </c>
    </row>
    <row r="5" spans="1:17" x14ac:dyDescent="0.35">
      <c r="A5" t="s">
        <v>2</v>
      </c>
      <c r="B5" s="100">
        <v>1</v>
      </c>
      <c r="C5" s="100">
        <v>97</v>
      </c>
      <c r="D5" s="90">
        <v>35.714285714285715</v>
      </c>
      <c r="E5" s="90">
        <v>15.384615384615385</v>
      </c>
      <c r="F5" s="90">
        <v>0</v>
      </c>
      <c r="G5" s="90">
        <v>28.571428571428573</v>
      </c>
      <c r="H5" s="90">
        <v>61.53846153846154</v>
      </c>
      <c r="I5" s="90">
        <v>42.857142857142854</v>
      </c>
      <c r="J5" s="90">
        <v>35.714285714285715</v>
      </c>
      <c r="K5" s="90">
        <v>7.1428571428571432</v>
      </c>
      <c r="L5" s="90">
        <v>57.142857142857146</v>
      </c>
      <c r="M5" s="90">
        <v>28.571428571428573</v>
      </c>
      <c r="N5" s="90">
        <v>28.571428571428573</v>
      </c>
      <c r="O5" s="90">
        <v>21.428571428571427</v>
      </c>
      <c r="P5" s="90">
        <v>100</v>
      </c>
      <c r="Q5" s="100">
        <v>14</v>
      </c>
    </row>
    <row r="6" spans="1:17" x14ac:dyDescent="0.35">
      <c r="A6" t="s">
        <v>3</v>
      </c>
      <c r="B6" s="100">
        <v>4</v>
      </c>
      <c r="C6" s="100">
        <v>54</v>
      </c>
      <c r="D6" s="90">
        <v>38.70967741935484</v>
      </c>
      <c r="E6" s="90">
        <v>19.35483870967742</v>
      </c>
      <c r="F6" s="90">
        <v>29.032258064516128</v>
      </c>
      <c r="G6" s="90">
        <v>32.258064516129032</v>
      </c>
      <c r="H6" s="90">
        <v>77.41935483870968</v>
      </c>
      <c r="I6" s="90">
        <v>41.935483870967744</v>
      </c>
      <c r="J6" s="90">
        <v>32.258064516129032</v>
      </c>
      <c r="K6" s="90">
        <v>12.903225806451612</v>
      </c>
      <c r="L6" s="90">
        <v>35.483870967741936</v>
      </c>
      <c r="M6" s="90">
        <v>54.838709677419352</v>
      </c>
      <c r="N6" s="90">
        <v>19.35483870967742</v>
      </c>
      <c r="O6" s="90">
        <v>35.483870967741936</v>
      </c>
      <c r="P6" s="90">
        <v>38.70967741935484</v>
      </c>
      <c r="Q6" s="100">
        <v>31</v>
      </c>
    </row>
    <row r="7" spans="1:17" x14ac:dyDescent="0.35">
      <c r="A7" t="s">
        <v>4</v>
      </c>
      <c r="B7" s="100">
        <v>5</v>
      </c>
      <c r="C7" s="100">
        <v>109</v>
      </c>
      <c r="D7" s="90">
        <v>63.414634146341463</v>
      </c>
      <c r="E7" s="90">
        <v>35</v>
      </c>
      <c r="F7" s="90">
        <v>31.707317073170731</v>
      </c>
      <c r="G7" s="90">
        <v>43.902439024390247</v>
      </c>
      <c r="H7" s="90">
        <v>75.609756097560975</v>
      </c>
      <c r="I7" s="90">
        <v>37.5</v>
      </c>
      <c r="J7" s="90">
        <v>51.219512195121951</v>
      </c>
      <c r="K7" s="90">
        <v>4.8780487804878048</v>
      </c>
      <c r="L7" s="90">
        <v>34.146341463414636</v>
      </c>
      <c r="M7" s="90">
        <v>68.292682926829272</v>
      </c>
      <c r="N7" s="90">
        <v>19.512195121951219</v>
      </c>
      <c r="O7" s="90">
        <v>40</v>
      </c>
      <c r="P7" s="90">
        <v>40</v>
      </c>
      <c r="Q7" s="100">
        <v>41</v>
      </c>
    </row>
    <row r="8" spans="1:17" x14ac:dyDescent="0.35">
      <c r="A8" t="s">
        <v>48</v>
      </c>
      <c r="B8" s="100">
        <v>2</v>
      </c>
      <c r="C8" s="100">
        <v>148</v>
      </c>
      <c r="D8" s="90">
        <v>50</v>
      </c>
      <c r="E8" s="90">
        <v>16.666666666666668</v>
      </c>
      <c r="F8" s="90">
        <v>22.222222222222221</v>
      </c>
      <c r="G8" s="90">
        <v>33.333333333333336</v>
      </c>
      <c r="H8" s="90">
        <v>72.222222222222229</v>
      </c>
      <c r="I8" s="90">
        <v>35.294117647058826</v>
      </c>
      <c r="J8" s="90">
        <v>22.222222222222221</v>
      </c>
      <c r="K8" s="90">
        <v>0</v>
      </c>
      <c r="L8" s="90">
        <v>77.777777777777771</v>
      </c>
      <c r="M8" s="90">
        <v>50</v>
      </c>
      <c r="N8" s="90">
        <v>22.222222222222221</v>
      </c>
      <c r="O8" s="90">
        <v>38.888888888888886</v>
      </c>
      <c r="P8" s="90">
        <v>35.294117647058826</v>
      </c>
      <c r="Q8" s="100">
        <v>18</v>
      </c>
    </row>
    <row r="9" spans="1:17" x14ac:dyDescent="0.35">
      <c r="A9" t="s">
        <v>5</v>
      </c>
      <c r="B9" s="100">
        <v>6</v>
      </c>
      <c r="C9" s="100">
        <v>179</v>
      </c>
      <c r="D9" s="90">
        <v>60.714285714285715</v>
      </c>
      <c r="E9" s="90">
        <v>17.241379310344829</v>
      </c>
      <c r="F9" s="90">
        <v>31.03448275862069</v>
      </c>
      <c r="G9" s="90">
        <v>29.310344827586206</v>
      </c>
      <c r="H9" s="90">
        <v>67.241379310344826</v>
      </c>
      <c r="I9" s="90">
        <v>37.931034482758619</v>
      </c>
      <c r="J9" s="90">
        <v>45.614035087719301</v>
      </c>
      <c r="K9" s="90">
        <v>10.526315789473685</v>
      </c>
      <c r="L9" s="90">
        <v>42.10526315789474</v>
      </c>
      <c r="M9" s="90">
        <v>63.793103448275865</v>
      </c>
      <c r="N9" s="90">
        <v>26.315789473684209</v>
      </c>
      <c r="O9" s="90">
        <v>36.842105263157897</v>
      </c>
      <c r="P9" s="90">
        <v>18.96551724137931</v>
      </c>
      <c r="Q9" s="100">
        <v>59</v>
      </c>
    </row>
    <row r="10" spans="1:17" x14ac:dyDescent="0.35">
      <c r="A10" t="s">
        <v>50</v>
      </c>
      <c r="B10" s="100">
        <v>3</v>
      </c>
      <c r="C10" s="100">
        <v>214</v>
      </c>
      <c r="D10" s="90">
        <v>40</v>
      </c>
      <c r="E10" s="90">
        <v>24</v>
      </c>
      <c r="F10" s="90">
        <v>24</v>
      </c>
      <c r="G10" s="90">
        <v>28</v>
      </c>
      <c r="H10" s="90">
        <v>76</v>
      </c>
      <c r="I10" s="90">
        <v>56</v>
      </c>
      <c r="J10" s="90">
        <v>45.833333333333336</v>
      </c>
      <c r="K10" s="90">
        <v>12</v>
      </c>
      <c r="L10" s="90">
        <v>52</v>
      </c>
      <c r="M10" s="90">
        <v>60</v>
      </c>
      <c r="N10" s="90">
        <v>50</v>
      </c>
      <c r="O10" s="90">
        <v>32</v>
      </c>
      <c r="P10" s="90">
        <v>40</v>
      </c>
      <c r="Q10" s="100">
        <v>25</v>
      </c>
    </row>
    <row r="11" spans="1:17" x14ac:dyDescent="0.35">
      <c r="A11" t="s">
        <v>51</v>
      </c>
      <c r="B11" s="100">
        <v>1</v>
      </c>
      <c r="C11" s="100">
        <v>239</v>
      </c>
      <c r="D11" s="90">
        <v>45.454545454545453</v>
      </c>
      <c r="E11" s="90">
        <v>13.636363636363637</v>
      </c>
      <c r="F11" s="90">
        <v>31.818181818181817</v>
      </c>
      <c r="G11" s="90">
        <v>45.454545454545453</v>
      </c>
      <c r="H11" s="90">
        <v>90.909090909090907</v>
      </c>
      <c r="I11" s="90">
        <v>59.090909090909093</v>
      </c>
      <c r="J11" s="90">
        <v>22.727272727272727</v>
      </c>
      <c r="K11" s="90">
        <v>4.5454545454545459</v>
      </c>
      <c r="L11" s="90">
        <v>54.545454545454547</v>
      </c>
      <c r="M11" s="90">
        <v>63.636363636363633</v>
      </c>
      <c r="N11" s="90">
        <v>23.80952380952381</v>
      </c>
      <c r="O11" s="90">
        <v>19.047619047619047</v>
      </c>
      <c r="P11" s="90">
        <v>68.181818181818187</v>
      </c>
      <c r="Q11" s="100">
        <v>22</v>
      </c>
    </row>
    <row r="12" spans="1:17" x14ac:dyDescent="0.35">
      <c r="A12" t="s">
        <v>22</v>
      </c>
      <c r="B12" s="100">
        <v>2</v>
      </c>
      <c r="C12" s="100">
        <v>322</v>
      </c>
      <c r="D12" s="90">
        <v>39.285714285714285</v>
      </c>
      <c r="E12" s="90">
        <v>21.428571428571427</v>
      </c>
      <c r="F12" s="90">
        <v>14.285714285714286</v>
      </c>
      <c r="G12" s="90">
        <v>22.222222222222221</v>
      </c>
      <c r="H12" s="90">
        <v>53.571428571428569</v>
      </c>
      <c r="I12" s="90">
        <v>50</v>
      </c>
      <c r="J12" s="90">
        <v>21.428571428571427</v>
      </c>
      <c r="K12" s="90">
        <v>17.857142857142858</v>
      </c>
      <c r="L12" s="90">
        <v>48.148148148148145</v>
      </c>
      <c r="M12" s="90">
        <v>62.962962962962962</v>
      </c>
      <c r="N12" s="90">
        <v>28.571428571428573</v>
      </c>
      <c r="O12" s="90">
        <v>14.814814814814815</v>
      </c>
      <c r="P12" s="90">
        <v>39.285714285714285</v>
      </c>
      <c r="Q12" s="100">
        <v>28</v>
      </c>
    </row>
    <row r="13" spans="1:17" x14ac:dyDescent="0.35">
      <c r="A13" t="s">
        <v>52</v>
      </c>
      <c r="B13" s="100">
        <v>3</v>
      </c>
      <c r="C13" s="100">
        <v>249</v>
      </c>
      <c r="D13" s="90">
        <v>45.714285714285715</v>
      </c>
      <c r="E13" s="90">
        <v>17.142857142857142</v>
      </c>
      <c r="F13" s="90">
        <v>26.470588235294116</v>
      </c>
      <c r="G13" s="90">
        <v>33.333333333333336</v>
      </c>
      <c r="H13" s="90">
        <v>66.666666666666671</v>
      </c>
      <c r="I13" s="90">
        <v>40</v>
      </c>
      <c r="J13" s="90">
        <v>38.235294117647058</v>
      </c>
      <c r="K13" s="90">
        <v>8.5714285714285712</v>
      </c>
      <c r="L13" s="90">
        <v>50</v>
      </c>
      <c r="M13" s="90">
        <v>55.555555555555557</v>
      </c>
      <c r="N13" s="90">
        <v>34.285714285714285</v>
      </c>
      <c r="O13" s="90">
        <v>25.714285714285715</v>
      </c>
      <c r="P13" s="90">
        <v>44.444444444444443</v>
      </c>
      <c r="Q13" s="100">
        <v>37</v>
      </c>
    </row>
    <row r="14" spans="1:17" x14ac:dyDescent="0.35">
      <c r="A14" t="s">
        <v>72</v>
      </c>
      <c r="B14" s="100">
        <v>4</v>
      </c>
      <c r="C14" s="100">
        <v>272</v>
      </c>
      <c r="D14" s="90">
        <v>39.655172413793103</v>
      </c>
      <c r="E14" s="90">
        <v>32.203389830508478</v>
      </c>
      <c r="F14" s="90">
        <v>18.96551724137931</v>
      </c>
      <c r="G14" s="90">
        <v>33.333333333333336</v>
      </c>
      <c r="H14" s="90">
        <v>63.333333333333336</v>
      </c>
      <c r="I14" s="90">
        <v>46.551724137931032</v>
      </c>
      <c r="J14" s="90">
        <v>35.593220338983052</v>
      </c>
      <c r="K14" s="90">
        <v>5.0847457627118642</v>
      </c>
      <c r="L14" s="90">
        <v>55</v>
      </c>
      <c r="M14" s="90">
        <v>68.965517241379317</v>
      </c>
      <c r="N14" s="90">
        <v>34.482758620689658</v>
      </c>
      <c r="O14" s="90">
        <v>11.864406779661017</v>
      </c>
      <c r="P14" s="90">
        <v>27.118644067796609</v>
      </c>
      <c r="Q14" s="100">
        <v>61</v>
      </c>
    </row>
    <row r="15" spans="1:17" x14ac:dyDescent="0.35">
      <c r="A15" t="s">
        <v>6</v>
      </c>
      <c r="B15" s="100">
        <v>5</v>
      </c>
      <c r="C15" s="100">
        <v>285</v>
      </c>
      <c r="D15" s="90">
        <v>44.927536231884055</v>
      </c>
      <c r="E15" s="90">
        <v>38.235294117647058</v>
      </c>
      <c r="F15" s="90">
        <v>31.884057971014492</v>
      </c>
      <c r="G15" s="90">
        <v>34.285714285714285</v>
      </c>
      <c r="H15" s="90">
        <v>60.869565217391305</v>
      </c>
      <c r="I15" s="90">
        <v>50</v>
      </c>
      <c r="J15" s="90">
        <v>32.857142857142854</v>
      </c>
      <c r="K15" s="90">
        <v>10</v>
      </c>
      <c r="L15" s="90">
        <v>41.428571428571431</v>
      </c>
      <c r="M15" s="90">
        <v>60</v>
      </c>
      <c r="N15" s="90">
        <v>34.848484848484851</v>
      </c>
      <c r="O15" s="90">
        <v>41.428571428571431</v>
      </c>
      <c r="P15" s="90">
        <v>44.117647058823529</v>
      </c>
      <c r="Q15" s="100">
        <v>70</v>
      </c>
    </row>
    <row r="16" spans="1:17" x14ac:dyDescent="0.35">
      <c r="A16" t="s">
        <v>73</v>
      </c>
      <c r="B16" s="100">
        <v>3</v>
      </c>
      <c r="C16" s="100">
        <v>301</v>
      </c>
      <c r="D16" s="90">
        <v>34.285714285714285</v>
      </c>
      <c r="E16" s="90">
        <v>28.571428571428573</v>
      </c>
      <c r="F16" s="90">
        <v>25.714285714285715</v>
      </c>
      <c r="G16" s="90">
        <v>32.352941176470587</v>
      </c>
      <c r="H16" s="90">
        <v>62.857142857142854</v>
      </c>
      <c r="I16" s="90">
        <v>20</v>
      </c>
      <c r="J16" s="90">
        <v>37.142857142857146</v>
      </c>
      <c r="K16" s="90">
        <v>11.764705882352942</v>
      </c>
      <c r="L16" s="90">
        <v>57.142857142857146</v>
      </c>
      <c r="M16" s="90">
        <v>54.285714285714285</v>
      </c>
      <c r="N16" s="90">
        <v>25.714285714285715</v>
      </c>
      <c r="O16" s="90">
        <v>28.571428571428573</v>
      </c>
      <c r="P16" s="90">
        <v>17.142857142857142</v>
      </c>
      <c r="Q16" s="100">
        <v>36</v>
      </c>
    </row>
    <row r="17" spans="1:17" x14ac:dyDescent="0.35">
      <c r="A17" t="s">
        <v>7</v>
      </c>
      <c r="B17" s="100">
        <v>3</v>
      </c>
      <c r="C17" s="100">
        <v>305</v>
      </c>
      <c r="D17" s="90">
        <v>51.612903225806448</v>
      </c>
      <c r="E17" s="90">
        <v>22.580645161290324</v>
      </c>
      <c r="F17" s="90">
        <v>9.67741935483871</v>
      </c>
      <c r="G17" s="90">
        <v>56.666666666666664</v>
      </c>
      <c r="H17" s="90">
        <v>70.967741935483872</v>
      </c>
      <c r="I17" s="90">
        <v>51.612903225806448</v>
      </c>
      <c r="J17" s="90">
        <v>35.483870967741936</v>
      </c>
      <c r="K17" s="90">
        <v>0</v>
      </c>
      <c r="L17" s="90">
        <v>61.29032258064516</v>
      </c>
      <c r="M17" s="90">
        <v>54.838709677419352</v>
      </c>
      <c r="N17" s="90">
        <v>19.35483870967742</v>
      </c>
      <c r="O17" s="90">
        <v>16.129032258064516</v>
      </c>
      <c r="P17" s="90">
        <v>77.41935483870968</v>
      </c>
      <c r="Q17" s="100">
        <v>31</v>
      </c>
    </row>
    <row r="18" spans="1:17" x14ac:dyDescent="0.35">
      <c r="A18" t="s">
        <v>8</v>
      </c>
      <c r="B18" s="100">
        <v>5</v>
      </c>
      <c r="C18" s="100">
        <v>405</v>
      </c>
      <c r="D18" s="90">
        <v>43.589743589743591</v>
      </c>
      <c r="E18" s="90">
        <v>38.46153846153846</v>
      </c>
      <c r="F18" s="90">
        <v>20.512820512820515</v>
      </c>
      <c r="G18" s="90">
        <v>30.76923076923077</v>
      </c>
      <c r="H18" s="90">
        <v>69.230769230769226</v>
      </c>
      <c r="I18" s="90">
        <v>43.589743589743591</v>
      </c>
      <c r="J18" s="90">
        <v>30.76923076923077</v>
      </c>
      <c r="K18" s="90">
        <v>0</v>
      </c>
      <c r="L18" s="90">
        <v>42.5</v>
      </c>
      <c r="M18" s="90">
        <v>69.230769230769226</v>
      </c>
      <c r="N18" s="90">
        <v>30.76923076923077</v>
      </c>
      <c r="O18" s="90">
        <v>41.025641025641029</v>
      </c>
      <c r="P18" s="90">
        <v>46.153846153846153</v>
      </c>
      <c r="Q18" s="100">
        <v>40</v>
      </c>
    </row>
    <row r="19" spans="1:17" x14ac:dyDescent="0.35">
      <c r="A19" t="s">
        <v>9</v>
      </c>
      <c r="B19" s="100">
        <v>4</v>
      </c>
      <c r="C19" s="100">
        <v>418</v>
      </c>
      <c r="D19" s="90">
        <v>37.5</v>
      </c>
      <c r="E19" s="90">
        <v>17.5</v>
      </c>
      <c r="F19" s="90">
        <v>33.333333333333336</v>
      </c>
      <c r="G19" s="90">
        <v>37.5</v>
      </c>
      <c r="H19" s="90">
        <v>72.5</v>
      </c>
      <c r="I19" s="90">
        <v>37.5</v>
      </c>
      <c r="J19" s="90">
        <v>35</v>
      </c>
      <c r="K19" s="90">
        <v>2.6315789473684212</v>
      </c>
      <c r="L19" s="90">
        <v>43.589743589743591</v>
      </c>
      <c r="M19" s="90">
        <v>60</v>
      </c>
      <c r="N19" s="90">
        <v>32.5</v>
      </c>
      <c r="O19" s="90">
        <v>35</v>
      </c>
      <c r="P19" s="90">
        <v>32.5</v>
      </c>
      <c r="Q19" s="100">
        <v>40</v>
      </c>
    </row>
    <row r="20" spans="1:17" x14ac:dyDescent="0.35">
      <c r="A20" t="s">
        <v>56</v>
      </c>
      <c r="B20" s="100">
        <v>3</v>
      </c>
      <c r="C20" s="100">
        <v>426</v>
      </c>
      <c r="D20" s="90">
        <v>59.45945945945946</v>
      </c>
      <c r="E20" s="90">
        <v>37.142857142857146</v>
      </c>
      <c r="F20" s="90">
        <v>27.777777777777779</v>
      </c>
      <c r="G20" s="90">
        <v>40.54054054054054</v>
      </c>
      <c r="H20" s="90">
        <v>75.675675675675677</v>
      </c>
      <c r="I20" s="90">
        <v>56.756756756756758</v>
      </c>
      <c r="J20" s="90">
        <v>25</v>
      </c>
      <c r="K20" s="90">
        <v>2.7777777777777777</v>
      </c>
      <c r="L20" s="90">
        <v>51.351351351351354</v>
      </c>
      <c r="M20" s="90">
        <v>54.054054054054056</v>
      </c>
      <c r="N20" s="90">
        <v>27.027027027027028</v>
      </c>
      <c r="O20" s="90">
        <v>33.333333333333336</v>
      </c>
      <c r="P20" s="90">
        <v>38.888888888888886</v>
      </c>
      <c r="Q20" s="100">
        <v>38</v>
      </c>
    </row>
    <row r="21" spans="1:17" x14ac:dyDescent="0.35">
      <c r="A21" t="s">
        <v>74</v>
      </c>
      <c r="B21" s="100">
        <v>5</v>
      </c>
      <c r="C21" s="100">
        <v>491</v>
      </c>
      <c r="D21" s="90">
        <v>46.478873239436616</v>
      </c>
      <c r="E21" s="90">
        <v>22.535211267605632</v>
      </c>
      <c r="F21" s="90">
        <v>15.277777777777779</v>
      </c>
      <c r="G21" s="90">
        <v>25.35211267605634</v>
      </c>
      <c r="H21" s="90">
        <v>63.888888888888886</v>
      </c>
      <c r="I21" s="90">
        <v>53.521126760563384</v>
      </c>
      <c r="J21" s="90">
        <v>51.388888888888886</v>
      </c>
      <c r="K21" s="90">
        <v>2.816901408450704</v>
      </c>
      <c r="L21" s="90">
        <v>43.055555555555557</v>
      </c>
      <c r="M21" s="90">
        <v>59.420289855072461</v>
      </c>
      <c r="N21" s="90">
        <v>28.985507246376812</v>
      </c>
      <c r="O21" s="90">
        <v>34.722222222222221</v>
      </c>
      <c r="P21" s="90">
        <v>56.338028169014088</v>
      </c>
      <c r="Q21" s="100">
        <v>72</v>
      </c>
    </row>
    <row r="22" spans="1:17" x14ac:dyDescent="0.35">
      <c r="A22" t="s">
        <v>10</v>
      </c>
      <c r="B22" s="100">
        <v>2.978723404255319</v>
      </c>
      <c r="C22" s="100">
        <v>499</v>
      </c>
      <c r="D22" s="90">
        <v>34.042553191489361</v>
      </c>
      <c r="E22" s="90">
        <v>25.531914893617021</v>
      </c>
      <c r="F22" s="90">
        <v>19.148936170212767</v>
      </c>
      <c r="G22" s="90">
        <v>25.531914893617021</v>
      </c>
      <c r="H22" s="90">
        <v>63.829787234042556</v>
      </c>
      <c r="I22" s="90">
        <v>40.425531914893618</v>
      </c>
      <c r="J22" s="90">
        <v>34.042553191489361</v>
      </c>
      <c r="K22" s="90">
        <v>4.2553191489361701</v>
      </c>
      <c r="L22" s="90">
        <v>53.191489361702125</v>
      </c>
      <c r="M22" s="90">
        <v>44.680851063829785</v>
      </c>
      <c r="N22" s="90">
        <v>23.404255319148938</v>
      </c>
      <c r="O22" s="90">
        <v>21.276595744680851</v>
      </c>
      <c r="P22" s="90">
        <v>23.404255319148938</v>
      </c>
      <c r="Q22" s="100">
        <v>47</v>
      </c>
    </row>
    <row r="23" spans="1:17" x14ac:dyDescent="0.35">
      <c r="A23" t="s">
        <v>58</v>
      </c>
      <c r="B23" s="100">
        <v>3</v>
      </c>
      <c r="C23" s="100">
        <v>535</v>
      </c>
      <c r="D23" s="90">
        <v>42.10526315789474</v>
      </c>
      <c r="E23" s="90">
        <v>31.578947368421051</v>
      </c>
      <c r="F23" s="90">
        <v>15.789473684210526</v>
      </c>
      <c r="G23" s="90">
        <v>33.333333333333336</v>
      </c>
      <c r="H23" s="90">
        <v>63.157894736842103</v>
      </c>
      <c r="I23" s="90">
        <v>52.631578947368418</v>
      </c>
      <c r="J23" s="90">
        <v>26.315789473684209</v>
      </c>
      <c r="K23" s="90">
        <v>10.526315789473685</v>
      </c>
      <c r="L23" s="90">
        <v>47.368421052631582</v>
      </c>
      <c r="M23" s="90">
        <v>57.89473684210526</v>
      </c>
      <c r="N23" s="90">
        <v>31.578947368421051</v>
      </c>
      <c r="O23" s="90">
        <v>15.789473684210526</v>
      </c>
      <c r="P23" s="90">
        <v>36.842105263157897</v>
      </c>
      <c r="Q23" s="100">
        <v>19</v>
      </c>
    </row>
    <row r="24" spans="1:17" x14ac:dyDescent="0.35">
      <c r="A24" t="s">
        <v>11</v>
      </c>
      <c r="B24" s="100">
        <v>6</v>
      </c>
      <c r="C24" s="100">
        <v>464</v>
      </c>
      <c r="D24" s="90">
        <v>55.172413793103445</v>
      </c>
      <c r="E24" s="90">
        <v>29.310344827586206</v>
      </c>
      <c r="F24" s="90">
        <v>20.689655172413794</v>
      </c>
      <c r="G24" s="90">
        <v>27.586206896551722</v>
      </c>
      <c r="H24" s="90">
        <v>62.068965517241381</v>
      </c>
      <c r="I24" s="90">
        <v>55.172413793103445</v>
      </c>
      <c r="J24" s="90">
        <v>35.714285714285715</v>
      </c>
      <c r="K24" s="90">
        <v>5.2631578947368425</v>
      </c>
      <c r="L24" s="90">
        <v>43.103448275862071</v>
      </c>
      <c r="M24" s="90">
        <v>62.068965517241381</v>
      </c>
      <c r="N24" s="90">
        <v>41.379310344827587</v>
      </c>
      <c r="O24" s="90">
        <v>48.275862068965516</v>
      </c>
      <c r="P24" s="90">
        <v>36.842105263157897</v>
      </c>
      <c r="Q24" s="100">
        <v>59</v>
      </c>
    </row>
    <row r="25" spans="1:17" x14ac:dyDescent="0.35">
      <c r="A25" t="s">
        <v>60</v>
      </c>
      <c r="B25" s="100">
        <v>1</v>
      </c>
      <c r="C25" s="100">
        <v>578</v>
      </c>
      <c r="D25" s="90">
        <v>50</v>
      </c>
      <c r="E25" s="90">
        <v>26.315789473684209</v>
      </c>
      <c r="F25" s="90">
        <v>15.789473684210526</v>
      </c>
      <c r="G25" s="90">
        <v>50</v>
      </c>
      <c r="H25" s="90">
        <v>65</v>
      </c>
      <c r="I25" s="90">
        <v>65</v>
      </c>
      <c r="J25" s="90">
        <v>20</v>
      </c>
      <c r="K25" s="90">
        <v>21.05263157894737</v>
      </c>
      <c r="L25" s="90">
        <v>60</v>
      </c>
      <c r="M25" s="90">
        <v>75</v>
      </c>
      <c r="N25" s="90">
        <v>40</v>
      </c>
      <c r="O25" s="90">
        <v>45</v>
      </c>
      <c r="P25" s="90">
        <v>75</v>
      </c>
      <c r="Q25" s="100">
        <v>21</v>
      </c>
    </row>
    <row r="26" spans="1:17" x14ac:dyDescent="0.35">
      <c r="A26" t="s">
        <v>61</v>
      </c>
      <c r="B26" s="100">
        <v>2</v>
      </c>
      <c r="C26" s="100">
        <v>581</v>
      </c>
      <c r="D26" s="90">
        <v>35.714285714285715</v>
      </c>
      <c r="E26" s="90">
        <v>25.925925925925927</v>
      </c>
      <c r="F26" s="90">
        <v>19.23076923076923</v>
      </c>
      <c r="G26" s="90">
        <v>29.62962962962963</v>
      </c>
      <c r="H26" s="90">
        <v>60.714285714285715</v>
      </c>
      <c r="I26" s="90">
        <v>51.851851851851855</v>
      </c>
      <c r="J26" s="90">
        <v>39.285714285714285</v>
      </c>
      <c r="K26" s="90">
        <v>3.7037037037037037</v>
      </c>
      <c r="L26" s="90">
        <v>55.555555555555557</v>
      </c>
      <c r="M26" s="90">
        <v>53.846153846153847</v>
      </c>
      <c r="N26" s="90">
        <v>17.857142857142858</v>
      </c>
      <c r="O26" s="90">
        <v>25</v>
      </c>
      <c r="P26" s="90">
        <v>32.142857142857146</v>
      </c>
      <c r="Q26" s="100">
        <v>28</v>
      </c>
    </row>
    <row r="27" spans="1:17" x14ac:dyDescent="0.35">
      <c r="A27" t="s">
        <v>62</v>
      </c>
      <c r="B27" s="100">
        <v>1</v>
      </c>
      <c r="C27" s="100">
        <v>592</v>
      </c>
      <c r="D27" s="90">
        <v>47.368421052631582</v>
      </c>
      <c r="E27" s="90">
        <v>31.578947368421051</v>
      </c>
      <c r="F27" s="90">
        <v>31.578947368421051</v>
      </c>
      <c r="G27" s="90">
        <v>15.789473684210526</v>
      </c>
      <c r="H27" s="90">
        <v>52.631578947368418</v>
      </c>
      <c r="I27" s="90">
        <v>26.315789473684209</v>
      </c>
      <c r="J27" s="90">
        <v>52.631578947368418</v>
      </c>
      <c r="K27" s="90">
        <v>0</v>
      </c>
      <c r="L27" s="90">
        <v>52.631578947368418</v>
      </c>
      <c r="M27" s="90">
        <v>63.157894736842103</v>
      </c>
      <c r="N27" s="90">
        <v>36.842105263157897</v>
      </c>
      <c r="O27" s="90">
        <v>26.315789473684209</v>
      </c>
      <c r="P27" s="90">
        <v>36.842105263157897</v>
      </c>
      <c r="Q27" s="100">
        <v>19</v>
      </c>
    </row>
    <row r="28" spans="1:17" x14ac:dyDescent="0.35">
      <c r="A28" t="s">
        <v>12</v>
      </c>
      <c r="B28" s="100">
        <v>2</v>
      </c>
      <c r="C28" s="100">
        <v>615</v>
      </c>
      <c r="D28" s="90">
        <v>47.058823529411768</v>
      </c>
      <c r="E28" s="90">
        <v>23.529411764705884</v>
      </c>
      <c r="F28" s="90">
        <v>35.294117647058826</v>
      </c>
      <c r="G28" s="90">
        <v>41.176470588235297</v>
      </c>
      <c r="H28" s="90">
        <v>58.823529411764703</v>
      </c>
      <c r="I28" s="90">
        <v>50</v>
      </c>
      <c r="J28" s="90">
        <v>52.941176470588232</v>
      </c>
      <c r="K28" s="90">
        <v>0</v>
      </c>
      <c r="L28" s="90">
        <v>52.941176470588232</v>
      </c>
      <c r="M28" s="90">
        <v>70.588235294117652</v>
      </c>
      <c r="N28" s="90">
        <v>40</v>
      </c>
      <c r="O28" s="90">
        <v>64.705882352941174</v>
      </c>
      <c r="P28" s="90">
        <v>43.75</v>
      </c>
      <c r="Q28" s="100">
        <v>17</v>
      </c>
    </row>
    <row r="29" spans="1:17" x14ac:dyDescent="0.35">
      <c r="A29" t="s">
        <v>23</v>
      </c>
      <c r="B29" s="100">
        <v>4</v>
      </c>
      <c r="C29" s="100">
        <v>710</v>
      </c>
      <c r="D29" s="90">
        <v>39.534883720930232</v>
      </c>
      <c r="E29" s="90">
        <v>34.883720930232556</v>
      </c>
      <c r="F29" s="90">
        <v>23.255813953488371</v>
      </c>
      <c r="G29" s="90">
        <v>37.209302325581397</v>
      </c>
      <c r="H29" s="90">
        <v>72.093023255813947</v>
      </c>
      <c r="I29" s="90">
        <v>44.186046511627907</v>
      </c>
      <c r="J29" s="90">
        <v>25.581395348837209</v>
      </c>
      <c r="K29" s="90">
        <v>11.627906976744185</v>
      </c>
      <c r="L29" s="90">
        <v>55.813953488372093</v>
      </c>
      <c r="M29" s="90">
        <v>47.61904761904762</v>
      </c>
      <c r="N29" s="90">
        <v>37.209302325581397</v>
      </c>
      <c r="O29" s="90">
        <v>20.930232558139537</v>
      </c>
      <c r="P29" s="90">
        <v>37.209302325581397</v>
      </c>
      <c r="Q29" s="100">
        <v>43</v>
      </c>
    </row>
    <row r="30" spans="1:17" x14ac:dyDescent="0.35">
      <c r="A30" t="s">
        <v>64</v>
      </c>
      <c r="B30" s="100">
        <v>4</v>
      </c>
      <c r="C30" s="100">
        <v>680</v>
      </c>
      <c r="D30" s="90">
        <v>31.818181818181817</v>
      </c>
      <c r="E30" s="90">
        <v>22.727272727272727</v>
      </c>
      <c r="F30" s="90">
        <v>41.860465116279073</v>
      </c>
      <c r="G30" s="90">
        <v>18.181818181818183</v>
      </c>
      <c r="H30" s="90">
        <v>61.363636363636367</v>
      </c>
      <c r="I30" s="90">
        <v>47.727272727272727</v>
      </c>
      <c r="J30" s="90">
        <v>25</v>
      </c>
      <c r="K30" s="90">
        <v>6.9767441860465116</v>
      </c>
      <c r="L30" s="90">
        <v>45.454545454545453</v>
      </c>
      <c r="M30" s="90">
        <v>45.454545454545453</v>
      </c>
      <c r="N30" s="90">
        <v>25.581395348837209</v>
      </c>
      <c r="O30" s="90">
        <v>20.930232558139537</v>
      </c>
      <c r="P30" s="90">
        <v>22.727272727272727</v>
      </c>
      <c r="Q30" s="100">
        <v>44</v>
      </c>
    </row>
    <row r="31" spans="1:17" x14ac:dyDescent="0.35">
      <c r="A31" t="s">
        <v>65</v>
      </c>
      <c r="B31" s="100">
        <v>1</v>
      </c>
      <c r="C31" s="100">
        <v>686</v>
      </c>
      <c r="D31" s="90">
        <v>52.941176470588232</v>
      </c>
      <c r="E31" s="90">
        <v>41.176470588235297</v>
      </c>
      <c r="F31" s="90">
        <v>23.529411764705884</v>
      </c>
      <c r="G31" s="90">
        <v>33.333333333333336</v>
      </c>
      <c r="H31" s="90">
        <v>81.25</v>
      </c>
      <c r="I31" s="90">
        <v>50</v>
      </c>
      <c r="J31" s="90">
        <v>23.529411764705884</v>
      </c>
      <c r="K31" s="90">
        <v>5.882352941176471</v>
      </c>
      <c r="L31" s="90">
        <v>29.411764705882351</v>
      </c>
      <c r="M31" s="90">
        <v>88.235294117647058</v>
      </c>
      <c r="N31" s="90">
        <v>52.941176470588232</v>
      </c>
      <c r="O31" s="90">
        <v>58.823529411764703</v>
      </c>
      <c r="P31" s="90">
        <v>58.823529411764703</v>
      </c>
      <c r="Q31" s="100">
        <v>17</v>
      </c>
    </row>
    <row r="32" spans="1:17" x14ac:dyDescent="0.35">
      <c r="A32" t="s">
        <v>13</v>
      </c>
      <c r="B32" s="100">
        <v>5</v>
      </c>
      <c r="C32" s="100">
        <v>734</v>
      </c>
      <c r="D32" s="90">
        <v>50.909090909090907</v>
      </c>
      <c r="E32" s="90">
        <v>33.962264150943398</v>
      </c>
      <c r="F32" s="90">
        <v>22.222222222222221</v>
      </c>
      <c r="G32" s="90">
        <v>24.528301886792452</v>
      </c>
      <c r="H32" s="90">
        <v>74.545454545454547</v>
      </c>
      <c r="I32" s="90">
        <v>40</v>
      </c>
      <c r="J32" s="90">
        <v>44.444444444444443</v>
      </c>
      <c r="K32" s="90">
        <v>7.2727272727272725</v>
      </c>
      <c r="L32" s="90">
        <v>49.090909090909093</v>
      </c>
      <c r="M32" s="90">
        <v>59.25925925925926</v>
      </c>
      <c r="N32" s="90">
        <v>29.62962962962963</v>
      </c>
      <c r="O32" s="90">
        <v>34.545454545454547</v>
      </c>
      <c r="P32" s="90">
        <v>21.818181818181817</v>
      </c>
      <c r="Q32" s="100">
        <v>55</v>
      </c>
    </row>
    <row r="33" spans="1:17" x14ac:dyDescent="0.35">
      <c r="A33" t="s">
        <v>14</v>
      </c>
      <c r="B33" s="100">
        <v>3</v>
      </c>
      <c r="C33" s="100">
        <v>753</v>
      </c>
      <c r="D33" s="90">
        <v>54.285714285714285</v>
      </c>
      <c r="E33" s="90">
        <v>25.714285714285715</v>
      </c>
      <c r="F33" s="90">
        <v>32.352941176470587</v>
      </c>
      <c r="G33" s="90">
        <v>30.303030303030305</v>
      </c>
      <c r="H33" s="90">
        <v>68.571428571428569</v>
      </c>
      <c r="I33" s="90">
        <v>45.714285714285715</v>
      </c>
      <c r="J33" s="90">
        <v>28.571428571428573</v>
      </c>
      <c r="K33" s="90">
        <v>11.428571428571429</v>
      </c>
      <c r="L33" s="90">
        <v>45.714285714285715</v>
      </c>
      <c r="M33" s="90">
        <v>60</v>
      </c>
      <c r="N33" s="90">
        <v>37.142857142857146</v>
      </c>
      <c r="O33" s="90">
        <v>45.714285714285715</v>
      </c>
      <c r="P33" s="90">
        <v>54.285714285714285</v>
      </c>
      <c r="Q33" s="100">
        <v>36</v>
      </c>
    </row>
    <row r="34" spans="1:17" x14ac:dyDescent="0.35">
      <c r="A34" t="s">
        <v>67</v>
      </c>
      <c r="B34" s="100">
        <v>1</v>
      </c>
      <c r="C34" s="100">
        <v>783</v>
      </c>
      <c r="D34" s="90">
        <v>26.923076923076923</v>
      </c>
      <c r="E34" s="90">
        <v>23.076923076923077</v>
      </c>
      <c r="F34" s="90">
        <v>30.76923076923077</v>
      </c>
      <c r="G34" s="90">
        <v>11.538461538461538</v>
      </c>
      <c r="H34" s="90">
        <v>50</v>
      </c>
      <c r="I34" s="90">
        <v>42.307692307692307</v>
      </c>
      <c r="J34" s="90">
        <v>26.923076923076923</v>
      </c>
      <c r="K34" s="90">
        <v>3.8461538461538463</v>
      </c>
      <c r="L34" s="90">
        <v>53.846153846153847</v>
      </c>
      <c r="M34" s="90">
        <v>23.076923076923077</v>
      </c>
      <c r="N34" s="90">
        <v>7.6923076923076925</v>
      </c>
      <c r="O34" s="90">
        <v>15.384615384615385</v>
      </c>
      <c r="P34" s="90">
        <v>30.76923076923077</v>
      </c>
      <c r="Q34" s="100">
        <v>26</v>
      </c>
    </row>
    <row r="35" spans="1:17" x14ac:dyDescent="0.35">
      <c r="A35" t="s">
        <v>68</v>
      </c>
      <c r="B35" s="100">
        <v>6</v>
      </c>
      <c r="C35" s="100">
        <v>837</v>
      </c>
      <c r="D35" s="90">
        <v>51.92307692307692</v>
      </c>
      <c r="E35" s="90">
        <v>51.92307692307692</v>
      </c>
      <c r="F35" s="90">
        <v>58.823529411764703</v>
      </c>
      <c r="G35" s="90">
        <v>23.076923076923077</v>
      </c>
      <c r="H35" s="90">
        <v>55.769230769230766</v>
      </c>
      <c r="I35" s="90">
        <v>48.07692307692308</v>
      </c>
      <c r="J35" s="90">
        <v>29.166666666666668</v>
      </c>
      <c r="K35" s="90">
        <v>17.307692307692307</v>
      </c>
      <c r="L35" s="90">
        <v>44.230769230769234</v>
      </c>
      <c r="M35" s="90">
        <v>67.307692307692307</v>
      </c>
      <c r="N35" s="90">
        <v>40.384615384615387</v>
      </c>
      <c r="O35" s="90">
        <v>52.941176470588232</v>
      </c>
      <c r="P35" s="90">
        <v>33.333333333333336</v>
      </c>
      <c r="Q35" s="100">
        <v>52</v>
      </c>
    </row>
    <row r="36" spans="1:17" x14ac:dyDescent="0.35">
      <c r="A36" t="s">
        <v>69</v>
      </c>
      <c r="B36" s="100">
        <v>4</v>
      </c>
      <c r="C36" s="100">
        <v>851</v>
      </c>
      <c r="D36" s="90">
        <v>52.777777777777779</v>
      </c>
      <c r="E36" s="90">
        <v>18.918918918918919</v>
      </c>
      <c r="F36" s="90">
        <v>25</v>
      </c>
      <c r="G36" s="90">
        <v>27.777777777777779</v>
      </c>
      <c r="H36" s="90">
        <v>72.222222222222229</v>
      </c>
      <c r="I36" s="90">
        <v>45.945945945945944</v>
      </c>
      <c r="J36" s="90">
        <v>27.027027027027028</v>
      </c>
      <c r="K36" s="90">
        <v>5.4054054054054053</v>
      </c>
      <c r="L36" s="90">
        <v>32.432432432432435</v>
      </c>
      <c r="M36" s="90">
        <v>78.378378378378372</v>
      </c>
      <c r="N36" s="90">
        <v>35.135135135135137</v>
      </c>
      <c r="O36" s="90">
        <v>37.837837837837839</v>
      </c>
      <c r="P36" s="90">
        <v>38.888888888888886</v>
      </c>
      <c r="Q36" s="100">
        <v>39</v>
      </c>
    </row>
    <row r="37" spans="1:17" x14ac:dyDescent="0.35">
      <c r="A37" t="s">
        <v>15</v>
      </c>
      <c r="B37" s="100">
        <v>6</v>
      </c>
      <c r="C37" s="100">
        <v>853</v>
      </c>
      <c r="D37" s="90">
        <v>53.125</v>
      </c>
      <c r="E37" s="90">
        <v>23.4375</v>
      </c>
      <c r="F37" s="90">
        <v>41.53846153846154</v>
      </c>
      <c r="G37" s="90">
        <v>28.125</v>
      </c>
      <c r="H37" s="90">
        <v>60.9375</v>
      </c>
      <c r="I37" s="90">
        <v>35.9375</v>
      </c>
      <c r="J37" s="90">
        <v>36.92307692307692</v>
      </c>
      <c r="K37" s="90">
        <v>9.375</v>
      </c>
      <c r="L37" s="90">
        <v>35.9375</v>
      </c>
      <c r="M37" s="90">
        <v>60</v>
      </c>
      <c r="N37" s="90">
        <v>35.9375</v>
      </c>
      <c r="O37" s="90">
        <v>36.507936507936506</v>
      </c>
      <c r="P37" s="90">
        <v>25.396825396825395</v>
      </c>
      <c r="Q37" s="100">
        <v>65</v>
      </c>
    </row>
    <row r="38" spans="1:17" x14ac:dyDescent="0.35">
      <c r="A38" t="s">
        <v>16</v>
      </c>
      <c r="B38" s="100">
        <v>5</v>
      </c>
      <c r="C38" s="100">
        <v>905</v>
      </c>
      <c r="D38" s="90">
        <v>38.596491228070178</v>
      </c>
      <c r="E38" s="90">
        <v>42.10526315789474</v>
      </c>
      <c r="F38" s="90">
        <v>26.315789473684209</v>
      </c>
      <c r="G38" s="90">
        <v>21.05263157894737</v>
      </c>
      <c r="H38" s="90">
        <v>73.684210526315795</v>
      </c>
      <c r="I38" s="90">
        <v>38.596491228070178</v>
      </c>
      <c r="J38" s="90">
        <v>43.859649122807021</v>
      </c>
      <c r="K38" s="90">
        <v>7.0175438596491224</v>
      </c>
      <c r="L38" s="90">
        <v>40.350877192982459</v>
      </c>
      <c r="M38" s="90">
        <v>56.140350877192979</v>
      </c>
      <c r="N38" s="90">
        <v>40.350877192982459</v>
      </c>
      <c r="O38" s="90">
        <v>28.571428571428573</v>
      </c>
      <c r="P38" s="90">
        <v>19.298245614035089</v>
      </c>
      <c r="Q38" s="100">
        <v>57</v>
      </c>
    </row>
    <row r="39" spans="1:17" x14ac:dyDescent="0.35">
      <c r="A39" t="s">
        <v>71</v>
      </c>
      <c r="B39" s="100">
        <v>6</v>
      </c>
      <c r="C39" s="100">
        <v>92</v>
      </c>
      <c r="D39" s="90">
        <v>55.056179775280896</v>
      </c>
      <c r="E39" s="90">
        <v>31.460674157303369</v>
      </c>
      <c r="F39" s="90">
        <v>28.089887640449437</v>
      </c>
      <c r="G39" s="90">
        <v>30.681818181818183</v>
      </c>
      <c r="H39" s="90">
        <v>62.921348314606739</v>
      </c>
      <c r="I39" s="90">
        <v>43.820224719101127</v>
      </c>
      <c r="J39" s="90">
        <v>30.337078651685392</v>
      </c>
      <c r="K39" s="90">
        <v>4.5454545454545459</v>
      </c>
      <c r="L39" s="90">
        <v>37.931034482758619</v>
      </c>
      <c r="M39" s="90">
        <v>50.561797752808985</v>
      </c>
      <c r="N39" s="90">
        <v>41.573033707865171</v>
      </c>
      <c r="O39" s="90">
        <v>40.909090909090907</v>
      </c>
      <c r="P39" s="90">
        <v>24.719101123595507</v>
      </c>
      <c r="Q39" s="100">
        <v>89</v>
      </c>
    </row>
    <row r="40" spans="1:17" x14ac:dyDescent="0.35">
      <c r="A40" t="s">
        <v>17</v>
      </c>
      <c r="B40" s="100">
        <v>1</v>
      </c>
      <c r="C40" s="100">
        <v>934</v>
      </c>
      <c r="D40" s="90">
        <v>43.75</v>
      </c>
      <c r="E40" s="90">
        <v>25</v>
      </c>
      <c r="F40" s="90">
        <v>18.75</v>
      </c>
      <c r="G40" s="90">
        <v>31.25</v>
      </c>
      <c r="H40" s="90">
        <v>56.25</v>
      </c>
      <c r="I40" s="90">
        <v>56.25</v>
      </c>
      <c r="J40" s="90">
        <v>25</v>
      </c>
      <c r="K40" s="90">
        <v>6.25</v>
      </c>
      <c r="L40" s="90">
        <v>37.5</v>
      </c>
      <c r="M40" s="90">
        <v>62.5</v>
      </c>
      <c r="N40" s="90">
        <v>31.25</v>
      </c>
      <c r="O40" s="90">
        <v>18.75</v>
      </c>
      <c r="P40" s="90">
        <v>50</v>
      </c>
      <c r="Q40" s="100">
        <v>16</v>
      </c>
    </row>
    <row r="41" spans="1:17" x14ac:dyDescent="0.35">
      <c r="A41" t="s">
        <v>24</v>
      </c>
      <c r="B41" s="100">
        <v>2</v>
      </c>
      <c r="C41" s="100">
        <v>946</v>
      </c>
      <c r="D41" s="90">
        <v>34.482758620689658</v>
      </c>
      <c r="E41" s="90">
        <v>27.586206896551722</v>
      </c>
      <c r="F41" s="90">
        <v>21.428571428571427</v>
      </c>
      <c r="G41" s="90">
        <v>31.03448275862069</v>
      </c>
      <c r="H41" s="90">
        <v>74.074074074074076</v>
      </c>
      <c r="I41" s="90">
        <v>34.482758620689658</v>
      </c>
      <c r="J41" s="90">
        <v>27.586206896551722</v>
      </c>
      <c r="K41" s="90">
        <v>0</v>
      </c>
      <c r="L41" s="90">
        <v>46.666666666666664</v>
      </c>
      <c r="M41" s="90">
        <v>31.03448275862069</v>
      </c>
      <c r="N41" s="90">
        <v>44.827586206896555</v>
      </c>
      <c r="O41" s="90">
        <v>7.4074074074074074</v>
      </c>
      <c r="P41" s="90">
        <v>11.111111111111111</v>
      </c>
      <c r="Q41" s="100">
        <v>31</v>
      </c>
    </row>
    <row r="43" spans="1:17" x14ac:dyDescent="0.35">
      <c r="A43" t="s">
        <v>126</v>
      </c>
      <c r="D43" t="s">
        <v>137</v>
      </c>
      <c r="E43" t="s">
        <v>138</v>
      </c>
      <c r="F43" t="s">
        <v>139</v>
      </c>
      <c r="G43" t="s">
        <v>140</v>
      </c>
      <c r="H43" t="s">
        <v>141</v>
      </c>
      <c r="I43" t="s">
        <v>142</v>
      </c>
      <c r="J43" t="s">
        <v>143</v>
      </c>
      <c r="K43" t="s">
        <v>144</v>
      </c>
      <c r="L43" t="s">
        <v>145</v>
      </c>
      <c r="M43" t="s">
        <v>146</v>
      </c>
      <c r="N43" t="s">
        <v>147</v>
      </c>
      <c r="O43" t="s">
        <v>148</v>
      </c>
      <c r="P43" t="s">
        <v>149</v>
      </c>
      <c r="Q43" t="s">
        <v>79</v>
      </c>
    </row>
    <row r="44" spans="1:17" x14ac:dyDescent="0.35">
      <c r="A44" t="s">
        <v>130</v>
      </c>
      <c r="D44" s="90">
        <v>42.666666666666664</v>
      </c>
      <c r="E44" s="90">
        <v>26.351351351351351</v>
      </c>
      <c r="F44" s="90">
        <v>25.675675675675677</v>
      </c>
      <c r="G44" s="90">
        <v>33.108108108108105</v>
      </c>
      <c r="H44" s="90">
        <v>68.243243243243242</v>
      </c>
      <c r="I44" s="90">
        <v>48.993288590604024</v>
      </c>
      <c r="J44" s="90">
        <v>29.530201342281877</v>
      </c>
      <c r="K44" s="90">
        <v>7.3825503355704694</v>
      </c>
      <c r="L44" s="90">
        <v>48.666666666666664</v>
      </c>
      <c r="M44" s="90">
        <v>58</v>
      </c>
      <c r="N44" s="90">
        <v>27.516778523489933</v>
      </c>
      <c r="O44" s="90">
        <v>28.187919463087248</v>
      </c>
      <c r="P44" s="90">
        <v>54</v>
      </c>
      <c r="Q44" s="100">
        <v>151</v>
      </c>
    </row>
    <row r="45" spans="1:17" x14ac:dyDescent="0.35">
      <c r="A45" t="s">
        <v>131</v>
      </c>
      <c r="D45" s="90">
        <v>42.95774647887324</v>
      </c>
      <c r="E45" s="90">
        <v>24.113475177304963</v>
      </c>
      <c r="F45" s="90">
        <v>24.46043165467626</v>
      </c>
      <c r="G45" s="90">
        <v>32.142857142857146</v>
      </c>
      <c r="H45" s="90">
        <v>66.187050359712231</v>
      </c>
      <c r="I45" s="90">
        <v>48.201438848920866</v>
      </c>
      <c r="J45" s="90">
        <v>30.985915492957748</v>
      </c>
      <c r="K45" s="90">
        <v>4.3165467625899279</v>
      </c>
      <c r="L45" s="90">
        <v>56.028368794326241</v>
      </c>
      <c r="M45" s="90">
        <v>51.798561151079134</v>
      </c>
      <c r="N45" s="90">
        <v>27.338129496402878</v>
      </c>
      <c r="O45" s="90">
        <v>24.46043165467626</v>
      </c>
      <c r="P45" s="90">
        <v>31.159420289855074</v>
      </c>
      <c r="Q45" s="100">
        <v>144</v>
      </c>
    </row>
    <row r="46" spans="1:17" x14ac:dyDescent="0.35">
      <c r="A46" t="s">
        <v>132</v>
      </c>
      <c r="D46" s="90">
        <v>45.247148288973385</v>
      </c>
      <c r="E46" s="90">
        <v>26.436781609195403</v>
      </c>
      <c r="F46" s="90">
        <v>23.076923076923077</v>
      </c>
      <c r="G46" s="90">
        <v>34.362934362934361</v>
      </c>
      <c r="H46" s="90">
        <v>68.181818181818187</v>
      </c>
      <c r="I46" s="90">
        <v>44.106463878326998</v>
      </c>
      <c r="J46" s="90">
        <v>33.846153846153847</v>
      </c>
      <c r="K46" s="90">
        <v>7.2796934865900385</v>
      </c>
      <c r="L46" s="90">
        <v>52.272727272727273</v>
      </c>
      <c r="M46" s="90">
        <v>54.166666666666664</v>
      </c>
      <c r="N46" s="90">
        <v>30.152671755725191</v>
      </c>
      <c r="O46" s="90">
        <v>27.862595419847327</v>
      </c>
      <c r="P46" s="90">
        <v>40.684410646387832</v>
      </c>
      <c r="Q46" s="100">
        <v>268</v>
      </c>
    </row>
    <row r="47" spans="1:17" x14ac:dyDescent="0.35">
      <c r="A47" t="s">
        <v>133</v>
      </c>
      <c r="D47" s="90">
        <v>39.682539682539684</v>
      </c>
      <c r="E47" s="90">
        <v>25.196850393700789</v>
      </c>
      <c r="F47" s="90">
        <v>28</v>
      </c>
      <c r="G47" s="90">
        <v>31.102362204724411</v>
      </c>
      <c r="H47" s="90">
        <v>68.897637795275585</v>
      </c>
      <c r="I47" s="90">
        <v>44.268774703557312</v>
      </c>
      <c r="J47" s="90">
        <v>30.314960629921259</v>
      </c>
      <c r="K47" s="90">
        <v>7.1713147410358564</v>
      </c>
      <c r="L47" s="90">
        <v>46.062992125984252</v>
      </c>
      <c r="M47" s="90">
        <v>59.523809523809526</v>
      </c>
      <c r="N47" s="90">
        <v>31.349206349206348</v>
      </c>
      <c r="O47" s="90">
        <v>25.296442687747035</v>
      </c>
      <c r="P47" s="90">
        <v>32.015810276679844</v>
      </c>
      <c r="Q47" s="100">
        <v>258</v>
      </c>
    </row>
    <row r="48" spans="1:17" x14ac:dyDescent="0.35">
      <c r="A48" t="s">
        <v>134</v>
      </c>
      <c r="D48" s="90">
        <v>47.289156626506021</v>
      </c>
      <c r="E48" s="90">
        <v>34.451219512195124</v>
      </c>
      <c r="F48" s="90">
        <v>24.397590361445783</v>
      </c>
      <c r="G48" s="90">
        <v>29.305135951661633</v>
      </c>
      <c r="H48" s="90">
        <v>68.768768768768766</v>
      </c>
      <c r="I48" s="90">
        <v>44.848484848484851</v>
      </c>
      <c r="J48" s="90">
        <v>42.642642642642642</v>
      </c>
      <c r="K48" s="90">
        <v>5.7057057057057055</v>
      </c>
      <c r="L48" s="90">
        <v>42.089552238805972</v>
      </c>
      <c r="M48" s="90">
        <v>61.212121212121211</v>
      </c>
      <c r="N48" s="90">
        <v>31.288343558282207</v>
      </c>
      <c r="O48" s="90">
        <v>36.445783132530117</v>
      </c>
      <c r="P48" s="90">
        <v>38.484848484848484</v>
      </c>
      <c r="Q48" s="100">
        <v>335</v>
      </c>
    </row>
    <row r="49" spans="1:17" x14ac:dyDescent="0.35">
      <c r="A49" t="s">
        <v>135</v>
      </c>
      <c r="D49" s="90">
        <v>55.75</v>
      </c>
      <c r="E49" s="90">
        <v>32.009925558312652</v>
      </c>
      <c r="F49" s="90">
        <v>33.746898263027298</v>
      </c>
      <c r="G49" s="90">
        <v>28.35820895522388</v>
      </c>
      <c r="H49" s="90">
        <v>61.786600496277913</v>
      </c>
      <c r="I49" s="90">
        <v>45.273631840796021</v>
      </c>
      <c r="J49" s="90">
        <v>32.997481108312343</v>
      </c>
      <c r="K49" s="90">
        <v>8.25</v>
      </c>
      <c r="L49" s="90">
        <v>37.5</v>
      </c>
      <c r="M49" s="90">
        <v>59.900990099009903</v>
      </c>
      <c r="N49" s="90">
        <v>36.069651741293534</v>
      </c>
      <c r="O49" s="90">
        <v>43.107769423558899</v>
      </c>
      <c r="P49" s="90">
        <v>28.822055137844611</v>
      </c>
      <c r="Q49" s="100">
        <v>406</v>
      </c>
    </row>
    <row r="52" spans="1:17" x14ac:dyDescent="0.35">
      <c r="A52" t="s">
        <v>127</v>
      </c>
      <c r="D52" t="s">
        <v>137</v>
      </c>
      <c r="E52" t="s">
        <v>138</v>
      </c>
      <c r="F52" t="s">
        <v>139</v>
      </c>
      <c r="G52" t="s">
        <v>140</v>
      </c>
      <c r="H52" t="s">
        <v>141</v>
      </c>
      <c r="I52" t="s">
        <v>142</v>
      </c>
      <c r="J52" t="s">
        <v>143</v>
      </c>
      <c r="K52" t="s">
        <v>144</v>
      </c>
      <c r="L52" t="s">
        <v>145</v>
      </c>
      <c r="M52" t="s">
        <v>146</v>
      </c>
      <c r="N52" t="s">
        <v>147</v>
      </c>
      <c r="O52" t="s">
        <v>148</v>
      </c>
      <c r="P52" t="s">
        <v>149</v>
      </c>
      <c r="Q52" t="s">
        <v>79</v>
      </c>
    </row>
    <row r="53" spans="1:17" x14ac:dyDescent="0.35">
      <c r="D53" s="90">
        <v>47.043534762833005</v>
      </c>
      <c r="E53" s="90">
        <v>29.185667752442995</v>
      </c>
      <c r="F53" s="90">
        <v>27.349869451697128</v>
      </c>
      <c r="G53" s="90">
        <v>30.834419817470664</v>
      </c>
      <c r="H53" s="90">
        <v>66.580142764438676</v>
      </c>
      <c r="I53" s="90">
        <v>45.442708333333336</v>
      </c>
      <c r="J53" s="90">
        <v>34.267100977198695</v>
      </c>
      <c r="K53" s="90">
        <v>6.9145466405740379</v>
      </c>
      <c r="L53" s="90">
        <v>45.207253886010363</v>
      </c>
      <c r="M53" s="90">
        <v>58.21962313190383</v>
      </c>
      <c r="N53" s="90">
        <v>31.633986928104576</v>
      </c>
      <c r="O53" s="90">
        <v>32.98565840938722</v>
      </c>
      <c r="P53" s="90">
        <v>36.138290932811479</v>
      </c>
      <c r="Q53" s="100">
        <v>1562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24</vt:i4>
      </vt:variant>
      <vt:variant>
        <vt:lpstr>Nimetyt alueet</vt:lpstr>
      </vt:variant>
      <vt:variant>
        <vt:i4>45</vt:i4>
      </vt:variant>
    </vt:vector>
  </HeadingPairs>
  <TitlesOfParts>
    <vt:vector size="69" baseType="lpstr">
      <vt:lpstr>Etusivu</vt:lpstr>
      <vt:lpstr>work</vt:lpstr>
      <vt:lpstr>Vastauspros</vt:lpstr>
      <vt:lpstr>kys15_kaikkilh_kunnittain</vt:lpstr>
      <vt:lpstr>kys15_valtuusto_kunnittain</vt:lpstr>
      <vt:lpstr>kys16_kunnittain</vt:lpstr>
      <vt:lpstr>kys17_kunnittain</vt:lpstr>
      <vt:lpstr>kys18_kunnittain</vt:lpstr>
      <vt:lpstr>kys19_kunnittain</vt:lpstr>
      <vt:lpstr>kys20_kunnittain</vt:lpstr>
      <vt:lpstr>kys21_kunnittain</vt:lpstr>
      <vt:lpstr>kys22_kunnittain</vt:lpstr>
      <vt:lpstr>kys23_kunnittain</vt:lpstr>
      <vt:lpstr>kys24_kunnittain</vt:lpstr>
      <vt:lpstr>kys25_kunnittain</vt:lpstr>
      <vt:lpstr>kys26_kunnittain</vt:lpstr>
      <vt:lpstr>kys27_kunnittain</vt:lpstr>
      <vt:lpstr>kys28_kunnittain</vt:lpstr>
      <vt:lpstr>kys29_kunnittain</vt:lpstr>
      <vt:lpstr>kys30_kunnittain</vt:lpstr>
      <vt:lpstr>kys31_kunnittain</vt:lpstr>
      <vt:lpstr>kys34_kunnittain</vt:lpstr>
      <vt:lpstr>Kys35_kunnittain</vt:lpstr>
      <vt:lpstr>protogolla</vt:lpstr>
      <vt:lpstr>work!_GoBack</vt:lpstr>
      <vt:lpstr>ajankaytto_kunnat</vt:lpstr>
      <vt:lpstr>ajankaytto_ryhmat</vt:lpstr>
      <vt:lpstr>ajankaytto_val_kunnat</vt:lpstr>
      <vt:lpstr>ajankaytto_val_ryhmat</vt:lpstr>
      <vt:lpstr>asukasluku</vt:lpstr>
      <vt:lpstr>demok_kehit_kunnat</vt:lpstr>
      <vt:lpstr>demok_kehit_ryhmat</vt:lpstr>
      <vt:lpstr>edesauttaa_toimintaa_kunnat</vt:lpstr>
      <vt:lpstr>edesauttaa_toimintaa_ryhmat</vt:lpstr>
      <vt:lpstr>elinvoimaisuus_kunnat</vt:lpstr>
      <vt:lpstr>elinvoimaisuus_ryhmat</vt:lpstr>
      <vt:lpstr>hairinta_kunnat</vt:lpstr>
      <vt:lpstr>hairinta_ryhmat</vt:lpstr>
      <vt:lpstr>hyva_asua_kunnat</vt:lpstr>
      <vt:lpstr>hyva_asua_ryhmat</vt:lpstr>
      <vt:lpstr>ilmapiiri_kunnat</vt:lpstr>
      <vt:lpstr>ilmapiiri_ryhmat</vt:lpstr>
      <vt:lpstr>Kunnat</vt:lpstr>
      <vt:lpstr>Kunnat2</vt:lpstr>
      <vt:lpstr>kunta_kehit_kunnat</vt:lpstr>
      <vt:lpstr>kunta_kehit_ryhmat</vt:lpstr>
      <vt:lpstr>luottamustehtava_kunnat</vt:lpstr>
      <vt:lpstr>luottamustehtava_ryhmat</vt:lpstr>
      <vt:lpstr>paatoksentekotilanne_kunnat</vt:lpstr>
      <vt:lpstr>paatoksentekotilanne_ryhmat</vt:lpstr>
      <vt:lpstr>palaute_kunnat</vt:lpstr>
      <vt:lpstr>palaute_ryhmat</vt:lpstr>
      <vt:lpstr>palveluiden_saatavuus_kunnat</vt:lpstr>
      <vt:lpstr>palveluiden_saatavuus_ryhmat</vt:lpstr>
      <vt:lpstr>parjaaminen_kunnat</vt:lpstr>
      <vt:lpstr>parjaaminen_ryhmat</vt:lpstr>
      <vt:lpstr>puolueettomuus_kunnat</vt:lpstr>
      <vt:lpstr>puolueettomuus_ryhmat</vt:lpstr>
      <vt:lpstr>talous_kunnat</vt:lpstr>
      <vt:lpstr>talous_ryhmat</vt:lpstr>
      <vt:lpstr>Etusivu!Tulostusalue</vt:lpstr>
      <vt:lpstr>uudistukset_kunnat</vt:lpstr>
      <vt:lpstr>uudistukset_ryhmat</vt:lpstr>
      <vt:lpstr>vaalit_kunnat</vt:lpstr>
      <vt:lpstr>vaalit_ryhmat</vt:lpstr>
      <vt:lpstr>vaikuttaminen_kunnat</vt:lpstr>
      <vt:lpstr>vaikuttaminen_ryhmat</vt:lpstr>
      <vt:lpstr>vaikutusvalta_kunnat</vt:lpstr>
      <vt:lpstr>vaikutusvalta_ryhmat</vt:lpstr>
    </vt:vector>
  </TitlesOfParts>
  <Company>FC Sovelto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Eero.Ylinentalo@kuntaliitto.fi</dc:creator>
  <cp:lastModifiedBy>Smolander Miska</cp:lastModifiedBy>
  <cp:lastPrinted>2012-05-28T12:49:27Z</cp:lastPrinted>
  <dcterms:created xsi:type="dcterms:W3CDTF">2010-06-23T07:49:47Z</dcterms:created>
  <dcterms:modified xsi:type="dcterms:W3CDTF">2016-09-02T05:18:34Z</dcterms:modified>
  <cp:contentStatus/>
</cp:coreProperties>
</file>