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T:\Kuntakehitys ja Tutkimus\ARTTU2-TUTKIMUSOHJELMA\Osaprojekti_PÄÄTTÄJÄTUTKIMUS 2017\Excel-sovellus\LOPULLISET EXCELIT\EXCEL-sovellukset nettisivuille\"/>
    </mc:Choice>
  </mc:AlternateContent>
  <bookViews>
    <workbookView xWindow="-120" yWindow="130" windowWidth="17520" windowHeight="9720"/>
  </bookViews>
  <sheets>
    <sheet name="Etusivu" sheetId="1" r:id="rId1"/>
    <sheet name="work" sheetId="75" state="hidden" r:id="rId2"/>
    <sheet name="Vastauspros" sheetId="11" state="hidden" r:id="rId3"/>
    <sheet name="Kysymys 10" sheetId="61" state="hidden" r:id="rId4"/>
    <sheet name="Kysymys 11" sheetId="62" state="hidden" r:id="rId5"/>
    <sheet name="Kysymys 12" sheetId="63" state="hidden" r:id="rId6"/>
    <sheet name="Kysymys 13" sheetId="64" state="hidden" r:id="rId7"/>
    <sheet name="Kysymys 14" sheetId="65" state="hidden" r:id="rId8"/>
    <sheet name="Kysymys15" sheetId="68" state="hidden" r:id="rId9"/>
    <sheet name="Kysymys16" sheetId="69" state="hidden" r:id="rId10"/>
    <sheet name="Kysymys17" sheetId="70" state="hidden" r:id="rId11"/>
    <sheet name="Kysymys18A TÄRKEÄT" sheetId="76" state="hidden" r:id="rId12"/>
    <sheet name="Kysymys19" sheetId="71" state="hidden" r:id="rId13"/>
    <sheet name="Kysymys20" sheetId="72" state="hidden" r:id="rId14"/>
    <sheet name="Kysymys21" sheetId="73" state="hidden" r:id="rId15"/>
    <sheet name="Kysymys22" sheetId="74" state="hidden" r:id="rId16"/>
  </sheets>
  <externalReferences>
    <externalReference r:id="rId17"/>
  </externalReferences>
  <definedNames>
    <definedName name="ajankaytto_kunnat">#REF!</definedName>
    <definedName name="ajankaytto_ryhmat">#REF!</definedName>
    <definedName name="ajankaytto_val_kunnat">#REF!</definedName>
    <definedName name="ajankaytto_val_ryhmat">#REF!</definedName>
    <definedName name="AN_koko">work!$B$1</definedName>
    <definedName name="asukasluku">Vastauspros!$A$2:$G$41</definedName>
    <definedName name="demok_kehit_kunnat">#REF!</definedName>
    <definedName name="demok_kehit_ryhmat">#REF!</definedName>
    <definedName name="edesauttaa_toimintaa_kunnat">#REF!</definedName>
    <definedName name="edesauttaa_toimintaa_ryhmat">#REF!</definedName>
    <definedName name="elinvoimaisuus_kunnat">#REF!</definedName>
    <definedName name="elinvoimaisuus_ryhmat">#REF!</definedName>
    <definedName name="hairinta_kunnat">#REF!</definedName>
    <definedName name="hairinta_ryhmat">#REF!</definedName>
    <definedName name="hyva_asua_kunnat">#REF!</definedName>
    <definedName name="hyva_asua_ryhmat">#REF!</definedName>
    <definedName name="ilmapiiri_kunnat">#REF!</definedName>
    <definedName name="ilmapiiri_ryhmat">#REF!</definedName>
    <definedName name="Kunnat">Vastauspros!$A$2:$A$41</definedName>
    <definedName name="Kunnat2">Vastauspros!$A$2:$A$41</definedName>
    <definedName name="kunta_kehit_kunnat">#REF!</definedName>
    <definedName name="kunta_kehit_ryhmat">#REF!</definedName>
    <definedName name="luottamustehtava_kunnat">#REF!</definedName>
    <definedName name="luottamustehtava_ryhmat">#REF!</definedName>
    <definedName name="paatoksentekotilanne_kunnat">#REF!</definedName>
    <definedName name="paatoksentekotilanne_ryhmat">#REF!</definedName>
    <definedName name="palaute_kunnat">#REF!</definedName>
    <definedName name="palaute_ryhmat">#REF!</definedName>
    <definedName name="palveluiden_saatavuus_kunnat">#REF!</definedName>
    <definedName name="palveluiden_saatavuus_ryhmat">#REF!</definedName>
    <definedName name="parjaaminen_kunnat">#REF!</definedName>
    <definedName name="parjaaminen_ryhmat">#REF!</definedName>
    <definedName name="puolueettomuus_kunnat">#REF!</definedName>
    <definedName name="puolueettomuus_ryhmat">#REF!</definedName>
    <definedName name="talous_kunnat">#REF!</definedName>
    <definedName name="talous_ryhmat">#REF!</definedName>
    <definedName name="TN_k18_tarkeat">#REF!</definedName>
    <definedName name="_xlnm.Print_Area" localSheetId="0">Etusivu!$A$1:$I$676</definedName>
    <definedName name="uudistukset_kunnat">#REF!</definedName>
    <definedName name="uudistukset_ryhmat">#REF!</definedName>
    <definedName name="vaalit_kunnat">#REF!</definedName>
    <definedName name="vaalit_ryhmat">#REF!</definedName>
    <definedName name="vaesto2015">[1]vaesto!$A$2:$B$318</definedName>
    <definedName name="vaikuttaminen_kunnat">#REF!</definedName>
    <definedName name="vaikuttaminen_ryhmat">#REF!</definedName>
    <definedName name="vaikutusvalta_kunnat">#REF!</definedName>
    <definedName name="vaikutusvalta_ryhmat">#REF!</definedName>
  </definedNames>
  <calcPr calcId="162913"/>
</workbook>
</file>

<file path=xl/calcChain.xml><?xml version="1.0" encoding="utf-8"?>
<calcChain xmlns="http://schemas.openxmlformats.org/spreadsheetml/2006/main">
  <c r="H16" i="1" l="1"/>
  <c r="G16" i="1"/>
  <c r="F16" i="1"/>
  <c r="E111" i="75" l="1"/>
  <c r="E112" i="75" s="1"/>
  <c r="F110" i="75" s="1"/>
  <c r="E97" i="75"/>
  <c r="E98" i="75" s="1"/>
  <c r="F96" i="75" s="1"/>
  <c r="E104" i="75"/>
  <c r="E105" i="75" s="1"/>
  <c r="F103" i="75" s="1"/>
  <c r="E89" i="75"/>
  <c r="E90" i="75" s="1"/>
  <c r="F88" i="75" s="1"/>
  <c r="E64" i="75"/>
  <c r="E65" i="75" s="1"/>
  <c r="F63" i="75" s="1"/>
  <c r="E59" i="75"/>
  <c r="E60" i="75" s="1"/>
  <c r="F58" i="75" s="1"/>
  <c r="E49" i="75"/>
  <c r="E50" i="75" s="1"/>
  <c r="F48" i="75" s="1"/>
  <c r="E39" i="75"/>
  <c r="E40" i="75" s="1"/>
  <c r="F38" i="75" s="1"/>
  <c r="E27" i="75"/>
  <c r="E28" i="75" s="1"/>
  <c r="F26" i="75" s="1"/>
  <c r="E24" i="75"/>
  <c r="E25" i="75" s="1"/>
  <c r="F23" i="75" s="1"/>
  <c r="E14" i="75"/>
  <c r="E15" i="75" s="1"/>
  <c r="F13" i="75" s="1"/>
  <c r="E9" i="75"/>
  <c r="E4" i="75"/>
  <c r="E5" i="75" s="1"/>
  <c r="F3" i="75" s="1"/>
  <c r="E8" i="75"/>
  <c r="E10" i="75" l="1"/>
  <c r="F8" i="75" s="1"/>
  <c r="B9" i="75"/>
  <c r="D69" i="75" l="1"/>
  <c r="H88" i="76" l="1"/>
  <c r="G88" i="76"/>
  <c r="F88" i="76"/>
  <c r="E88" i="76"/>
  <c r="D88" i="76"/>
  <c r="C88" i="76"/>
  <c r="B88" i="76"/>
  <c r="B112" i="75" l="1"/>
  <c r="B111" i="75"/>
  <c r="B105" i="75"/>
  <c r="B106" i="75"/>
  <c r="B107" i="75"/>
  <c r="B108" i="75"/>
  <c r="B104" i="75"/>
  <c r="B98" i="75"/>
  <c r="B99" i="75"/>
  <c r="B100" i="75"/>
  <c r="B101" i="75"/>
  <c r="B97" i="75"/>
  <c r="B90" i="75"/>
  <c r="B91" i="75"/>
  <c r="B92" i="75"/>
  <c r="B93" i="75"/>
  <c r="B94" i="75"/>
  <c r="B89" i="75"/>
  <c r="B65" i="75"/>
  <c r="B66" i="75"/>
  <c r="B67" i="75"/>
  <c r="B68" i="75"/>
  <c r="B69" i="75"/>
  <c r="B70" i="75"/>
  <c r="B71" i="75"/>
  <c r="B72" i="75"/>
  <c r="B73" i="75"/>
  <c r="B74" i="75"/>
  <c r="B75" i="75"/>
  <c r="B76" i="75"/>
  <c r="B77" i="75"/>
  <c r="B78" i="75"/>
  <c r="B79" i="75"/>
  <c r="B80" i="75"/>
  <c r="B81" i="75"/>
  <c r="B82" i="75"/>
  <c r="B83" i="75"/>
  <c r="B84" i="75"/>
  <c r="B85" i="75"/>
  <c r="B86" i="75"/>
  <c r="B64" i="75"/>
  <c r="B60" i="75"/>
  <c r="B61" i="75"/>
  <c r="B59" i="75"/>
  <c r="B50" i="75"/>
  <c r="B51" i="75"/>
  <c r="B52" i="75"/>
  <c r="B53" i="75"/>
  <c r="B54" i="75"/>
  <c r="B55" i="75"/>
  <c r="B56" i="75"/>
  <c r="B49" i="75"/>
  <c r="B40" i="75"/>
  <c r="B41" i="75"/>
  <c r="B42" i="75"/>
  <c r="B43" i="75"/>
  <c r="B44" i="75"/>
  <c r="B45" i="75"/>
  <c r="B46" i="75"/>
  <c r="B39" i="75"/>
  <c r="B28" i="75"/>
  <c r="B29" i="75"/>
  <c r="B30" i="75"/>
  <c r="B31" i="75"/>
  <c r="B32" i="75"/>
  <c r="B33" i="75"/>
  <c r="B34" i="75"/>
  <c r="B35" i="75"/>
  <c r="B36" i="75"/>
  <c r="B27" i="75"/>
  <c r="B24" i="75"/>
  <c r="B15" i="75"/>
  <c r="B16" i="75"/>
  <c r="B17" i="75"/>
  <c r="B18" i="75"/>
  <c r="B19" i="75"/>
  <c r="B20" i="75"/>
  <c r="B21" i="75"/>
  <c r="B14" i="75"/>
  <c r="B10" i="75"/>
  <c r="B11" i="75"/>
  <c r="D112" i="75" l="1"/>
  <c r="D108" i="75"/>
  <c r="D107" i="75"/>
  <c r="D106" i="75"/>
  <c r="D105" i="75"/>
  <c r="D101" i="75"/>
  <c r="D100" i="75"/>
  <c r="D99" i="75"/>
  <c r="D98" i="75"/>
  <c r="D111" i="75"/>
  <c r="D104" i="75"/>
  <c r="D97" i="75"/>
  <c r="D94" i="75"/>
  <c r="D93" i="75"/>
  <c r="D92" i="75"/>
  <c r="D91" i="75"/>
  <c r="D90" i="75"/>
  <c r="D89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8" i="75"/>
  <c r="D67" i="75"/>
  <c r="D66" i="75"/>
  <c r="D65" i="75"/>
  <c r="D64" i="75"/>
  <c r="D61" i="75"/>
  <c r="D60" i="75"/>
  <c r="D59" i="75"/>
  <c r="D56" i="75"/>
  <c r="D55" i="75"/>
  <c r="D54" i="75"/>
  <c r="D53" i="75"/>
  <c r="D52" i="75"/>
  <c r="D51" i="75"/>
  <c r="D50" i="75"/>
  <c r="D49" i="75"/>
  <c r="D46" i="75"/>
  <c r="D45" i="75"/>
  <c r="D44" i="75"/>
  <c r="D43" i="75"/>
  <c r="D42" i="75"/>
  <c r="D41" i="75"/>
  <c r="D40" i="75"/>
  <c r="D39" i="75"/>
  <c r="D36" i="75"/>
  <c r="D35" i="75"/>
  <c r="D34" i="75"/>
  <c r="D33" i="75"/>
  <c r="D32" i="75"/>
  <c r="D31" i="75"/>
  <c r="D30" i="75"/>
  <c r="D29" i="75"/>
  <c r="D28" i="75"/>
  <c r="D27" i="75"/>
  <c r="D24" i="75"/>
  <c r="D21" i="75"/>
  <c r="D20" i="75"/>
  <c r="D19" i="75"/>
  <c r="D18" i="75"/>
  <c r="D17" i="75"/>
  <c r="D16" i="75"/>
  <c r="D15" i="75"/>
  <c r="D14" i="75"/>
  <c r="D11" i="75"/>
  <c r="D10" i="75"/>
  <c r="D9" i="75"/>
  <c r="D6" i="75"/>
  <c r="D5" i="75"/>
  <c r="D4" i="75"/>
  <c r="B5" i="75" l="1"/>
  <c r="B6" i="75"/>
  <c r="B4" i="75"/>
  <c r="B13" i="75"/>
  <c r="B110" i="75"/>
  <c r="B103" i="75"/>
  <c r="B96" i="75"/>
  <c r="B88" i="75"/>
  <c r="B63" i="75"/>
  <c r="B58" i="75"/>
  <c r="B48" i="75"/>
  <c r="B38" i="75"/>
  <c r="B26" i="75"/>
  <c r="B23" i="75"/>
  <c r="B8" i="75"/>
  <c r="D3" i="75"/>
  <c r="D13" i="75" s="1"/>
  <c r="D1" i="75"/>
  <c r="B1" i="75" s="1"/>
  <c r="C41" i="75" l="1"/>
  <c r="C112" i="75"/>
  <c r="C105" i="75"/>
  <c r="C98" i="75"/>
  <c r="C104" i="75"/>
  <c r="C94" i="75"/>
  <c r="C90" i="75"/>
  <c r="C83" i="75"/>
  <c r="C79" i="75"/>
  <c r="C75" i="75"/>
  <c r="C71" i="75"/>
  <c r="C67" i="75"/>
  <c r="C64" i="75"/>
  <c r="C61" i="75"/>
  <c r="C54" i="75"/>
  <c r="C50" i="75"/>
  <c r="C44" i="75"/>
  <c r="C40" i="75"/>
  <c r="C36" i="75"/>
  <c r="C32" i="75"/>
  <c r="C28" i="75"/>
  <c r="C24" i="75"/>
  <c r="C108" i="75"/>
  <c r="C101" i="75"/>
  <c r="C93" i="75"/>
  <c r="C86" i="75"/>
  <c r="C82" i="75"/>
  <c r="C78" i="75"/>
  <c r="C74" i="75"/>
  <c r="C70" i="75"/>
  <c r="C66" i="75"/>
  <c r="C60" i="75"/>
  <c r="C53" i="75"/>
  <c r="C43" i="75"/>
  <c r="C35" i="75"/>
  <c r="C31" i="75"/>
  <c r="C107" i="75"/>
  <c r="C100" i="75"/>
  <c r="C111" i="75"/>
  <c r="C97" i="75"/>
  <c r="C92" i="75"/>
  <c r="C89" i="75"/>
  <c r="C85" i="75"/>
  <c r="C81" i="75"/>
  <c r="C77" i="75"/>
  <c r="C73" i="75"/>
  <c r="C69" i="75"/>
  <c r="C65" i="75"/>
  <c r="C59" i="75"/>
  <c r="C56" i="75"/>
  <c r="C52" i="75"/>
  <c r="C49" i="75"/>
  <c r="C46" i="75"/>
  <c r="C42" i="75"/>
  <c r="C39" i="75"/>
  <c r="C34" i="75"/>
  <c r="C30" i="75"/>
  <c r="C27" i="75"/>
  <c r="C106" i="75"/>
  <c r="C99" i="75"/>
  <c r="C91" i="75"/>
  <c r="C84" i="75"/>
  <c r="C80" i="75"/>
  <c r="C76" i="75"/>
  <c r="C72" i="75"/>
  <c r="C68" i="75"/>
  <c r="C55" i="75"/>
  <c r="C51" i="75"/>
  <c r="C45" i="75"/>
  <c r="C33" i="75"/>
  <c r="C29" i="75"/>
  <c r="D63" i="75"/>
  <c r="C6" i="75"/>
  <c r="C14" i="75"/>
  <c r="C18" i="75"/>
  <c r="C9" i="75"/>
  <c r="C19" i="75"/>
  <c r="C21" i="75"/>
  <c r="C17" i="75"/>
  <c r="C20" i="75"/>
  <c r="C16" i="75"/>
  <c r="C11" i="75"/>
  <c r="C15" i="75"/>
  <c r="C10" i="75"/>
  <c r="C4" i="75"/>
  <c r="D26" i="75"/>
  <c r="C5" i="75"/>
  <c r="D110" i="75"/>
  <c r="D8" i="75"/>
  <c r="D96" i="75"/>
  <c r="D48" i="75"/>
  <c r="D23" i="75"/>
  <c r="D58" i="75"/>
  <c r="D103" i="75"/>
  <c r="D38" i="75"/>
  <c r="D88" i="75"/>
  <c r="C1" i="75"/>
  <c r="C3" i="75" s="1"/>
  <c r="C110" i="75" l="1"/>
  <c r="C63" i="75"/>
  <c r="C26" i="75"/>
  <c r="C13" i="75"/>
  <c r="C88" i="75"/>
  <c r="C38" i="75"/>
  <c r="C103" i="75"/>
  <c r="C58" i="75"/>
  <c r="C23" i="75"/>
  <c r="C96" i="75"/>
  <c r="C48" i="75"/>
  <c r="C8" i="75"/>
  <c r="B16" i="1" l="1"/>
  <c r="E16" i="1" l="1"/>
  <c r="C16" i="1"/>
</calcChain>
</file>

<file path=xl/sharedStrings.xml><?xml version="1.0" encoding="utf-8"?>
<sst xmlns="http://schemas.openxmlformats.org/spreadsheetml/2006/main" count="1420" uniqueCount="506">
  <si>
    <t>Suomen Kuntaliitto</t>
  </si>
  <si>
    <t>Marianne Pekola-Sjöblom</t>
  </si>
  <si>
    <t>Hirvensalmi</t>
  </si>
  <si>
    <t>Hollola</t>
  </si>
  <si>
    <t>Hämeenlinna</t>
  </si>
  <si>
    <t>Jyväskylä</t>
  </si>
  <si>
    <t>Kotka</t>
  </si>
  <si>
    <t>Kuusamo</t>
  </si>
  <si>
    <t>Lappeenranta</t>
  </si>
  <si>
    <t>Lempäälä</t>
  </si>
  <si>
    <t>Mustasaari</t>
  </si>
  <si>
    <t>Oulu</t>
  </si>
  <si>
    <t>Pudasjärvi</t>
  </si>
  <si>
    <t>Salo</t>
  </si>
  <si>
    <t>Sipoo</t>
  </si>
  <si>
    <t>Turku</t>
  </si>
  <si>
    <t>Vaasa</t>
  </si>
  <si>
    <t>Vimpeli</t>
  </si>
  <si>
    <t>Näpäytä solua ja valitse kunta alasvetovalikosta</t>
  </si>
  <si>
    <t>vastanneet</t>
  </si>
  <si>
    <t>Kunta</t>
  </si>
  <si>
    <t>Kunnan nimi</t>
  </si>
  <si>
    <t>Kemiönsaari</t>
  </si>
  <si>
    <t>Raasepori</t>
  </si>
  <si>
    <t>Vöyri</t>
  </si>
  <si>
    <t xml:space="preserve">Hirvensalmi       </t>
  </si>
  <si>
    <t xml:space="preserve">Hollola           </t>
  </si>
  <si>
    <t xml:space="preserve">Kotka             </t>
  </si>
  <si>
    <t xml:space="preserve">Kuusamo           </t>
  </si>
  <si>
    <t xml:space="preserve">Lempäälä          </t>
  </si>
  <si>
    <t xml:space="preserve">Mustasaari        </t>
  </si>
  <si>
    <t xml:space="preserve">Pudasjärvi        </t>
  </si>
  <si>
    <t xml:space="preserve">Sipoo             </t>
  </si>
  <si>
    <t xml:space="preserve">Turku             </t>
  </si>
  <si>
    <t xml:space="preserve">Vimpeli           </t>
  </si>
  <si>
    <t>Yhteensä</t>
  </si>
  <si>
    <t>otos</t>
  </si>
  <si>
    <t>prosenttina</t>
  </si>
  <si>
    <t>Otos, lkm</t>
  </si>
  <si>
    <t>Vastanneet, lkm</t>
  </si>
  <si>
    <t>%</t>
  </si>
  <si>
    <t>Vast. lkm</t>
  </si>
  <si>
    <t>kuntanro</t>
  </si>
  <si>
    <t>Askola</t>
  </si>
  <si>
    <t>Espoo</t>
  </si>
  <si>
    <t>Hattula</t>
  </si>
  <si>
    <t xml:space="preserve">Hämeenlinna </t>
  </si>
  <si>
    <t>Inari</t>
  </si>
  <si>
    <t xml:space="preserve">Jyväskylä </t>
  </si>
  <si>
    <t>Kankaanpää</t>
  </si>
  <si>
    <t>Keitele</t>
  </si>
  <si>
    <t>Keuruu</t>
  </si>
  <si>
    <t xml:space="preserve">Kokkola </t>
  </si>
  <si>
    <t xml:space="preserve">Kurikka </t>
  </si>
  <si>
    <t xml:space="preserve">Lappeenranta </t>
  </si>
  <si>
    <t>Liperi</t>
  </si>
  <si>
    <t xml:space="preserve">Mikkeli </t>
  </si>
  <si>
    <t>Nivala</t>
  </si>
  <si>
    <t xml:space="preserve">Oulu </t>
  </si>
  <si>
    <t>Paltamo</t>
  </si>
  <si>
    <t>Parkano</t>
  </si>
  <si>
    <t>Petäjävesi</t>
  </si>
  <si>
    <t xml:space="preserve">Raasepori </t>
  </si>
  <si>
    <t>Raisio</t>
  </si>
  <si>
    <t>Rautalampi</t>
  </si>
  <si>
    <t xml:space="preserve">Salo </t>
  </si>
  <si>
    <t>Säkylä</t>
  </si>
  <si>
    <t>Tampere</t>
  </si>
  <si>
    <t>Tornio</t>
  </si>
  <si>
    <t xml:space="preserve">Vaasa </t>
  </si>
  <si>
    <t>Vantaa</t>
  </si>
  <si>
    <t>Kokkola</t>
  </si>
  <si>
    <t>Kurikka</t>
  </si>
  <si>
    <t>Mikkeli</t>
  </si>
  <si>
    <t>Asukasluku 31.12.2014</t>
  </si>
  <si>
    <t>ARTTU2-Tutkimuskunnat</t>
  </si>
  <si>
    <t>Vastaus-prosentti,
valtuutetut</t>
  </si>
  <si>
    <t>Valtuusto 
(vastaukset/ paikat)</t>
  </si>
  <si>
    <t>47/75</t>
  </si>
  <si>
    <t>15/35</t>
  </si>
  <si>
    <t>23/43</t>
  </si>
  <si>
    <t>20/59</t>
  </si>
  <si>
    <t>33/67</t>
  </si>
  <si>
    <t>15/21</t>
  </si>
  <si>
    <t>14/27</t>
  </si>
  <si>
    <t>23/35</t>
  </si>
  <si>
    <t>30/51</t>
  </si>
  <si>
    <t>25/51</t>
  </si>
  <si>
    <t>27/43</t>
  </si>
  <si>
    <t>21/43</t>
  </si>
  <si>
    <t>21/59</t>
  </si>
  <si>
    <t>30/43</t>
  </si>
  <si>
    <t>20/35</t>
  </si>
  <si>
    <t>42/59</t>
  </si>
  <si>
    <t>29/43</t>
  </si>
  <si>
    <t>16/35</t>
  </si>
  <si>
    <t>37/67</t>
  </si>
  <si>
    <t>16/21</t>
  </si>
  <si>
    <t>13/27</t>
  </si>
  <si>
    <t>16/27</t>
  </si>
  <si>
    <t>33/43</t>
  </si>
  <si>
    <t>20/43</t>
  </si>
  <si>
    <t>32/51</t>
  </si>
  <si>
    <t>18/27</t>
  </si>
  <si>
    <t>35/67</t>
  </si>
  <si>
    <t>26/67</t>
  </si>
  <si>
    <t>31/67</t>
  </si>
  <si>
    <t>54/67</t>
  </si>
  <si>
    <t>15/27</t>
  </si>
  <si>
    <t>(9/27)</t>
  </si>
  <si>
    <t>(9/21)</t>
  </si>
  <si>
    <t>(12/27)</t>
  </si>
  <si>
    <t>(7/21)</t>
  </si>
  <si>
    <t>(6/21)</t>
  </si>
  <si>
    <t>KAIKKI</t>
  </si>
  <si>
    <t>alle 5000</t>
  </si>
  <si>
    <t>5000-10000</t>
  </si>
  <si>
    <t>10001-20000</t>
  </si>
  <si>
    <t>20001-50000</t>
  </si>
  <si>
    <t>50001-100000</t>
  </si>
  <si>
    <t>yli 100000</t>
  </si>
  <si>
    <t>Esbo</t>
  </si>
  <si>
    <t>Tavastehus</t>
  </si>
  <si>
    <t>Enare</t>
  </si>
  <si>
    <t>Kimitoön</t>
  </si>
  <si>
    <t>Karleby</t>
  </si>
  <si>
    <t>Villmanstrand</t>
  </si>
  <si>
    <t>S:t Michel</t>
  </si>
  <si>
    <t>Korsholm</t>
  </si>
  <si>
    <t>Uleåborg</t>
  </si>
  <si>
    <t>Raseborg</t>
  </si>
  <si>
    <t>Reso</t>
  </si>
  <si>
    <t>Sibbo</t>
  </si>
  <si>
    <t>Tammerfors</t>
  </si>
  <si>
    <t>Torneå</t>
  </si>
  <si>
    <t>Åbo</t>
  </si>
  <si>
    <t>Vasa</t>
  </si>
  <si>
    <t>Vanda</t>
  </si>
  <si>
    <t>Vörå</t>
  </si>
  <si>
    <t>Päättäjäkysely 2017</t>
  </si>
  <si>
    <t>Kysymys 10: Aiotko asettua ehdolle kevään 2017 kuntavaaleissa?</t>
  </si>
  <si>
    <t xml:space="preserve">Kysymys vain luottamushenkilöille </t>
  </si>
  <si>
    <t>FUNKTIO: PROSENTTIJAKAUMAT, 3 luokkaa</t>
  </si>
  <si>
    <t>Kaikki vastaajat (lh)</t>
  </si>
  <si>
    <t>Kuntakohtaiset tulokset kysymys 10</t>
  </si>
  <si>
    <t>N</t>
  </si>
  <si>
    <t>KYLLÄ %</t>
  </si>
  <si>
    <t>EN %</t>
  </si>
  <si>
    <t>EN OLE VIELÄ PÄÄTTÄNYT %</t>
  </si>
  <si>
    <t xml:space="preserve">1. Kyllä </t>
  </si>
  <si>
    <t>2. En</t>
  </si>
  <si>
    <t>3. En ole vielä päättänyt</t>
  </si>
  <si>
    <t xml:space="preserve">Kuntakoon mukaan </t>
  </si>
  <si>
    <t>Kyllä %</t>
  </si>
  <si>
    <t>En %</t>
  </si>
  <si>
    <t>En ole vielä päättänyt %</t>
  </si>
  <si>
    <t>Kysymys 11: Aiotko asettua ehdolle tammikuun 2018 maakuntavaaleissa, jos sote- ja maakuntauudistus toteutuu pääministeri Sipilän hallituksen suunnitelmien mukaan?</t>
  </si>
  <si>
    <t>FUNKTIO, PROSENTTIJAKAUMAT, 3 luokkaa</t>
  </si>
  <si>
    <t>EN OLE VIELÄ %</t>
  </si>
  <si>
    <t>Kysymys 12: Kun ajattelet tilannetta omassa kunnassasi tällä hetkellä, miten arvioit seuraavien asioiden vaikuttavan ihmisten halukkuuteen asettua ehdolle vuoden 2017 kuntavaaleissa?</t>
  </si>
  <si>
    <t>Kysymys vain luottamushenkilöille</t>
  </si>
  <si>
    <t>Kolme vastausvaihtoehtoa 1. Vähentää ihmisten halukkuutta asettua ehdolle, 2. Ei vaikuta ihmisten halukkuuteen asettua ehdolle 3. Lisää ihmisten halukkuutta asettua ehdolle</t>
  </si>
  <si>
    <t>FUNKTIO: % vastaajista, jotka ovat valinneet vaihtoehdon 1 "Vähentää ihmisten halukkuutta asettua ehdolle"</t>
  </si>
  <si>
    <t>Kaikki vastaajat, % vähentää ihmisten halukkuutta asettua ehdolle</t>
  </si>
  <si>
    <r>
      <t>Kuntakohtaiset tulokset: Osuus vastaajista, joka kokee, että asia</t>
    </r>
    <r>
      <rPr>
        <b/>
        <u/>
        <sz val="11"/>
        <color theme="1"/>
        <rFont val="Verdana"/>
        <family val="2"/>
        <scheme val="minor"/>
      </rPr>
      <t xml:space="preserve"> vähentää</t>
    </r>
    <r>
      <rPr>
        <b/>
        <sz val="11"/>
        <color theme="1"/>
        <rFont val="Verdana"/>
        <family val="2"/>
        <scheme val="minor"/>
      </rPr>
      <t xml:space="preserve"> ihmisten halukkuutta asettua ehdolle</t>
    </r>
  </si>
  <si>
    <t xml:space="preserve">% vähentää </t>
  </si>
  <si>
    <t>v1201</t>
  </si>
  <si>
    <t>v1202</t>
  </si>
  <si>
    <t>v1203</t>
  </si>
  <si>
    <t>v1204</t>
  </si>
  <si>
    <t>v1205</t>
  </si>
  <si>
    <t>v1206</t>
  </si>
  <si>
    <t>v1207</t>
  </si>
  <si>
    <t>v1208</t>
  </si>
  <si>
    <t>Kunnan taloudellinen tilanne</t>
  </si>
  <si>
    <t>Sote- ja maakuntauudistus</t>
  </si>
  <si>
    <t>Kunnnan päätöksentekokulttuuri</t>
  </si>
  <si>
    <t>Ihmisten yksityiselämään liittyvät syyt</t>
  </si>
  <si>
    <t>Ajankohtaiset asiakysymykset (esim kouluverkkoasiat, kaavoitus)</t>
  </si>
  <si>
    <t>Kuntalaisten palaute</t>
  </si>
  <si>
    <t>Median raportointi kunnan asioista</t>
  </si>
  <si>
    <t>Kunnan tulevaisuudennäkymät yleensä</t>
  </si>
  <si>
    <t>Kunnan asukasluvun mukaan, % vähentää ihmisten halukkuutta asettua ehdolle</t>
  </si>
  <si>
    <t>asukasluku</t>
  </si>
  <si>
    <t>Kysymys 13: Kuvittele tilanne, jossa kunnat kilpailevat keskenään siitä, missä kunnassa tai kaupungissa on "hyvä asua ja elää". Miten arvioisit nykyisen kotikuntasi sijoittuvan kilpailussa?</t>
  </si>
  <si>
    <t>Kysymys kaikille vastaajille (luottamushenkilöt &amp; viranhaltijat)</t>
  </si>
  <si>
    <t>Vastausvaihtoehdot: Asteikko 1 erittäin huonosti - 5 erittäin hyvin</t>
  </si>
  <si>
    <t>FUNKTIO: % 4 &amp; 5 (kunta sijoittuu hyvin tai erittäin hyvin)</t>
  </si>
  <si>
    <t>Kuntakoon mukaan, % kunta sijoittuu hyvin tai erittäin hyvin</t>
  </si>
  <si>
    <t>Kuntakohtaiset tulokset, % kunta sijoittuu hyvin tai erittäin hyvin</t>
  </si>
  <si>
    <t>% 4-5</t>
  </si>
  <si>
    <t>Kysymys 14: Mitkä ovat mielestäsi KOLME (3) tärkeintä asiaa hyvässä kotikunnassa/kaupungissa? Valitse korkeintaan kolme asiaa.</t>
  </si>
  <si>
    <t xml:space="preserve">FUNKTIO: % vastaajista, jotka ovat maininneet ko asian tärkeänä </t>
  </si>
  <si>
    <t>Kuntakohtaiset tiedot: %-osuus vastaajista, jotka ovat maininneet asian 3 tärkeimpään asiaan kuuluvana</t>
  </si>
  <si>
    <t>% kuuluu 3 tärkeimpään asiaan</t>
  </si>
  <si>
    <t>v1401</t>
  </si>
  <si>
    <t>v1402</t>
  </si>
  <si>
    <t>v1403</t>
  </si>
  <si>
    <t>v1404</t>
  </si>
  <si>
    <t>v1405</t>
  </si>
  <si>
    <t>v1406</t>
  </si>
  <si>
    <t>v1407</t>
  </si>
  <si>
    <t>v1408</t>
  </si>
  <si>
    <t>v1409</t>
  </si>
  <si>
    <t>v1401 Hyvä asunto</t>
  </si>
  <si>
    <t>v1402 Hyvä asuinympäristö</t>
  </si>
  <si>
    <t>v1403 Luonnonläheisyys</t>
  </si>
  <si>
    <t>v1404 Hyvät liikenneyhteydet</t>
  </si>
  <si>
    <t>v1405 Hyvät palvelut</t>
  </si>
  <si>
    <t>v1406 Perhe ja muut läheiset</t>
  </si>
  <si>
    <t>v1407 Yhteisöllisyys ja naapurisuhteet</t>
  </si>
  <si>
    <t>v1408 Turvallisuus</t>
  </si>
  <si>
    <t>v1409 Hyvät toimeentulomahdollisuudet</t>
  </si>
  <si>
    <t>v1410 Jokin muu asia</t>
  </si>
  <si>
    <t>Kunnan asukasluvun mukaan</t>
  </si>
  <si>
    <t>v1410</t>
  </si>
  <si>
    <t>Kuntakohtaiset tulokset kysymys 11</t>
  </si>
  <si>
    <t>Kysymys 18: Kun ajattelet mitä kunnalliset päättäjät voivat tehdä kunnan elinvoimaisuuden ja hyvinvoinnin parantamiseksi, miten tärkeinä näet seuraavat toimenpiteet?</t>
  </si>
  <si>
    <t>Kysymys kaikille vastaajille (luottamushenkilöt ja viranhaltijat</t>
  </si>
  <si>
    <r>
      <t xml:space="preserve">Valitse korkeintaan seitsemän (7) toimenpidettä, jotka näet </t>
    </r>
    <r>
      <rPr>
        <b/>
        <sz val="11"/>
        <color theme="1"/>
        <rFont val="Verdana"/>
        <family val="2"/>
        <scheme val="minor"/>
      </rPr>
      <t>erittäin tärkeinä</t>
    </r>
    <r>
      <rPr>
        <sz val="11"/>
        <color theme="1"/>
        <rFont val="Verdana"/>
        <family val="2"/>
        <scheme val="minor"/>
      </rPr>
      <t xml:space="preserve"> oman kuntasi kehittämisen näkökulmasta</t>
    </r>
  </si>
  <si>
    <r>
      <t xml:space="preserve">Valitse korkeintaan seitsemän (7) toimenpidettä, jotka koet </t>
    </r>
    <r>
      <rPr>
        <b/>
        <sz val="11"/>
        <color theme="1"/>
        <rFont val="Verdana"/>
        <family val="2"/>
        <scheme val="minor"/>
      </rPr>
      <t xml:space="preserve">vähemmän tärkeinä </t>
    </r>
    <r>
      <rPr>
        <sz val="11"/>
        <color theme="1"/>
        <rFont val="Verdana"/>
        <family val="2"/>
        <scheme val="minor"/>
      </rPr>
      <t>oman kuntasi kehittämisen näkökulmasta</t>
    </r>
  </si>
  <si>
    <r>
      <t>FUNKTIO: %</t>
    </r>
    <r>
      <rPr>
        <b/>
        <sz val="11"/>
        <color theme="1"/>
        <rFont val="Verdana"/>
        <family val="2"/>
        <scheme val="minor"/>
      </rPr>
      <t xml:space="preserve"> ERITTÄIN TÄRKEÄ (=henkilö on valinnut toimenpiteen 7 tärkeimpään kuuluvana)</t>
    </r>
  </si>
  <si>
    <t>% kuuluu 7 tärkeimpiin</t>
  </si>
  <si>
    <t>v1801 Kaavoitus ja maankäyttö</t>
  </si>
  <si>
    <t>v1802 Asuntopolitiikka</t>
  </si>
  <si>
    <t>v1803 Yritysten toimitilatarjonta</t>
  </si>
  <si>
    <t xml:space="preserve">v1804 Kunnan hankintojen toteuttaminen niin, että ne lisäävät paikallista elinvoimaa </t>
  </si>
  <si>
    <t>v1805 Kuntalaisten valinnanvapauden toteuttaminen</t>
  </si>
  <si>
    <t>v1806 Digitalisaation hyödyntäminen</t>
  </si>
  <si>
    <t>v1807 Aktiivinen toiminta tapahtumien saamiseksi paikkakunnalle</t>
  </si>
  <si>
    <t>v1808 Kunnan markkinointi</t>
  </si>
  <si>
    <t>v1809 Elinkeinotoimintaa edistävät kehittämishankkeet</t>
  </si>
  <si>
    <t>v1810 Yritystoiminnan palvelut</t>
  </si>
  <si>
    <t>v1811 Julkiset liikenneyhteydet</t>
  </si>
  <si>
    <t>v1812 Syrjäytymisen ehkäisy</t>
  </si>
  <si>
    <t>v1813 Yhteisöllisyyden edistäminen</t>
  </si>
  <si>
    <t>v1814 Koulutusmahdollisuuksien kehittäminen</t>
  </si>
  <si>
    <t>v1815 Kunnallisten palvelujen kehittäminen</t>
  </si>
  <si>
    <t>v1816 Verojen ja maksujen alentaminen</t>
  </si>
  <si>
    <t>v1817 Paikallinen kokeilutoiminta</t>
  </si>
  <si>
    <t>v1818 Yhteistyö paikallisten yritysten kanssa</t>
  </si>
  <si>
    <t>v1819 Yhteistyö kolmannen sektorin toimijoiden kanssa</t>
  </si>
  <si>
    <t>v1820 Yhteistyö naapurikuntien kanssa</t>
  </si>
  <si>
    <t>v1821 Turvallisuuden lisääminen</t>
  </si>
  <si>
    <t>v1822 Kunnan hallinnon toimintatapojen muuttaminen</t>
  </si>
  <si>
    <t>v1823 Kunnan hallinnon ja päätöksentekorakenteiden muuttaminen</t>
  </si>
  <si>
    <t>Kysymys 15: Kun ajattelet tulevaa valtuustokautta (2015-2017), miten paljon arvioit seuraavien asioiden vaikuttavan kuntasi toimintaedellytyksiin?</t>
  </si>
  <si>
    <t>Vastausvaihtoehdot: Asteikko 1 erittäin vähän-5 erittäin paljon</t>
  </si>
  <si>
    <t>FUNKTIO: % 4 &amp; 5 (paljon &amp; erittäin paljon )</t>
  </si>
  <si>
    <t>% 4 &amp; 5</t>
  </si>
  <si>
    <t>v1501</t>
  </si>
  <si>
    <t>v1502</t>
  </si>
  <si>
    <t>v1503</t>
  </si>
  <si>
    <t>v1504</t>
  </si>
  <si>
    <t>v1505</t>
  </si>
  <si>
    <t>v1506</t>
  </si>
  <si>
    <t>v1507</t>
  </si>
  <si>
    <t>v1508</t>
  </si>
  <si>
    <t>v1501 Suomen talouden kehitys</t>
  </si>
  <si>
    <t>v1502 Paikallisen/alueellisen elinkeinoelämän kehitys</t>
  </si>
  <si>
    <t>v1503 Väestömuutokset</t>
  </si>
  <si>
    <t>v1504 Maahanmuutto</t>
  </si>
  <si>
    <t>v1505 Digitalisaatio</t>
  </si>
  <si>
    <t>v1506 Ihmisten muuttuvat arvot ja toimintatavat</t>
  </si>
  <si>
    <t>1507 Sote- ja maakuntauudistus</t>
  </si>
  <si>
    <t>v1508 Lainsäädäntö ja valtion ohjaus</t>
  </si>
  <si>
    <t>Kysymys 16: Kun ajattelet suunnitteilla olevaa sote- ja maakuntauudistusta oman kuntasi näkökulmasta, koetko, että uudistuksella on enemmän myönteisiä vai kielteisiä vaikutuksia seuraaviin asioihin?</t>
  </si>
  <si>
    <r>
      <t xml:space="preserve">FUNKTIO: % 1, enemmän </t>
    </r>
    <r>
      <rPr>
        <b/>
        <sz val="11"/>
        <color theme="1"/>
        <rFont val="Verdana"/>
        <family val="2"/>
        <scheme val="minor"/>
      </rPr>
      <t>kielteisiä</t>
    </r>
    <r>
      <rPr>
        <sz val="11"/>
        <color theme="1"/>
        <rFont val="Verdana"/>
        <family val="2"/>
        <scheme val="minor"/>
      </rPr>
      <t xml:space="preserve"> kuin myönteisiä vaikutuksia</t>
    </r>
  </si>
  <si>
    <t>% 1, enemmän kielteisiä vaik.</t>
  </si>
  <si>
    <t>v1601</t>
  </si>
  <si>
    <t>v1602</t>
  </si>
  <si>
    <t>v1603</t>
  </si>
  <si>
    <t>v1604</t>
  </si>
  <si>
    <t>v1605</t>
  </si>
  <si>
    <t>v1606</t>
  </si>
  <si>
    <t>v1607</t>
  </si>
  <si>
    <t>v1608</t>
  </si>
  <si>
    <t>v1601 Kunnan mahdollisuudet säilyä itsenäisenä kuntana tulevaisuudessa</t>
  </si>
  <si>
    <t>v1602 Kuntatalous</t>
  </si>
  <si>
    <t>v1603 Kunnallinen demokratia ja päätöksenteko</t>
  </si>
  <si>
    <t>v1604 Sosiaali- ja terveyspalvelujen tarjonta kunnassa</t>
  </si>
  <si>
    <t>v1605 Sivistys- ja kulttuuripalvelujen tarjonta kunnassa</t>
  </si>
  <si>
    <t>v1606 Kunnan houkuttelevuus työnantajana</t>
  </si>
  <si>
    <t>v1607 Kunnan vaikuttamismahdollisuudet maakuntatasolla</t>
  </si>
  <si>
    <t>v1608 Kunnan vaikuttamismahdollisuudet suhteessa valtioon</t>
  </si>
  <si>
    <r>
      <t>Kysy</t>
    </r>
    <r>
      <rPr>
        <b/>
        <sz val="11"/>
        <color theme="1"/>
        <rFont val="Verdana"/>
        <family val="2"/>
        <scheme val="minor"/>
      </rPr>
      <t>mys 17: Kuinka hyvin koet tietäväsi, miten sote- ja maakuntauudistuksen valmistelu etenee...kunnassasi, maakuntatasolla, valtakunnallisella tasolla</t>
    </r>
  </si>
  <si>
    <t>Kysymys kaikille vastaajille</t>
  </si>
  <si>
    <t>FUNKTIO: % 3-4 melko hyvin tai erittäin hyvin</t>
  </si>
  <si>
    <t>% 3 &amp; 4</t>
  </si>
  <si>
    <t>v1701</t>
  </si>
  <si>
    <t>v1702</t>
  </si>
  <si>
    <t>v1703</t>
  </si>
  <si>
    <t>v1701 Kunnassasi?</t>
  </si>
  <si>
    <t>v1702 Maakuntatasolla?</t>
  </si>
  <si>
    <t>v1703 Valtakunnallisella tasolla?</t>
  </si>
  <si>
    <t>Kysymys 19: Miten suurta vaikutusvaltaa seuraavilla ryhmillä/toimijoilla on mielestäsi kuntasi poliittisessa päätöksenteossa?</t>
  </si>
  <si>
    <t>Kysymys kaikille vastaajille (luottamushenkilöt ja viranhaltijat)</t>
  </si>
  <si>
    <t>Vastausvaihtoehdot: Asteikki 1 Ei lainkaan vaikutusvaltaa - 5 Erittäin suurta vaikutusvaltaa</t>
  </si>
  <si>
    <t>FUNKTIO: % 4 &amp; 5 (suurta tai erittäin suurta vaikutusvaltaa )</t>
  </si>
  <si>
    <t>v1901</t>
  </si>
  <si>
    <t>v1902</t>
  </si>
  <si>
    <t>v1903</t>
  </si>
  <si>
    <t>v1904</t>
  </si>
  <si>
    <t>v1905</t>
  </si>
  <si>
    <t>v1906</t>
  </si>
  <si>
    <t>v1901 Valtuusto</t>
  </si>
  <si>
    <t>v1902 Hallitus</t>
  </si>
  <si>
    <t>v1903 Lautakunnat</t>
  </si>
  <si>
    <t>v1904 Kunnan-/kaupunginjohtaja</t>
  </si>
  <si>
    <t>v1905 Muut johtavat viranhaltijat</t>
  </si>
  <si>
    <t>v1906 Sinä itse</t>
  </si>
  <si>
    <t>FUNKTIO: % 4-5 (Yhteistyöhakuinen/hyvin yhteistyöhakuinen)</t>
  </si>
  <si>
    <t>% 4-5 yhteistyöhakuinen</t>
  </si>
  <si>
    <t>v2001</t>
  </si>
  <si>
    <t>v2002</t>
  </si>
  <si>
    <t>v2003</t>
  </si>
  <si>
    <t>v2004</t>
  </si>
  <si>
    <t>v2005</t>
  </si>
  <si>
    <t>v2001 Kuntalaisten ja luottamushenkilöiden välillä</t>
  </si>
  <si>
    <t>v2002 Luottamushenkilöiden ja viranhaltijoiden välillä</t>
  </si>
  <si>
    <t>v2003 Puolueryhmien välillä</t>
  </si>
  <si>
    <t>v2004 Puolueryhmien sisällä</t>
  </si>
  <si>
    <t>v2005 Kunnan viranhaltijajohdon ja henkilöstön välillä</t>
  </si>
  <si>
    <t>Kysymys 21: Mitä mieltä olet seuraavista, päätösten valmisteluun liittyvistä seikoista? Miten olet kokenut ne kunnassasi?</t>
  </si>
  <si>
    <t>Vastausvaihtoehdot: Asteikko 1 Täysin eri mieltä-5 Täysin samaa mieltä</t>
  </si>
  <si>
    <t>FUNKTIO: % 4 &amp; 5 (samaa tai täysin samaa mieltä)</t>
  </si>
  <si>
    <t>v2101</t>
  </si>
  <si>
    <t>v2102</t>
  </si>
  <si>
    <t>v2103</t>
  </si>
  <si>
    <t>v2104</t>
  </si>
  <si>
    <t>v2105</t>
  </si>
  <si>
    <t>v2101 Asioiden valmistelu on avointa ja läpinäkyvää</t>
  </si>
  <si>
    <t>v2102 Asiat tulevat käsitellyiksi oikea-aikaisesti</t>
  </si>
  <si>
    <t>v2103 Esittelytekstissä on riittävät perustelut päätöksenteolle</t>
  </si>
  <si>
    <t>v2104 Päätösehdotukset ovat selkeitä</t>
  </si>
  <si>
    <t>v2105 Viranhaltijoilta saa tarvittaessa lisätietoja päätöksenteon tueksi</t>
  </si>
  <si>
    <t>Kysymys 22: Ota kantaa seuraaviin kysymyksiin valtuustokauden 2013-2017 strategiasta</t>
  </si>
  <si>
    <t>Vastausvaihtoehdot Asteikko 1 Erittäin huonosti - 5 Erittäin hyvin</t>
  </si>
  <si>
    <t>FUNKTIO: % 4-5 (hyvin/erittäin hyvin)</t>
  </si>
  <si>
    <t>v2201 Miten hyvin valtuuston päättämä strategia on ohjannut kuntasi toimintaa ja kehittämistä kuluneella valtuustokaudella?</t>
  </si>
  <si>
    <t>v2202 Miten hyvin valtuuston päättämät strategian tavoitteet ovat toteutuneet kunnassi kuluneella valtuustokaudella?</t>
  </si>
  <si>
    <t>v2201</t>
  </si>
  <si>
    <t>v2202</t>
  </si>
  <si>
    <t>Kaikki kunnat (N=40)</t>
  </si>
  <si>
    <t>Sarake1</t>
  </si>
  <si>
    <t>Kaavoitus ja maankäyttö</t>
  </si>
  <si>
    <t>Asuntopolitiikka</t>
  </si>
  <si>
    <t>Yritysten toimitilatarjonta</t>
  </si>
  <si>
    <t>Digitalisaation hyödyntäminen</t>
  </si>
  <si>
    <t>Kunnan markkinointi</t>
  </si>
  <si>
    <t>Elinkeinotoimintaa edistävät kehittämishankkeet</t>
  </si>
  <si>
    <t>Yritystoiminnan palvelut</t>
  </si>
  <si>
    <t>Julkiset liikenneyhteydet</t>
  </si>
  <si>
    <t>Syrjäytymisen ehkäisy</t>
  </si>
  <si>
    <t>Yhteisöllisyyden edistäminen</t>
  </si>
  <si>
    <t>Koulutusmahdollisuuksien kehittäminen</t>
  </si>
  <si>
    <t>Kunnallisten palvelujen kehittäminen</t>
  </si>
  <si>
    <t>Verojen ja maksujen alentaminen</t>
  </si>
  <si>
    <t>Paikallinen kokeilutoiminta</t>
  </si>
  <si>
    <t>Yhteistyö paikallisten yritysten kanssa</t>
  </si>
  <si>
    <t>Yhteistyö kolmannen sektorin toimijoiden kanssa</t>
  </si>
  <si>
    <t>Yhteistyö naapurikuntien kanssa</t>
  </si>
  <si>
    <t>Turvallisuuden lisääminen</t>
  </si>
  <si>
    <t xml:space="preserve">Kuvittele tilanne, jossa kunnat kilpailevat keskenään siitä, missä kunnassa tai kaupungissa on ”hyvä asua ja elää”. Miten arvioisit nykyisen kotikuntasi sijoittuvan kilpailussa? </t>
  </si>
  <si>
    <t>Hyvä asunto</t>
  </si>
  <si>
    <t>Hyvä asuinympäristö</t>
  </si>
  <si>
    <t>Hyvät liikenneyhteydet</t>
  </si>
  <si>
    <t>Hyvät palvelut</t>
  </si>
  <si>
    <t>Perhe ja muut läheiset</t>
  </si>
  <si>
    <t>Yhteisöllisyys ja naapurisuhteet</t>
  </si>
  <si>
    <t>Turvallisuus</t>
  </si>
  <si>
    <t>Hyvät toimeentulomahdollisuudet</t>
  </si>
  <si>
    <t>Jokin muu asia, mikä?</t>
  </si>
  <si>
    <t>15. Kun ajattelet tulevaa valtuustokautta (2017–2021), miten paljon arvioit seuraavien asioiden vaikuttavan kuntasi toimintaedellytyksiin?</t>
  </si>
  <si>
    <t>Suomen talouden kehitys</t>
  </si>
  <si>
    <t>Väestömuutokset</t>
  </si>
  <si>
    <t>Maahanmuutto</t>
  </si>
  <si>
    <t>Digitalisaatio</t>
  </si>
  <si>
    <t>Lainsäädäntö ja valtion ohjaus</t>
  </si>
  <si>
    <t>16. Kun ajattelet suunnitteilla olevaa sote- ja maakuntauudistusta oman kuntasi näkökulmasta, koetko, että uudistuksella on enemmän myönteisiä vai kielteisiä vaikutuksia seuraaviin asioihin?</t>
  </si>
  <si>
    <t>Kunnan mahdollisuudet säilyä itsenäisenä kuntana tulevaisuudessa</t>
  </si>
  <si>
    <t>Kuntatalous</t>
  </si>
  <si>
    <t>Kunnallinen demokratia ja päätöksenteko</t>
  </si>
  <si>
    <t>Sosiaali- ja terveyspalvelujen tarjonta kunnassa</t>
  </si>
  <si>
    <t>Sivistys- ja kulttuuripalvelujen tarjonta kunnassa</t>
  </si>
  <si>
    <t>Kunnan houkuttelevuus työnantajana</t>
  </si>
  <si>
    <t>Kunnan vaikuttamismahdollisuudet maakuntatasolla</t>
  </si>
  <si>
    <t>Kunnan vaikuttamismahdollisuudet suhteessa valtioon</t>
  </si>
  <si>
    <t>…kunnassasi?</t>
  </si>
  <si>
    <t>…maakuntatasolla?</t>
  </si>
  <si>
    <t>...valtakunnallisella tasolla?</t>
  </si>
  <si>
    <t>Kunnan hallinnon toimintatapojen muuttaminen (esim. byrokratian keventäminen, käsittelyaikojen lyhentäminen)</t>
  </si>
  <si>
    <t>Kunnan hallinnon ja päätöksentekorakenteiden uudistaminen</t>
  </si>
  <si>
    <t>Kunnan hankintojen toteuttaminen niin, että lisäävät paikallista elinvoimaa ja hyvinvointia</t>
  </si>
  <si>
    <t>Kuntalaisten valinnanvapauden lisääminen</t>
  </si>
  <si>
    <t>Aktiivinen toiminta tapahtuminen saamiseksi paikkakunnalle</t>
  </si>
  <si>
    <t xml:space="preserve">19. Miten suurta vaikutusvaltaa seuraavilla ryhmillä/toimijoilla on mielestäsi kuntasi poliittisessa päätöksenteossa? </t>
  </si>
  <si>
    <t>Valtuusto</t>
  </si>
  <si>
    <t>Hallitus</t>
  </si>
  <si>
    <t>Lautakunnat</t>
  </si>
  <si>
    <t>Kunnan-/kaupunginjohtaja</t>
  </si>
  <si>
    <t>Muut johtavat viranhaltijat</t>
  </si>
  <si>
    <t>Sinä itse</t>
  </si>
  <si>
    <t>Kuntalaisten ja luottamushenkilöiden välillä</t>
  </si>
  <si>
    <t>Luottamushenkilöiden ja viranhaltijoiden välillä</t>
  </si>
  <si>
    <t>Puolueryhmien välillä</t>
  </si>
  <si>
    <t>Puolueryhmien sisällä</t>
  </si>
  <si>
    <t>Kunnan viranhaltijajohdon ja henkilöstön välillä</t>
  </si>
  <si>
    <t>Asiat tulevat käsitellyiksi oikea-aikaisesti</t>
  </si>
  <si>
    <t>Asioiden valmistelu on avointa ja läpinäkyvää</t>
  </si>
  <si>
    <t>Esittelytekstissä on riittävät perustelut päätöksenteolle</t>
  </si>
  <si>
    <t>Päätösehdotukset ovat selkeitä</t>
  </si>
  <si>
    <t>Viranhaltijoilla on tarvittaessa lisätietoja päätöksenteon tueksi</t>
  </si>
  <si>
    <t xml:space="preserve">21. Mitä mieltä olet seuraavista, päätösten valmisteluun liittyvistä seikoista? Miten olet kokenut ne kunnassasi? </t>
  </si>
  <si>
    <t>20. Miten arvioit yleistä ilmapiiriä eri osapuolten välillä kuntasi asioiden hoidossa?</t>
  </si>
  <si>
    <t>Miten hyvin valtuuston päättämä strategia on ohjannut kunnan/kaupungin toimintaa ja kehittämistä kuluneella valtuustokaudella?</t>
  </si>
  <si>
    <t>Miten hyvin valtuuston päättämä valtuustokauden strategian tavoitteet ovat toteutuneet kuluneella valtuustokaudella?</t>
  </si>
  <si>
    <t>Sarake2</t>
  </si>
  <si>
    <t>11. Aiotko asettua ehdolle tammikuun 2018 maakuntavaaleissa, jos sote- ja maakuntauudistus toteutuu pääministeri Sipilän hallituksen suunnitelmien mukaan?</t>
  </si>
  <si>
    <t>12. Kun ajattelet tilannetta omassa kunnassasi tällä hetkellä, miten arvioit seuraavien asioiden vaikuttavan ihmisten halukkuuteen asettua ehdolle vuoden 2017 kuntavaaleissa?</t>
  </si>
  <si>
    <t>Kunnan päätöksentekokulttuuri</t>
  </si>
  <si>
    <t>Kyllä</t>
  </si>
  <si>
    <t>En</t>
  </si>
  <si>
    <t>En ole vielä päättänyt</t>
  </si>
  <si>
    <t>v14012</t>
  </si>
  <si>
    <t>v1801</t>
  </si>
  <si>
    <t>v1802</t>
  </si>
  <si>
    <t>v1803</t>
  </si>
  <si>
    <t>v1804</t>
  </si>
  <si>
    <t>v1805</t>
  </si>
  <si>
    <t>v1806</t>
  </si>
  <si>
    <t>v1807</t>
  </si>
  <si>
    <t>v1808</t>
  </si>
  <si>
    <t>v1809</t>
  </si>
  <si>
    <t>v1810</t>
  </si>
  <si>
    <t>v1811</t>
  </si>
  <si>
    <t>v1812</t>
  </si>
  <si>
    <t>v1813</t>
  </si>
  <si>
    <t>v1814</t>
  </si>
  <si>
    <t>v1815</t>
  </si>
  <si>
    <t>v1816</t>
  </si>
  <si>
    <t>v1817</t>
  </si>
  <si>
    <t>v1818</t>
  </si>
  <si>
    <t>v1819</t>
  </si>
  <si>
    <t>v1820</t>
  </si>
  <si>
    <t>v1821</t>
  </si>
  <si>
    <t>v1822</t>
  </si>
  <si>
    <t>v1823</t>
  </si>
  <si>
    <t>v18122</t>
  </si>
  <si>
    <t>Ajankohtaiset asiakysymykset (esim. kouluverkkoasiat, kaavoitus)</t>
  </si>
  <si>
    <t>13. Kuvittele tilanne, jossa kunnat kilpailevat keskenään siitä, missä kunnassa tai kaupungissa on ”hyvä asua ja elää”. Miten arvioisit nykyisen kotikuntasi sijoittuvan kilpailussa?</t>
  </si>
  <si>
    <t>Valitse korkeintaan seitsemän (7) toimenpidettä jotka näet erittäin tärkeinä oman kuntasi kehittämisen näkökulmasta, ja korkeintaan seitsemän (7) toimenpidettä, joita koet vähemmän tärkeinä oman kuntasi kehittämisen näkökulmasta.</t>
  </si>
  <si>
    <t>(</t>
  </si>
  <si>
    <t>)</t>
  </si>
  <si>
    <t>=</t>
  </si>
  <si>
    <t/>
  </si>
  <si>
    <t>10. Aiotko asettua ehdolle kevään 2017 kuntavaaleissa?</t>
  </si>
  <si>
    <t>Kaikki ARTTU2-kunnat</t>
  </si>
  <si>
    <t>Luonnonläheisyys</t>
  </si>
  <si>
    <t>22. Ota kantaa seuraaviin kysymyksiin valtuustokauden strategiasta.</t>
  </si>
  <si>
    <t>Ihmisten muuttuvat arvot ja toimintatavat</t>
  </si>
  <si>
    <t>Paikallisen/alueellisen elinkeinoelämän kehitys</t>
  </si>
  <si>
    <t>14. Mitkä ovat mielestäsi kolme tärkeintä asiaa hyvässä kotikunnassa/-kaupungissa?</t>
  </si>
  <si>
    <r>
      <t>18. Kun ajattelet, mitä kunnalliset päättäjät voivat tehdä kunnan elinvoimaisuuden ja hyvinvoinnin parantamiseksi, miten tärkeinä näet seuraavat toimenpiteet?</t>
    </r>
    <r>
      <rPr>
        <sz val="9"/>
        <color theme="1"/>
        <rFont val="Calibri"/>
        <family val="2"/>
      </rPr>
      <t xml:space="preserve"> </t>
    </r>
  </si>
  <si>
    <t>17. Kuinka hyvin koet tietäväsi, miten sote- ja maakuntauudistuksen valmistelu etenee…</t>
  </si>
  <si>
    <t>Askola (5000 - 10 000 as.)</t>
  </si>
  <si>
    <t>Hattula (5000 - 10 000 as.)</t>
  </si>
  <si>
    <t>Inari (5000 - 10 000 as.)</t>
  </si>
  <si>
    <t>Kemiönsaari  (5000 - 10 000 as.)</t>
  </si>
  <si>
    <t>Parkano (5000 - 10 000 as.)</t>
  </si>
  <si>
    <t>Pudasjärvi (5000 - 10 000 as.)</t>
  </si>
  <si>
    <t>Säkylä (5000 - 10 000 as.)</t>
  </si>
  <si>
    <t>Vöyri (5000 - 10 000 as.)</t>
  </si>
  <si>
    <t>Hirvensalmi (alle 5000 as.)</t>
  </si>
  <si>
    <t>Keitele (alle 5000 as.)</t>
  </si>
  <si>
    <t>Paltamo (alle 5000 as.)</t>
  </si>
  <si>
    <t>Petäjävesi (alle 5000 as.)</t>
  </si>
  <si>
    <t>Rautalampi (alle 5000 as.)</t>
  </si>
  <si>
    <t>Vimpeli (alle 5000 as.)</t>
  </si>
  <si>
    <t>Espoo (yli 100 000 as.)</t>
  </si>
  <si>
    <t>Vantaa (yli 100 000 as.)</t>
  </si>
  <si>
    <t>Jyväskylä (yli 100 000 as.)</t>
  </si>
  <si>
    <t>Oulu (yli 100 000 as.)</t>
  </si>
  <si>
    <t xml:space="preserve">Turku (yli 100 000 as.)            </t>
  </si>
  <si>
    <t>Tampere (yli 100 000 as.)</t>
  </si>
  <si>
    <t xml:space="preserve">Hollola (20 001 - 50 000 as.)  </t>
  </si>
  <si>
    <t xml:space="preserve">Kokkola (20 001 - 50 000 as.)  </t>
  </si>
  <si>
    <t xml:space="preserve">Kurikka (20 001 - 50 000 as.)  </t>
  </si>
  <si>
    <t xml:space="preserve">Lempäälä (20 001 - 50 000 as.)           </t>
  </si>
  <si>
    <t xml:space="preserve">Raasepori (20 001 - 50 000 as.)  </t>
  </si>
  <si>
    <t xml:space="preserve">Raisio (20 001 - 50 000 as.)  </t>
  </si>
  <si>
    <t xml:space="preserve">Tornio (20 001 - 50 000 as.)  </t>
  </si>
  <si>
    <t>Salo (50 0001 - 100 000 as.)</t>
  </si>
  <si>
    <t>Vaasa (50 0001 - 100 000 as.)</t>
  </si>
  <si>
    <t xml:space="preserve">Kotka (50 0001 - 100 000 as.)             </t>
  </si>
  <si>
    <t>Hämeenlinna (50 001 - 100 000 as.)</t>
  </si>
  <si>
    <t>Mikkeli (50 0001 - 100 000 as.)</t>
  </si>
  <si>
    <t>Lappeenranta (50 0001 - 100 000 as.)</t>
  </si>
  <si>
    <t>Mustasaari (10 001 - 20 000 as.)</t>
  </si>
  <si>
    <t>Nivala (10 001 - 20 000 as.)</t>
  </si>
  <si>
    <t>Liperi  (10 001 - 20 000 as.)</t>
  </si>
  <si>
    <t>Keuruu (10 001 - 20 000 as.)</t>
  </si>
  <si>
    <t>Kankaanpää (10 001 - 20 000 as.)</t>
  </si>
  <si>
    <t xml:space="preserve">Sipoo (10 001 - 20 000 as.)     </t>
  </si>
  <si>
    <t xml:space="preserve">Kuusamo (10 001 - 20 000 as.)          </t>
  </si>
  <si>
    <r>
      <t xml:space="preserve">Huom. Jos esität näitä tietoja, mainitsethan lähteen: </t>
    </r>
    <r>
      <rPr>
        <i/>
        <sz val="10"/>
        <rFont val="Verdana"/>
        <family val="2"/>
        <scheme val="minor"/>
      </rPr>
      <t xml:space="preserve">ARTTU2-tutkimusohjelman päättäjäkysely 2017.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</si>
</sst>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0.0"/>
  </numFmts>
  <fonts count="40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Verdana"/>
      <family val="2"/>
      <scheme val="minor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b/>
      <sz val="14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name val="Arial"/>
      <family val="2"/>
    </font>
    <font>
      <b/>
      <sz val="9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56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1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Arial"/>
      <family val="2"/>
    </font>
    <font>
      <b/>
      <sz val="12"/>
      <name val="Verdana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Verdana"/>
      <family val="2"/>
      <scheme val="minor"/>
    </font>
    <font>
      <sz val="9"/>
      <color rgb="FF272727"/>
      <name val="Arial"/>
      <family val="2"/>
    </font>
    <font>
      <b/>
      <sz val="9"/>
      <color rgb="FF272727"/>
      <name val="Arial"/>
      <family val="2"/>
    </font>
    <font>
      <b/>
      <sz val="11"/>
      <color rgb="FF272727"/>
      <name val="Arial"/>
      <family val="2"/>
    </font>
    <font>
      <sz val="11"/>
      <color rgb="FF272727"/>
      <name val="Arial"/>
      <family val="2"/>
    </font>
    <font>
      <b/>
      <sz val="10"/>
      <color rgb="FF272727"/>
      <name val="Arial"/>
      <family val="2"/>
    </font>
    <font>
      <sz val="8"/>
      <color rgb="FFFF0000"/>
      <name val="Verdana"/>
      <family val="2"/>
      <scheme val="minor"/>
    </font>
    <font>
      <b/>
      <u/>
      <sz val="11"/>
      <color theme="1"/>
      <name val="Verdana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Arial"/>
      <family val="2"/>
    </font>
    <font>
      <sz val="10"/>
      <color rgb="FFFF0000"/>
      <name val="Arial"/>
      <family val="2"/>
    </font>
    <font>
      <i/>
      <sz val="10"/>
      <name val="Verdan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gray125">
        <bgColor rgb="FFE5E5E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4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Font="1"/>
    <xf numFmtId="0" fontId="4" fillId="0" borderId="0" xfId="1" applyFont="1"/>
    <xf numFmtId="0" fontId="4" fillId="0" borderId="0" xfId="5" applyFont="1"/>
    <xf numFmtId="3" fontId="4" fillId="0" borderId="0" xfId="1" applyNumberFormat="1" applyFont="1"/>
    <xf numFmtId="0" fontId="7" fillId="0" borderId="0" xfId="0" applyFont="1"/>
    <xf numFmtId="3" fontId="9" fillId="0" borderId="6" xfId="10" applyNumberFormat="1" applyFont="1" applyBorder="1"/>
    <xf numFmtId="3" fontId="11" fillId="0" borderId="0" xfId="10" applyNumberFormat="1" applyFont="1" applyBorder="1"/>
    <xf numFmtId="0" fontId="7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0" xfId="1" applyFont="1"/>
    <xf numFmtId="3" fontId="9" fillId="5" borderId="6" xfId="10" applyNumberFormat="1" applyFont="1" applyFill="1" applyBorder="1"/>
    <xf numFmtId="2" fontId="19" fillId="0" borderId="0" xfId="0" applyNumberFormat="1" applyFont="1"/>
    <xf numFmtId="1" fontId="19" fillId="0" borderId="0" xfId="0" applyNumberFormat="1" applyFont="1"/>
    <xf numFmtId="0" fontId="13" fillId="4" borderId="17" xfId="0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9" fillId="0" borderId="0" xfId="0" applyFont="1"/>
    <xf numFmtId="3" fontId="9" fillId="5" borderId="0" xfId="10" applyNumberFormat="1" applyFont="1" applyFill="1" applyBorder="1"/>
    <xf numFmtId="3" fontId="10" fillId="3" borderId="5" xfId="10" applyNumberFormat="1" applyFont="1" applyFill="1" applyBorder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9" fillId="0" borderId="19" xfId="0" applyFont="1" applyBorder="1"/>
    <xf numFmtId="3" fontId="1" fillId="8" borderId="19" xfId="0" applyNumberFormat="1" applyFont="1" applyFill="1" applyBorder="1"/>
    <xf numFmtId="3" fontId="19" fillId="8" borderId="19" xfId="0" applyNumberFormat="1" applyFont="1" applyFill="1" applyBorder="1"/>
    <xf numFmtId="0" fontId="19" fillId="8" borderId="19" xfId="0" applyFont="1" applyFill="1" applyBorder="1"/>
    <xf numFmtId="164" fontId="19" fillId="0" borderId="19" xfId="0" applyNumberFormat="1" applyFont="1" applyBorder="1"/>
    <xf numFmtId="4" fontId="1" fillId="8" borderId="19" xfId="0" applyNumberFormat="1" applyFont="1" applyFill="1" applyBorder="1"/>
    <xf numFmtId="164" fontId="1" fillId="8" borderId="19" xfId="0" applyNumberFormat="1" applyFont="1" applyFill="1" applyBorder="1"/>
    <xf numFmtId="2" fontId="19" fillId="8" borderId="19" xfId="0" applyNumberFormat="1" applyFont="1" applyFill="1" applyBorder="1"/>
    <xf numFmtId="1" fontId="19" fillId="8" borderId="19" xfId="0" applyNumberFormat="1" applyFont="1" applyFill="1" applyBorder="1"/>
    <xf numFmtId="1" fontId="1" fillId="9" borderId="19" xfId="0" applyNumberFormat="1" applyFont="1" applyFill="1" applyBorder="1"/>
    <xf numFmtId="164" fontId="19" fillId="8" borderId="19" xfId="0" applyNumberFormat="1" applyFont="1" applyFill="1" applyBorder="1"/>
    <xf numFmtId="3" fontId="1" fillId="9" borderId="19" xfId="0" applyNumberFormat="1" applyFont="1" applyFill="1" applyBorder="1"/>
    <xf numFmtId="1" fontId="19" fillId="0" borderId="19" xfId="0" applyNumberFormat="1" applyFont="1" applyBorder="1"/>
    <xf numFmtId="0" fontId="19" fillId="0" borderId="20" xfId="0" applyFont="1" applyBorder="1"/>
    <xf numFmtId="3" fontId="1" fillId="8" borderId="20" xfId="0" applyNumberFormat="1" applyFont="1" applyFill="1" applyBorder="1"/>
    <xf numFmtId="3" fontId="19" fillId="8" borderId="20" xfId="0" applyNumberFormat="1" applyFont="1" applyFill="1" applyBorder="1"/>
    <xf numFmtId="0" fontId="19" fillId="8" borderId="20" xfId="0" applyFont="1" applyFill="1" applyBorder="1"/>
    <xf numFmtId="0" fontId="19" fillId="0" borderId="21" xfId="0" applyFont="1" applyBorder="1"/>
    <xf numFmtId="1" fontId="1" fillId="7" borderId="21" xfId="11" applyNumberFormat="1" applyFont="1" applyFill="1" applyBorder="1"/>
    <xf numFmtId="1" fontId="19" fillId="8" borderId="21" xfId="0" applyNumberFormat="1" applyFont="1" applyFill="1" applyBorder="1"/>
    <xf numFmtId="0" fontId="19" fillId="8" borderId="21" xfId="0" applyFont="1" applyFill="1" applyBorder="1"/>
    <xf numFmtId="2" fontId="1" fillId="7" borderId="21" xfId="11" applyNumberFormat="1" applyFont="1" applyFill="1" applyBorder="1"/>
    <xf numFmtId="2" fontId="19" fillId="8" borderId="21" xfId="0" applyNumberFormat="1" applyFont="1" applyFill="1" applyBorder="1"/>
    <xf numFmtId="3" fontId="19" fillId="8" borderId="21" xfId="0" applyNumberFormat="1" applyFont="1" applyFill="1" applyBorder="1"/>
    <xf numFmtId="1" fontId="1" fillId="7" borderId="21" xfId="0" applyNumberFormat="1" applyFont="1" applyFill="1" applyBorder="1"/>
    <xf numFmtId="2" fontId="1" fillId="7" borderId="21" xfId="0" applyNumberFormat="1" applyFont="1" applyFill="1" applyBorder="1"/>
    <xf numFmtId="3" fontId="1" fillId="8" borderId="21" xfId="0" applyNumberFormat="1" applyFont="1" applyFill="1" applyBorder="1"/>
    <xf numFmtId="2" fontId="1" fillId="7" borderId="19" xfId="11" applyNumberFormat="1" applyFont="1" applyFill="1" applyBorder="1"/>
    <xf numFmtId="0" fontId="19" fillId="8" borderId="22" xfId="0" applyFont="1" applyFill="1" applyBorder="1"/>
    <xf numFmtId="0" fontId="23" fillId="0" borderId="0" xfId="0" applyFont="1"/>
    <xf numFmtId="0" fontId="23" fillId="0" borderId="21" xfId="0" applyFont="1" applyBorder="1"/>
    <xf numFmtId="3" fontId="13" fillId="4" borderId="7" xfId="0" applyNumberFormat="1" applyFont="1" applyFill="1" applyBorder="1" applyAlignment="1">
      <alignment vertical="center" wrapText="1"/>
    </xf>
    <xf numFmtId="165" fontId="13" fillId="4" borderId="7" xfId="13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166" fontId="19" fillId="0" borderId="0" xfId="0" applyNumberFormat="1" applyFont="1"/>
    <xf numFmtId="2" fontId="19" fillId="0" borderId="21" xfId="0" applyNumberFormat="1" applyFont="1" applyBorder="1"/>
    <xf numFmtId="4" fontId="19" fillId="8" borderId="21" xfId="0" applyNumberFormat="1" applyFont="1" applyFill="1" applyBorder="1"/>
    <xf numFmtId="2" fontId="19" fillId="8" borderId="22" xfId="0" applyNumberFormat="1" applyFont="1" applyFill="1" applyBorder="1"/>
    <xf numFmtId="0" fontId="25" fillId="0" borderId="0" xfId="0" applyFont="1" applyAlignment="1">
      <alignment vertical="center"/>
    </xf>
    <xf numFmtId="1" fontId="19" fillId="0" borderId="21" xfId="0" applyNumberFormat="1" applyFont="1" applyBorder="1"/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17" fontId="0" fillId="0" borderId="0" xfId="0" applyNumberFormat="1"/>
    <xf numFmtId="17" fontId="20" fillId="0" borderId="16" xfId="0" applyNumberFormat="1" applyFont="1" applyBorder="1" applyAlignment="1">
      <alignment horizontal="right" vertical="center" wrapText="1"/>
    </xf>
    <xf numFmtId="17" fontId="20" fillId="0" borderId="17" xfId="0" applyNumberFormat="1" applyFont="1" applyBorder="1" applyAlignment="1">
      <alignment horizontal="right" vertical="center" wrapText="1"/>
    </xf>
    <xf numFmtId="17" fontId="20" fillId="0" borderId="17" xfId="0" applyNumberFormat="1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20" fillId="0" borderId="8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/>
    </xf>
    <xf numFmtId="1" fontId="0" fillId="0" borderId="0" xfId="0" applyNumberFormat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1" fontId="19" fillId="8" borderId="0" xfId="0" applyNumberFormat="1" applyFont="1" applyFill="1" applyBorder="1"/>
    <xf numFmtId="4" fontId="19" fillId="8" borderId="0" xfId="0" applyNumberFormat="1" applyFont="1" applyFill="1" applyBorder="1"/>
    <xf numFmtId="2" fontId="19" fillId="8" borderId="0" xfId="0" applyNumberFormat="1" applyFont="1" applyFill="1" applyBorder="1"/>
    <xf numFmtId="2" fontId="19" fillId="0" borderId="0" xfId="0" applyNumberFormat="1" applyFont="1" applyBorder="1"/>
    <xf numFmtId="0" fontId="29" fillId="0" borderId="0" xfId="0" applyFont="1"/>
    <xf numFmtId="0" fontId="23" fillId="0" borderId="19" xfId="0" applyFont="1" applyBorder="1"/>
    <xf numFmtId="0" fontId="28" fillId="0" borderId="0" xfId="0" applyFont="1" applyAlignment="1">
      <alignment vertical="center"/>
    </xf>
    <xf numFmtId="166" fontId="19" fillId="0" borderId="19" xfId="0" applyNumberFormat="1" applyFont="1" applyBorder="1"/>
    <xf numFmtId="166" fontId="1" fillId="9" borderId="19" xfId="0" applyNumberFormat="1" applyFont="1" applyFill="1" applyBorder="1"/>
    <xf numFmtId="0" fontId="30" fillId="0" borderId="0" xfId="0" applyFont="1"/>
    <xf numFmtId="0" fontId="30" fillId="0" borderId="0" xfId="0" applyFont="1" applyAlignment="1">
      <alignment vertical="center"/>
    </xf>
    <xf numFmtId="3" fontId="1" fillId="0" borderId="0" xfId="8" applyNumberFormat="1" applyFont="1"/>
    <xf numFmtId="0" fontId="0" fillId="0" borderId="0" xfId="0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0" fillId="0" borderId="0" xfId="0"/>
    <xf numFmtId="0" fontId="14" fillId="0" borderId="0" xfId="0" applyFont="1"/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166" fontId="20" fillId="0" borderId="8" xfId="0" applyNumberFormat="1" applyFont="1" applyBorder="1" applyAlignment="1">
      <alignment horizontal="right" vertical="center" wrapText="1"/>
    </xf>
    <xf numFmtId="166" fontId="20" fillId="0" borderId="7" xfId="0" applyNumberFormat="1" applyFont="1" applyBorder="1" applyAlignment="1">
      <alignment horizontal="right" vertical="center" wrapText="1"/>
    </xf>
    <xf numFmtId="166" fontId="13" fillId="4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" fontId="20" fillId="0" borderId="0" xfId="0" applyNumberFormat="1" applyFont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14" fillId="0" borderId="0" xfId="0" applyFont="1" applyAlignment="1"/>
    <xf numFmtId="0" fontId="0" fillId="0" borderId="0" xfId="0"/>
    <xf numFmtId="0" fontId="14" fillId="0" borderId="0" xfId="0" applyFon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14" fillId="0" borderId="0" xfId="0" applyFont="1"/>
    <xf numFmtId="0" fontId="0" fillId="0" borderId="0" xfId="0" applyAlignment="1"/>
    <xf numFmtId="166" fontId="0" fillId="0" borderId="0" xfId="0" applyNumberFormat="1"/>
    <xf numFmtId="0" fontId="14" fillId="0" borderId="0" xfId="0" applyFont="1" applyFill="1" applyBorder="1" applyAlignment="1"/>
    <xf numFmtId="0" fontId="27" fillId="0" borderId="0" xfId="0" applyFont="1" applyAlignment="1">
      <alignment vertical="center"/>
    </xf>
    <xf numFmtId="166" fontId="33" fillId="0" borderId="0" xfId="0" applyNumberFormat="1" applyFont="1"/>
    <xf numFmtId="1" fontId="33" fillId="0" borderId="0" xfId="0" applyNumberFormat="1" applyFont="1"/>
    <xf numFmtId="0" fontId="34" fillId="0" borderId="0" xfId="0" applyFont="1" applyAlignment="1">
      <alignment vertical="center"/>
    </xf>
    <xf numFmtId="0" fontId="33" fillId="0" borderId="0" xfId="0" applyFont="1"/>
    <xf numFmtId="0" fontId="35" fillId="0" borderId="0" xfId="0" applyFont="1" applyAlignment="1">
      <alignment vertical="center"/>
    </xf>
    <xf numFmtId="0" fontId="34" fillId="0" borderId="0" xfId="0" applyFont="1"/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3" fontId="37" fillId="8" borderId="21" xfId="8" applyNumberFormat="1" applyFont="1" applyFill="1" applyBorder="1"/>
    <xf numFmtId="1" fontId="37" fillId="8" borderId="21" xfId="8" applyNumberFormat="1" applyFont="1" applyFill="1" applyBorder="1"/>
    <xf numFmtId="166" fontId="37" fillId="8" borderId="21" xfId="8" applyNumberFormat="1" applyFont="1" applyFill="1" applyBorder="1"/>
    <xf numFmtId="1" fontId="33" fillId="8" borderId="21" xfId="0" applyNumberFormat="1" applyFont="1" applyFill="1" applyBorder="1"/>
    <xf numFmtId="166" fontId="37" fillId="7" borderId="21" xfId="0" applyNumberFormat="1" applyFont="1" applyFill="1" applyBorder="1"/>
    <xf numFmtId="164" fontId="37" fillId="7" borderId="21" xfId="0" applyNumberFormat="1" applyFont="1" applyFill="1" applyBorder="1"/>
    <xf numFmtId="0" fontId="33" fillId="0" borderId="19" xfId="0" applyFont="1" applyBorder="1"/>
    <xf numFmtId="0" fontId="33" fillId="0" borderId="0" xfId="0" applyFont="1" applyAlignment="1">
      <alignment horizontal="left"/>
    </xf>
    <xf numFmtId="0" fontId="33" fillId="8" borderId="19" xfId="0" applyFont="1" applyFill="1" applyBorder="1"/>
    <xf numFmtId="2" fontId="33" fillId="0" borderId="0" xfId="0" applyNumberFormat="1" applyFont="1"/>
    <xf numFmtId="0" fontId="33" fillId="0" borderId="21" xfId="0" applyFont="1" applyBorder="1"/>
    <xf numFmtId="0" fontId="34" fillId="0" borderId="21" xfId="0" applyFont="1" applyBorder="1"/>
    <xf numFmtId="0" fontId="33" fillId="8" borderId="21" xfId="0" applyFont="1" applyFill="1" applyBorder="1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ont="1"/>
    <xf numFmtId="0" fontId="0" fillId="0" borderId="0" xfId="0"/>
    <xf numFmtId="0" fontId="14" fillId="0" borderId="0" xfId="0" applyFont="1" applyAlignment="1">
      <alignment wrapText="1"/>
    </xf>
    <xf numFmtId="166" fontId="0" fillId="0" borderId="0" xfId="0" applyNumberFormat="1" applyFill="1" applyBorder="1" applyAlignment="1"/>
    <xf numFmtId="0" fontId="0" fillId="0" borderId="0" xfId="0" applyFont="1" applyAlignment="1"/>
    <xf numFmtId="166" fontId="0" fillId="0" borderId="0" xfId="0" applyNumberFormat="1" applyAlignment="1"/>
    <xf numFmtId="166" fontId="7" fillId="0" borderId="11" xfId="0" applyNumberFormat="1" applyFont="1" applyBorder="1" applyAlignment="1">
      <alignment horizontal="center" vertical="center"/>
    </xf>
    <xf numFmtId="0" fontId="14" fillId="0" borderId="0" xfId="0" applyFont="1" applyAlignment="1"/>
    <xf numFmtId="49" fontId="19" fillId="0" borderId="0" xfId="0" applyNumberFormat="1" applyFont="1"/>
    <xf numFmtId="0" fontId="33" fillId="0" borderId="0" xfId="0" quotePrefix="1" applyFont="1"/>
    <xf numFmtId="3" fontId="19" fillId="6" borderId="4" xfId="0" applyNumberFormat="1" applyFont="1" applyFill="1" applyBorder="1" applyAlignment="1">
      <alignment vertical="top"/>
    </xf>
    <xf numFmtId="3" fontId="19" fillId="0" borderId="4" xfId="0" applyNumberFormat="1" applyFont="1" applyBorder="1" applyAlignment="1">
      <alignment vertical="top"/>
    </xf>
    <xf numFmtId="3" fontId="19" fillId="6" borderId="18" xfId="0" applyNumberFormat="1" applyFont="1" applyFill="1" applyBorder="1" applyAlignment="1">
      <alignment vertical="top"/>
    </xf>
    <xf numFmtId="3" fontId="19" fillId="0" borderId="18" xfId="0" applyNumberFormat="1" applyFont="1" applyBorder="1" applyAlignment="1">
      <alignment vertical="top"/>
    </xf>
    <xf numFmtId="0" fontId="38" fillId="0" borderId="18" xfId="0" applyFont="1" applyBorder="1" applyAlignment="1">
      <alignment vertical="top"/>
    </xf>
    <xf numFmtId="166" fontId="33" fillId="0" borderId="0" xfId="0" applyNumberFormat="1" applyFont="1" applyAlignment="1">
      <alignment horizontal="left"/>
    </xf>
    <xf numFmtId="166" fontId="26" fillId="0" borderId="0" xfId="0" applyNumberFormat="1" applyFont="1"/>
    <xf numFmtId="166" fontId="37" fillId="7" borderId="19" xfId="11" applyNumberFormat="1" applyFont="1" applyFill="1" applyBorder="1"/>
    <xf numFmtId="166" fontId="33" fillId="8" borderId="19" xfId="0" applyNumberFormat="1" applyFont="1" applyFill="1" applyBorder="1"/>
    <xf numFmtId="166" fontId="37" fillId="8" borderId="19" xfId="0" applyNumberFormat="1" applyFont="1" applyFill="1" applyBorder="1"/>
    <xf numFmtId="3" fontId="11" fillId="0" borderId="0" xfId="10" applyNumberFormat="1" applyFont="1" applyFill="1" applyBorder="1"/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/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/>
    <xf numFmtId="0" fontId="0" fillId="0" borderId="0" xfId="0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10" borderId="0" xfId="1" applyFont="1" applyFill="1"/>
    <xf numFmtId="0" fontId="0" fillId="10" borderId="0" xfId="0" applyFont="1" applyFill="1"/>
  </cellXfs>
  <cellStyles count="16">
    <cellStyle name="ARTTU" xfId="7"/>
    <cellStyle name="Normaali" xfId="0" builtinId="0"/>
    <cellStyle name="Normaali 2" xfId="2"/>
    <cellStyle name="Normaali 2 2" xfId="8"/>
    <cellStyle name="Normaali 3" xfId="1"/>
    <cellStyle name="Normaali 3 2" xfId="5"/>
    <cellStyle name="Normaali 4" xfId="10"/>
    <cellStyle name="Normaali 5" xfId="11"/>
    <cellStyle name="Normaali 6" xfId="12"/>
    <cellStyle name="Normaali 7" xfId="14"/>
    <cellStyle name="Normaali 7 2" xfId="15"/>
    <cellStyle name="Pilkku" xfId="13" builtinId="3"/>
    <cellStyle name="Prosenttia 2" xfId="3"/>
    <cellStyle name="Prosenttia 2 2" xfId="9"/>
    <cellStyle name="Prosenttia 3" xfId="4"/>
    <cellStyle name="Prosenttia 3 2" xfId="6"/>
  </cellStyles>
  <dxfs count="6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56"/>
        <name val="Verdana"/>
        <scheme val="none"/>
      </font>
      <numFmt numFmtId="3" formatCode="#,##0"/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</c:f>
          <c:strCache>
            <c:ptCount val="1"/>
            <c:pt idx="0">
              <c:v>10. Aiotko asettua ehdolle kevään 2017 kuntavaaleissa? (N=15)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361209656485247"/>
          <c:y val="0.14608932888534731"/>
          <c:w val="0.74791727957082288"/>
          <c:h val="0.695064086114450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work!$A$4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work!$B$4:$D$4</c:f>
              <c:numCache>
                <c:formatCode>0.0</c:formatCode>
                <c:ptCount val="3"/>
                <c:pt idx="0">
                  <c:v>73.5</c:v>
                </c:pt>
                <c:pt idx="1">
                  <c:v>63</c:v>
                </c:pt>
                <c:pt idx="2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2D3-864E-A6FE17420E3B}"/>
            </c:ext>
          </c:extLst>
        </c:ser>
        <c:ser>
          <c:idx val="1"/>
          <c:order val="1"/>
          <c:tx>
            <c:strRef>
              <c:f>work!$A$5</c:f>
              <c:strCache>
                <c:ptCount val="1"/>
                <c:pt idx="0">
                  <c:v>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663003663003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F-4CEA-AAB4-E0EFF0D9C0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work!$B$5:$D$5</c:f>
              <c:numCache>
                <c:formatCode>0.0</c:formatCode>
                <c:ptCount val="3"/>
                <c:pt idx="0">
                  <c:v>21.4</c:v>
                </c:pt>
                <c:pt idx="1">
                  <c:v>30.9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B-42D3-864E-A6FE17420E3B}"/>
            </c:ext>
          </c:extLst>
        </c:ser>
        <c:ser>
          <c:idx val="2"/>
          <c:order val="2"/>
          <c:tx>
            <c:strRef>
              <c:f>work!$A$6</c:f>
              <c:strCache>
                <c:ptCount val="1"/>
                <c:pt idx="0">
                  <c:v>En ole vielä päättänyt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3260073260073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F-4CEA-AAB4-E0EFF0D9C0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work!$B$6:$D$6</c:f>
              <c:numCache>
                <c:formatCode>0.0</c:formatCode>
                <c:ptCount val="3"/>
                <c:pt idx="0">
                  <c:v>5.2</c:v>
                </c:pt>
                <c:pt idx="1">
                  <c:v>6.1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B-42D3-864E-A6FE1742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048356911"/>
        <c:axId val="1048349839"/>
      </c:barChart>
      <c:catAx>
        <c:axId val="10483569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9839"/>
        <c:crosses val="autoZero"/>
        <c:auto val="1"/>
        <c:lblAlgn val="ctr"/>
        <c:lblOffset val="100"/>
        <c:noMultiLvlLbl val="0"/>
      </c:catAx>
      <c:valAx>
        <c:axId val="104834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691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work!$F$63</c:f>
          <c:strCache>
            <c:ptCount val="1"/>
            <c:pt idx="0">
              <c:v>18. Kun ajattelet, mitä kunnalliset päättäjät voivat tehdä kunnan elinvoimaisuuden ja hyvinvoinnin parantamiseksi, miten tärkeinä näet seuraavat toimenpiteet?  (N=19)</c:v>
            </c:pt>
          </c:strCache>
        </c:strRef>
      </c:tx>
      <c:layout>
        <c:manualLayout>
          <c:xMode val="edge"/>
          <c:yMode val="edge"/>
          <c:x val="7.9438894885149477E-2"/>
          <c:y val="2.3445692032178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6801562371253985"/>
          <c:y val="0.16470463909752089"/>
          <c:w val="0.49603798377782177"/>
          <c:h val="0.78799974901781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work!$D$63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work!$D$64:$D$75</c:f>
              <c:numCache>
                <c:formatCode>0.0</c:formatCode>
                <c:ptCount val="12"/>
                <c:pt idx="0">
                  <c:v>57.9</c:v>
                </c:pt>
                <c:pt idx="1">
                  <c:v>78.900000000000006</c:v>
                </c:pt>
                <c:pt idx="2">
                  <c:v>10.5</c:v>
                </c:pt>
                <c:pt idx="3">
                  <c:v>42.1</c:v>
                </c:pt>
                <c:pt idx="4">
                  <c:v>0</c:v>
                </c:pt>
                <c:pt idx="5">
                  <c:v>42.1</c:v>
                </c:pt>
                <c:pt idx="6">
                  <c:v>21.1</c:v>
                </c:pt>
                <c:pt idx="7">
                  <c:v>47.4</c:v>
                </c:pt>
                <c:pt idx="8">
                  <c:v>63.2</c:v>
                </c:pt>
                <c:pt idx="9">
                  <c:v>15.8</c:v>
                </c:pt>
                <c:pt idx="10">
                  <c:v>42.1</c:v>
                </c:pt>
                <c:pt idx="1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8-479D-A733-104462A930CE}"/>
            </c:ext>
          </c:extLst>
        </c:ser>
        <c:ser>
          <c:idx val="1"/>
          <c:order val="1"/>
          <c:tx>
            <c:strRef>
              <c:f>work!$C$63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work!$C$64:$C$75</c:f>
              <c:numCache>
                <c:formatCode>0.0</c:formatCode>
                <c:ptCount val="12"/>
                <c:pt idx="0">
                  <c:v>75.400000000000006</c:v>
                </c:pt>
                <c:pt idx="1">
                  <c:v>35</c:v>
                </c:pt>
                <c:pt idx="2">
                  <c:v>37.700000000000003</c:v>
                </c:pt>
                <c:pt idx="3">
                  <c:v>45.9</c:v>
                </c:pt>
                <c:pt idx="4">
                  <c:v>12</c:v>
                </c:pt>
                <c:pt idx="5">
                  <c:v>35.5</c:v>
                </c:pt>
                <c:pt idx="6">
                  <c:v>21.9</c:v>
                </c:pt>
                <c:pt idx="7">
                  <c:v>31.7</c:v>
                </c:pt>
                <c:pt idx="8">
                  <c:v>62.8</c:v>
                </c:pt>
                <c:pt idx="9">
                  <c:v>22.4</c:v>
                </c:pt>
                <c:pt idx="10">
                  <c:v>39.9</c:v>
                </c:pt>
                <c:pt idx="11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8-479D-A733-104462A930CE}"/>
            </c:ext>
          </c:extLst>
        </c:ser>
        <c:ser>
          <c:idx val="0"/>
          <c:order val="2"/>
          <c:tx>
            <c:strRef>
              <c:f>work!$B$63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work!$B$64:$B$75</c:f>
              <c:numCache>
                <c:formatCode>0.0</c:formatCode>
                <c:ptCount val="12"/>
                <c:pt idx="0">
                  <c:v>82.2</c:v>
                </c:pt>
                <c:pt idx="1">
                  <c:v>45.1</c:v>
                </c:pt>
                <c:pt idx="2">
                  <c:v>36.6</c:v>
                </c:pt>
                <c:pt idx="3">
                  <c:v>44.6</c:v>
                </c:pt>
                <c:pt idx="4">
                  <c:v>11.6</c:v>
                </c:pt>
                <c:pt idx="5">
                  <c:v>33.6</c:v>
                </c:pt>
                <c:pt idx="6">
                  <c:v>40.9</c:v>
                </c:pt>
                <c:pt idx="7">
                  <c:v>32.4</c:v>
                </c:pt>
                <c:pt idx="8">
                  <c:v>62</c:v>
                </c:pt>
                <c:pt idx="9">
                  <c:v>24.9</c:v>
                </c:pt>
                <c:pt idx="10">
                  <c:v>73.099999999999994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79D-A733-104462A930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49007"/>
        <c:axId val="1048342767"/>
      </c:barChart>
      <c:catAx>
        <c:axId val="10483490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2767"/>
        <c:crosses val="autoZero"/>
        <c:auto val="1"/>
        <c:lblAlgn val="ctr"/>
        <c:lblOffset val="100"/>
        <c:noMultiLvlLbl val="0"/>
      </c:catAx>
      <c:valAx>
        <c:axId val="104834276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90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work!$F$63</c:f>
          <c:strCache>
            <c:ptCount val="1"/>
            <c:pt idx="0">
              <c:v>18. Kun ajattelet, mitä kunnalliset päättäjät voivat tehdä kunnan elinvoimaisuuden ja hyvinvoinnin parantamiseksi, miten tärkeinä näet seuraavat toimenpiteet?  (N=19)</c:v>
            </c:pt>
          </c:strCache>
        </c:strRef>
      </c:tx>
      <c:layout>
        <c:manualLayout>
          <c:xMode val="edge"/>
          <c:yMode val="edge"/>
          <c:x val="9.9697637795275587E-2"/>
          <c:y val="8.63309352517985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095447720197766"/>
          <c:y val="0.14277448592307257"/>
          <c:w val="0.47261761582127815"/>
          <c:h val="0.8085484620177872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work!$D$63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work!$D$76:$D$86</c:f>
              <c:numCache>
                <c:formatCode>0.0</c:formatCode>
                <c:ptCount val="11"/>
                <c:pt idx="0">
                  <c:v>47.4</c:v>
                </c:pt>
                <c:pt idx="1">
                  <c:v>21.1</c:v>
                </c:pt>
                <c:pt idx="2">
                  <c:v>26.3</c:v>
                </c:pt>
                <c:pt idx="3">
                  <c:v>5.3</c:v>
                </c:pt>
                <c:pt idx="4">
                  <c:v>10.5</c:v>
                </c:pt>
                <c:pt idx="5">
                  <c:v>63.2</c:v>
                </c:pt>
                <c:pt idx="6">
                  <c:v>31.6</c:v>
                </c:pt>
                <c:pt idx="7">
                  <c:v>52.6</c:v>
                </c:pt>
                <c:pt idx="8">
                  <c:v>15.8</c:v>
                </c:pt>
                <c:pt idx="9">
                  <c:v>5.3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D-423B-9BB1-715851FE8938}"/>
            </c:ext>
          </c:extLst>
        </c:ser>
        <c:ser>
          <c:idx val="1"/>
          <c:order val="1"/>
          <c:tx>
            <c:strRef>
              <c:f>work!$C$63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work!$C$76:$C$86</c:f>
              <c:numCache>
                <c:formatCode>0.0</c:formatCode>
                <c:ptCount val="11"/>
                <c:pt idx="0">
                  <c:v>17.5</c:v>
                </c:pt>
                <c:pt idx="1">
                  <c:v>45.9</c:v>
                </c:pt>
                <c:pt idx="2">
                  <c:v>38.799999999999997</c:v>
                </c:pt>
                <c:pt idx="3">
                  <c:v>12.6</c:v>
                </c:pt>
                <c:pt idx="4">
                  <c:v>13.1</c:v>
                </c:pt>
                <c:pt idx="5">
                  <c:v>39.299999999999997</c:v>
                </c:pt>
                <c:pt idx="6">
                  <c:v>26.8</c:v>
                </c:pt>
                <c:pt idx="7">
                  <c:v>32.200000000000003</c:v>
                </c:pt>
                <c:pt idx="8">
                  <c:v>16.399999999999999</c:v>
                </c:pt>
                <c:pt idx="9">
                  <c:v>33.9</c:v>
                </c:pt>
                <c:pt idx="10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D-423B-9BB1-715851FE8938}"/>
            </c:ext>
          </c:extLst>
        </c:ser>
        <c:ser>
          <c:idx val="0"/>
          <c:order val="2"/>
          <c:tx>
            <c:strRef>
              <c:f>work!$B$63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work!$B$76:$B$86</c:f>
              <c:numCache>
                <c:formatCode>0.0</c:formatCode>
                <c:ptCount val="11"/>
                <c:pt idx="0">
                  <c:v>49.9</c:v>
                </c:pt>
                <c:pt idx="1">
                  <c:v>81</c:v>
                </c:pt>
                <c:pt idx="2">
                  <c:v>81.5</c:v>
                </c:pt>
                <c:pt idx="3">
                  <c:v>22.9</c:v>
                </c:pt>
                <c:pt idx="4">
                  <c:v>22.8</c:v>
                </c:pt>
                <c:pt idx="5">
                  <c:v>90</c:v>
                </c:pt>
                <c:pt idx="6">
                  <c:v>25.6</c:v>
                </c:pt>
                <c:pt idx="7">
                  <c:v>71.099999999999994</c:v>
                </c:pt>
                <c:pt idx="8">
                  <c:v>36.4</c:v>
                </c:pt>
                <c:pt idx="9">
                  <c:v>60.9</c:v>
                </c:pt>
                <c:pt idx="10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D-423B-9BB1-715851FE89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2119263"/>
        <c:axId val="732127583"/>
      </c:barChart>
      <c:catAx>
        <c:axId val="7321192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27583"/>
        <c:crosses val="autoZero"/>
        <c:auto val="1"/>
        <c:lblAlgn val="ctr"/>
        <c:lblOffset val="100"/>
        <c:noMultiLvlLbl val="0"/>
      </c:catAx>
      <c:valAx>
        <c:axId val="732127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192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96668921673341"/>
          <c:y val="0.96926573112614056"/>
          <c:w val="0.67177788525181803"/>
          <c:h val="2.369498969604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work!$F$96</c:f>
          <c:strCache>
            <c:ptCount val="1"/>
            <c:pt idx="0">
              <c:v>20. Miten arvioit yleistä ilmapiiriä eri osapuolten välillä kuntasi asioiden hoidossa? (N=19)</c:v>
            </c:pt>
          </c:strCache>
        </c:strRef>
      </c:tx>
      <c:layout>
        <c:manualLayout>
          <c:xMode val="edge"/>
          <c:yMode val="edge"/>
          <c:x val="0.10163470310362982"/>
          <c:y val="3.5392535392535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2419000903575577"/>
          <c:y val="0.15773011481672899"/>
          <c:w val="0.53974441719375243"/>
          <c:h val="0.76777860537703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work!$B$96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work!$B$97:$B$101</c:f>
              <c:numCache>
                <c:formatCode>0.0</c:formatCode>
                <c:ptCount val="5"/>
                <c:pt idx="0">
                  <c:v>50.1</c:v>
                </c:pt>
                <c:pt idx="1">
                  <c:v>60.5</c:v>
                </c:pt>
                <c:pt idx="2">
                  <c:v>37.299999999999997</c:v>
                </c:pt>
                <c:pt idx="3">
                  <c:v>48.7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ACF-8911-E507318DC533}"/>
            </c:ext>
          </c:extLst>
        </c:ser>
        <c:ser>
          <c:idx val="1"/>
          <c:order val="1"/>
          <c:tx>
            <c:strRef>
              <c:f>work!$C$96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work!$C$97:$C$101</c:f>
              <c:numCache>
                <c:formatCode>0.0</c:formatCode>
                <c:ptCount val="5"/>
                <c:pt idx="0">
                  <c:v>31.8</c:v>
                </c:pt>
                <c:pt idx="1">
                  <c:v>42.5</c:v>
                </c:pt>
                <c:pt idx="2">
                  <c:v>27</c:v>
                </c:pt>
                <c:pt idx="3">
                  <c:v>39.1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ACF-8911-E507318DC533}"/>
            </c:ext>
          </c:extLst>
        </c:ser>
        <c:ser>
          <c:idx val="2"/>
          <c:order val="2"/>
          <c:tx>
            <c:strRef>
              <c:f>work!$D$96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work!$D$97:$D$101</c:f>
              <c:numCache>
                <c:formatCode>0.0</c:formatCode>
                <c:ptCount val="5"/>
                <c:pt idx="0">
                  <c:v>94.7</c:v>
                </c:pt>
                <c:pt idx="1">
                  <c:v>100</c:v>
                </c:pt>
                <c:pt idx="2">
                  <c:v>78.900000000000006</c:v>
                </c:pt>
                <c:pt idx="3">
                  <c:v>88.9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ACF-8911-E507318DC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33135"/>
        <c:axId val="1044827727"/>
      </c:barChart>
      <c:catAx>
        <c:axId val="104483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7727"/>
        <c:crosses val="autoZero"/>
        <c:auto val="1"/>
        <c:lblAlgn val="ctr"/>
        <c:lblOffset val="100"/>
        <c:noMultiLvlLbl val="0"/>
      </c:catAx>
      <c:valAx>
        <c:axId val="104482772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3313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work!$F$103</c:f>
          <c:strCache>
            <c:ptCount val="1"/>
            <c:pt idx="0">
              <c:v>21. Mitä mieltä olet seuraavista, päätösten valmisteluun liittyvistä seikoista? Miten olet kokenut ne kunnassasi?  (N=15)</c:v>
            </c:pt>
          </c:strCache>
        </c:strRef>
      </c:tx>
      <c:layout>
        <c:manualLayout>
          <c:xMode val="edge"/>
          <c:yMode val="edge"/>
          <c:x val="0.11582081773888081"/>
          <c:y val="3.541912632821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50420351302241062"/>
          <c:y val="0.15481302774427019"/>
          <c:w val="0.46877146380798784"/>
          <c:h val="0.75036482623025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work!$B$103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work!$B$104:$B$108</c:f>
              <c:numCache>
                <c:formatCode>0.0</c:formatCode>
                <c:ptCount val="5"/>
                <c:pt idx="0">
                  <c:v>40.299999999999997</c:v>
                </c:pt>
                <c:pt idx="1">
                  <c:v>42.4</c:v>
                </c:pt>
                <c:pt idx="2">
                  <c:v>48.4</c:v>
                </c:pt>
                <c:pt idx="3">
                  <c:v>58.8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4CA-9761-B6506883CFEA}"/>
            </c:ext>
          </c:extLst>
        </c:ser>
        <c:ser>
          <c:idx val="1"/>
          <c:order val="1"/>
          <c:tx>
            <c:strRef>
              <c:f>work!$C$103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work!$C$104:$C$108</c:f>
              <c:numCache>
                <c:formatCode>0.0</c:formatCode>
                <c:ptCount val="5"/>
                <c:pt idx="0">
                  <c:v>36.200000000000003</c:v>
                </c:pt>
                <c:pt idx="1">
                  <c:v>36.200000000000003</c:v>
                </c:pt>
                <c:pt idx="2">
                  <c:v>37.700000000000003</c:v>
                </c:pt>
                <c:pt idx="3">
                  <c:v>48.1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4CA-9761-B6506883CFEA}"/>
            </c:ext>
          </c:extLst>
        </c:ser>
        <c:ser>
          <c:idx val="2"/>
          <c:order val="2"/>
          <c:tx>
            <c:strRef>
              <c:f>work!$D$103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work!$D$104:$D$108</c:f>
              <c:numCache>
                <c:formatCode>0.0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86.7</c:v>
                </c:pt>
                <c:pt idx="3">
                  <c:v>93.3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A-44CA-9761-B6506883CF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35508319"/>
        <c:axId val="1035502911"/>
      </c:barChart>
      <c:catAx>
        <c:axId val="1035508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2911"/>
        <c:crosses val="autoZero"/>
        <c:auto val="1"/>
        <c:lblAlgn val="ctr"/>
        <c:lblOffset val="100"/>
        <c:noMultiLvlLbl val="0"/>
      </c:catAx>
      <c:valAx>
        <c:axId val="103550291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83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work!$F$110</c:f>
          <c:strCache>
            <c:ptCount val="1"/>
            <c:pt idx="0">
              <c:v>22. Ota kantaa seuraaviin kysymyksiin valtuustokauden strategiasta. (N=15)</c:v>
            </c:pt>
          </c:strCache>
        </c:strRef>
      </c:tx>
      <c:layout>
        <c:manualLayout>
          <c:xMode val="edge"/>
          <c:yMode val="edge"/>
          <c:x val="0.14873730616542014"/>
          <c:y val="2.777767205081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367344402283975"/>
          <c:y val="0.23759425493716338"/>
          <c:w val="0.47925134706351119"/>
          <c:h val="0.60691641103210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work!$B$110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work!$B$111:$B$112</c:f>
              <c:numCache>
                <c:formatCode>0.0</c:formatCode>
                <c:ptCount val="2"/>
                <c:pt idx="0">
                  <c:v>46.7</c:v>
                </c:pt>
                <c:pt idx="1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A84-8B35-50F4FE301F63}"/>
            </c:ext>
          </c:extLst>
        </c:ser>
        <c:ser>
          <c:idx val="1"/>
          <c:order val="1"/>
          <c:tx>
            <c:strRef>
              <c:f>work!$C$110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work!$C$111:$C$112</c:f>
              <c:numCache>
                <c:formatCode>0.0</c:formatCode>
                <c:ptCount val="2"/>
                <c:pt idx="0">
                  <c:v>36.700000000000003</c:v>
                </c:pt>
                <c:pt idx="1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9-4A84-8B35-50F4FE301F63}"/>
            </c:ext>
          </c:extLst>
        </c:ser>
        <c:ser>
          <c:idx val="2"/>
          <c:order val="2"/>
          <c:tx>
            <c:strRef>
              <c:f>work!$D$110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work!$D$111:$D$112</c:f>
              <c:numCache>
                <c:formatCode>0.0</c:formatCode>
                <c:ptCount val="2"/>
                <c:pt idx="0">
                  <c:v>66.7</c:v>
                </c:pt>
                <c:pt idx="1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9-4A84-8B35-50F4FE301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35516639"/>
        <c:axId val="1035502495"/>
      </c:barChart>
      <c:catAx>
        <c:axId val="1035516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2495"/>
        <c:crosses val="autoZero"/>
        <c:auto val="1"/>
        <c:lblAlgn val="ctr"/>
        <c:lblOffset val="100"/>
        <c:noMultiLvlLbl val="0"/>
      </c:catAx>
      <c:valAx>
        <c:axId val="103550249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166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work!$F$8</c:f>
          <c:strCache>
            <c:ptCount val="1"/>
            <c:pt idx="0">
              <c:v>11. Aiotko asettua ehdolle tammikuun 2018 maakuntavaaleissa, jos sote- ja maakuntauudistus toteutuu pääministeri Sipilän hallituksen suunnitelmien mukaan? (N=15)</c:v>
            </c:pt>
          </c:strCache>
        </c:strRef>
      </c:tx>
      <c:layout>
        <c:manualLayout>
          <c:xMode val="edge"/>
          <c:yMode val="edge"/>
          <c:x val="0.11389340915718868"/>
          <c:y val="2.3778071334214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98556430446195"/>
          <c:y val="0.19486139859994386"/>
          <c:w val="0.73878754738990959"/>
          <c:h val="0.682803648883387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work!$A$9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(work!$B$9:$D$9,work!$F$3)</c:f>
              <c:numCache>
                <c:formatCode>0.0</c:formatCode>
                <c:ptCount val="4"/>
                <c:pt idx="0">
                  <c:v>14.7</c:v>
                </c:pt>
                <c:pt idx="1">
                  <c:v>11</c:v>
                </c:pt>
                <c:pt idx="2">
                  <c:v>13.3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7-4647-966B-36B047CC055D}"/>
            </c:ext>
          </c:extLst>
        </c:ser>
        <c:ser>
          <c:idx val="1"/>
          <c:order val="1"/>
          <c:tx>
            <c:strRef>
              <c:f>work!$A$10</c:f>
              <c:strCache>
                <c:ptCount val="1"/>
                <c:pt idx="0">
                  <c:v>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work!$B$10:$D$10</c:f>
              <c:numCache>
                <c:formatCode>0.0</c:formatCode>
                <c:ptCount val="3"/>
                <c:pt idx="0">
                  <c:v>35.6</c:v>
                </c:pt>
                <c:pt idx="1">
                  <c:v>45.1</c:v>
                </c:pt>
                <c:pt idx="2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7-4647-966B-36B047CC055D}"/>
            </c:ext>
          </c:extLst>
        </c:ser>
        <c:ser>
          <c:idx val="2"/>
          <c:order val="2"/>
          <c:tx>
            <c:strRef>
              <c:f>work!$A$11</c:f>
              <c:strCache>
                <c:ptCount val="1"/>
                <c:pt idx="0">
                  <c:v>En ole vielä päättänyt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work!$B$11:$D$11</c:f>
              <c:numCache>
                <c:formatCode>0.0</c:formatCode>
                <c:ptCount val="3"/>
                <c:pt idx="0">
                  <c:v>49.7</c:v>
                </c:pt>
                <c:pt idx="1">
                  <c:v>43.9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7-4647-966B-36B047CC05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01519"/>
        <c:axId val="1044823151"/>
      </c:barChart>
      <c:catAx>
        <c:axId val="1044801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151"/>
        <c:crosses val="autoZero"/>
        <c:auto val="1"/>
        <c:lblAlgn val="ctr"/>
        <c:lblOffset val="100"/>
        <c:noMultiLvlLbl val="0"/>
      </c:catAx>
      <c:valAx>
        <c:axId val="1044823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0151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work!$F$13</c:f>
          <c:strCache>
            <c:ptCount val="1"/>
            <c:pt idx="0">
              <c:v>12. Kun ajattelet tilannetta omassa kunnassasi tällä hetkellä, miten arvioit seuraavien asioiden vaikuttavan ihmisten halukkuuteen asettua ehdolle vuoden 2017 kuntavaaleissa? (N=15)</c:v>
            </c:pt>
          </c:strCache>
        </c:strRef>
      </c:tx>
      <c:layout>
        <c:manualLayout>
          <c:xMode val="edge"/>
          <c:yMode val="edge"/>
          <c:x val="0.12344119888239775"/>
          <c:y val="2.549888780242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028842437166398"/>
          <c:y val="0.16026006553102431"/>
          <c:w val="0.47371231105764289"/>
          <c:h val="0.7916716129438068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work!$D$13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work!$D$14:$D$21</c:f>
              <c:numCache>
                <c:formatCode>0.0</c:formatCode>
                <c:ptCount val="8"/>
                <c:pt idx="0">
                  <c:v>6.7</c:v>
                </c:pt>
                <c:pt idx="1">
                  <c:v>73.3</c:v>
                </c:pt>
                <c:pt idx="2">
                  <c:v>13.3</c:v>
                </c:pt>
                <c:pt idx="3">
                  <c:v>73.3</c:v>
                </c:pt>
                <c:pt idx="4">
                  <c:v>0</c:v>
                </c:pt>
                <c:pt idx="5">
                  <c:v>6.7</c:v>
                </c:pt>
                <c:pt idx="6">
                  <c:v>6.7</c:v>
                </c:pt>
                <c:pt idx="7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1-4E05-A78F-9DF14BA3D7A8}"/>
            </c:ext>
          </c:extLst>
        </c:ser>
        <c:ser>
          <c:idx val="1"/>
          <c:order val="1"/>
          <c:tx>
            <c:strRef>
              <c:f>work!$C$13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work!$C$14:$C$21</c:f>
              <c:numCache>
                <c:formatCode>0.0</c:formatCode>
                <c:ptCount val="8"/>
                <c:pt idx="0">
                  <c:v>51.1</c:v>
                </c:pt>
                <c:pt idx="1">
                  <c:v>53.2</c:v>
                </c:pt>
                <c:pt idx="2">
                  <c:v>55</c:v>
                </c:pt>
                <c:pt idx="3">
                  <c:v>74.099999999999994</c:v>
                </c:pt>
                <c:pt idx="4">
                  <c:v>7.2</c:v>
                </c:pt>
                <c:pt idx="5">
                  <c:v>27.9</c:v>
                </c:pt>
                <c:pt idx="6">
                  <c:v>48.6</c:v>
                </c:pt>
                <c:pt idx="7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1-4E05-A78F-9DF14BA3D7A8}"/>
            </c:ext>
          </c:extLst>
        </c:ser>
        <c:ser>
          <c:idx val="0"/>
          <c:order val="2"/>
          <c:tx>
            <c:strRef>
              <c:f>work!$B$13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work!$B$14:$B$21</c:f>
              <c:numCache>
                <c:formatCode>0.0</c:formatCode>
                <c:ptCount val="8"/>
                <c:pt idx="0">
                  <c:v>36.1</c:v>
                </c:pt>
                <c:pt idx="1">
                  <c:v>57.5</c:v>
                </c:pt>
                <c:pt idx="2">
                  <c:v>45.8</c:v>
                </c:pt>
                <c:pt idx="3">
                  <c:v>74.5</c:v>
                </c:pt>
                <c:pt idx="4">
                  <c:v>7.6</c:v>
                </c:pt>
                <c:pt idx="5">
                  <c:v>25.2</c:v>
                </c:pt>
                <c:pt idx="6">
                  <c:v>40.1</c:v>
                </c:pt>
                <c:pt idx="7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E05-A78F-9DF14BA3D7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23983"/>
        <c:axId val="1044820239"/>
      </c:barChart>
      <c:catAx>
        <c:axId val="104482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0239"/>
        <c:crosses val="autoZero"/>
        <c:auto val="1"/>
        <c:lblAlgn val="ctr"/>
        <c:lblOffset val="100"/>
        <c:noMultiLvlLbl val="0"/>
      </c:catAx>
      <c:valAx>
        <c:axId val="104482023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98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51533074494721"/>
          <c:y val="0.9538614691556585"/>
          <c:w val="0.58696933851010558"/>
          <c:h val="3.2585771889840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&amp;C&amp;12Päättäjäkysely 2017
</c:oddHeader>
      <c:oddFooter>&amp;C&amp;P</c:oddFooter>
    </c:headerFooter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work!$F$23</c:f>
          <c:strCache>
            <c:ptCount val="1"/>
            <c:pt idx="0">
              <c:v>13. Kuvittele tilanne, jossa kunnat kilpailevat keskenään siitä, missä kunnassa tai kaupungissa on ”hyvä asua ja elää”. Miten arvioisit nykyisen kotikuntasi sijoittuvan kilpailussa? (N=19)</c:v>
            </c:pt>
          </c:strCache>
        </c:strRef>
      </c:tx>
      <c:layout>
        <c:manualLayout>
          <c:xMode val="edge"/>
          <c:yMode val="edge"/>
          <c:x val="0.12692058616867924"/>
          <c:y val="1.11302763810202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626590900131551"/>
          <c:y val="0.20903517941288208"/>
          <c:w val="0.74742776798737354"/>
          <c:h val="0.72062251208709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work!$A$24</c:f>
              <c:strCache>
                <c:ptCount val="1"/>
                <c:pt idx="0">
                  <c:v>Kuvittele tilanne, jossa kunnat kilpailevat keskenään siitä, missä kunnassa tai kaupungissa on ”hyvä asua ja elää”. Miten arvioisit nykyisen kotikuntasi sijoittuvan kilpailussa?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work!$B$23:$D$23</c:f>
              <c:strCache>
                <c:ptCount val="3"/>
                <c:pt idx="0">
                  <c:v>Kaikki ARTTU2-kunnat</c:v>
                </c:pt>
                <c:pt idx="1">
                  <c:v>alle 5000 as. kunnat</c:v>
                </c:pt>
                <c:pt idx="2">
                  <c:v>Keitele</c:v>
                </c:pt>
              </c:strCache>
            </c:strRef>
          </c:cat>
          <c:val>
            <c:numRef>
              <c:f>work!$B$24:$D$24</c:f>
              <c:numCache>
                <c:formatCode>0.0</c:formatCode>
                <c:ptCount val="3"/>
                <c:pt idx="0">
                  <c:v>72.8</c:v>
                </c:pt>
                <c:pt idx="1">
                  <c:v>56.5</c:v>
                </c:pt>
                <c:pt idx="2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F-4B16-9A62-90A71A646C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25647"/>
        <c:axId val="1044826895"/>
      </c:barChart>
      <c:catAx>
        <c:axId val="1044825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6895"/>
        <c:crosses val="autoZero"/>
        <c:auto val="1"/>
        <c:lblAlgn val="ctr"/>
        <c:lblOffset val="100"/>
        <c:noMultiLvlLbl val="0"/>
      </c:catAx>
      <c:valAx>
        <c:axId val="104482689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56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work!$F$26</c:f>
          <c:strCache>
            <c:ptCount val="1"/>
            <c:pt idx="0">
              <c:v>14. Mitkä ovat mielestäsi kolme tärkeintä asiaa hyvässä kotikunnassa/-kaupungissa? (N=19)</c:v>
            </c:pt>
          </c:strCache>
        </c:strRef>
      </c:tx>
      <c:layout>
        <c:manualLayout>
          <c:xMode val="edge"/>
          <c:yMode val="edge"/>
          <c:x val="0.18942500522935279"/>
          <c:y val="7.20772668300418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1070474123114322"/>
          <c:y val="0.10904314306826683"/>
          <c:w val="0.65292148949521756"/>
          <c:h val="0.8421885836419791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work!$D$26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work!$D$27:$D$36</c:f>
              <c:numCache>
                <c:formatCode>0.0</c:formatCode>
                <c:ptCount val="10"/>
                <c:pt idx="0">
                  <c:v>10.5</c:v>
                </c:pt>
                <c:pt idx="1">
                  <c:v>57.9</c:v>
                </c:pt>
                <c:pt idx="2">
                  <c:v>31.6</c:v>
                </c:pt>
                <c:pt idx="3">
                  <c:v>5.3</c:v>
                </c:pt>
                <c:pt idx="4">
                  <c:v>52.6</c:v>
                </c:pt>
                <c:pt idx="5">
                  <c:v>26.3</c:v>
                </c:pt>
                <c:pt idx="6">
                  <c:v>26.3</c:v>
                </c:pt>
                <c:pt idx="7">
                  <c:v>31.6</c:v>
                </c:pt>
                <c:pt idx="8">
                  <c:v>57.9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9-4C8D-A9AE-D808A75ACF75}"/>
            </c:ext>
          </c:extLst>
        </c:ser>
        <c:ser>
          <c:idx val="1"/>
          <c:order val="1"/>
          <c:tx>
            <c:strRef>
              <c:f>work!$C$26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work!$C$27:$C$36</c:f>
              <c:numCache>
                <c:formatCode>0.0</c:formatCode>
                <c:ptCount val="10"/>
                <c:pt idx="0">
                  <c:v>10.9</c:v>
                </c:pt>
                <c:pt idx="1">
                  <c:v>61.7</c:v>
                </c:pt>
                <c:pt idx="2">
                  <c:v>17.5</c:v>
                </c:pt>
                <c:pt idx="3">
                  <c:v>25.1</c:v>
                </c:pt>
                <c:pt idx="4">
                  <c:v>69.900000000000006</c:v>
                </c:pt>
                <c:pt idx="5">
                  <c:v>23.5</c:v>
                </c:pt>
                <c:pt idx="6">
                  <c:v>10.9</c:v>
                </c:pt>
                <c:pt idx="7">
                  <c:v>23.5</c:v>
                </c:pt>
                <c:pt idx="8">
                  <c:v>51.9</c:v>
                </c:pt>
                <c:pt idx="9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9-4C8D-A9AE-D808A75ACF75}"/>
            </c:ext>
          </c:extLst>
        </c:ser>
        <c:ser>
          <c:idx val="0"/>
          <c:order val="2"/>
          <c:tx>
            <c:strRef>
              <c:f>work!$B$26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work!$B$27:$B$36</c:f>
              <c:numCache>
                <c:formatCode>0.0</c:formatCode>
                <c:ptCount val="10"/>
                <c:pt idx="0">
                  <c:v>10.7</c:v>
                </c:pt>
                <c:pt idx="1">
                  <c:v>66.099999999999994</c:v>
                </c:pt>
                <c:pt idx="2">
                  <c:v>23.4</c:v>
                </c:pt>
                <c:pt idx="3">
                  <c:v>28.8</c:v>
                </c:pt>
                <c:pt idx="4">
                  <c:v>66.099999999999994</c:v>
                </c:pt>
                <c:pt idx="5">
                  <c:v>21.9</c:v>
                </c:pt>
                <c:pt idx="6">
                  <c:v>12.1</c:v>
                </c:pt>
                <c:pt idx="7">
                  <c:v>30</c:v>
                </c:pt>
                <c:pt idx="8">
                  <c:v>38</c:v>
                </c:pt>
                <c:pt idx="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C8D-A9AE-D808A75AC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58159"/>
        <c:axId val="1048355247"/>
      </c:barChart>
      <c:catAx>
        <c:axId val="10483581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5247"/>
        <c:crosses val="autoZero"/>
        <c:auto val="1"/>
        <c:lblAlgn val="ctr"/>
        <c:lblOffset val="100"/>
        <c:noMultiLvlLbl val="0"/>
      </c:catAx>
      <c:valAx>
        <c:axId val="104835524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8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work!$F$38</c:f>
          <c:strCache>
            <c:ptCount val="1"/>
            <c:pt idx="0">
              <c:v>15. Kun ajattelet tulevaa valtuustokautta (2017–2021), miten paljon arvioit seuraavien asioiden vaikuttavan kuntasi toimintaedellytyksiin? (N=19)</c:v>
            </c:pt>
          </c:strCache>
        </c:strRef>
      </c:tx>
      <c:layout>
        <c:manualLayout>
          <c:xMode val="edge"/>
          <c:yMode val="edge"/>
          <c:x val="0.10249140818723627"/>
          <c:y val="2.2871240715803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6934209190701989"/>
          <c:y val="0.14799755443374968"/>
          <c:w val="0.59828221748524524"/>
          <c:h val="0.7759278668515214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work!$D$38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work!$D$39:$D$46</c:f>
              <c:numCache>
                <c:formatCode>0.0</c:formatCode>
                <c:ptCount val="8"/>
                <c:pt idx="0">
                  <c:v>83.3</c:v>
                </c:pt>
                <c:pt idx="1">
                  <c:v>94.7</c:v>
                </c:pt>
                <c:pt idx="2">
                  <c:v>78.900000000000006</c:v>
                </c:pt>
                <c:pt idx="3">
                  <c:v>10.5</c:v>
                </c:pt>
                <c:pt idx="4">
                  <c:v>68.400000000000006</c:v>
                </c:pt>
                <c:pt idx="5">
                  <c:v>31.6</c:v>
                </c:pt>
                <c:pt idx="6">
                  <c:v>94.7</c:v>
                </c:pt>
                <c:pt idx="7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6-42A7-8017-B225DA34B4E8}"/>
            </c:ext>
          </c:extLst>
        </c:ser>
        <c:ser>
          <c:idx val="1"/>
          <c:order val="1"/>
          <c:tx>
            <c:strRef>
              <c:f>work!$C$38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work!$C$39:$C$46</c:f>
              <c:numCache>
                <c:formatCode>0.0</c:formatCode>
                <c:ptCount val="8"/>
                <c:pt idx="0">
                  <c:v>85.6</c:v>
                </c:pt>
                <c:pt idx="1">
                  <c:v>97.8</c:v>
                </c:pt>
                <c:pt idx="2">
                  <c:v>63.9</c:v>
                </c:pt>
                <c:pt idx="3">
                  <c:v>29.1</c:v>
                </c:pt>
                <c:pt idx="4">
                  <c:v>49.2</c:v>
                </c:pt>
                <c:pt idx="5">
                  <c:v>37.200000000000003</c:v>
                </c:pt>
                <c:pt idx="6">
                  <c:v>78.3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6-42A7-8017-B225DA34B4E8}"/>
            </c:ext>
          </c:extLst>
        </c:ser>
        <c:ser>
          <c:idx val="0"/>
          <c:order val="2"/>
          <c:tx>
            <c:strRef>
              <c:f>work!$B$38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work!$B$39:$B$46</c:f>
              <c:numCache>
                <c:formatCode>0.0</c:formatCode>
                <c:ptCount val="8"/>
                <c:pt idx="0">
                  <c:v>82.1</c:v>
                </c:pt>
                <c:pt idx="1">
                  <c:v>92</c:v>
                </c:pt>
                <c:pt idx="2">
                  <c:v>65.599999999999994</c:v>
                </c:pt>
                <c:pt idx="3">
                  <c:v>24.1</c:v>
                </c:pt>
                <c:pt idx="4">
                  <c:v>48.9</c:v>
                </c:pt>
                <c:pt idx="5">
                  <c:v>37.6</c:v>
                </c:pt>
                <c:pt idx="6">
                  <c:v>79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6-42A7-8017-B225DA34B4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41519"/>
        <c:axId val="1048354415"/>
      </c:barChart>
      <c:catAx>
        <c:axId val="10483415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4415"/>
        <c:crosses val="autoZero"/>
        <c:auto val="1"/>
        <c:lblAlgn val="ctr"/>
        <c:lblOffset val="100"/>
        <c:noMultiLvlLbl val="0"/>
      </c:catAx>
      <c:valAx>
        <c:axId val="104835441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25508620814663"/>
          <c:y val="0.94828622412088948"/>
          <c:w val="0.56148982758370669"/>
          <c:h val="2.3631776440750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work!$F$48</c:f>
          <c:strCache>
            <c:ptCount val="1"/>
            <c:pt idx="0">
              <c:v>16. Kun ajattelet suunnitteilla olevaa sote- ja maakuntauudistusta oman kuntasi näkökulmasta, koetko, että uudistuksella on enemmän myönteisiä vai kielteisiä vaikutuksia seuraaviin asioihin? (N=19)</c:v>
            </c:pt>
          </c:strCache>
        </c:strRef>
      </c:tx>
      <c:layout>
        <c:manualLayout>
          <c:xMode val="edge"/>
          <c:yMode val="edge"/>
          <c:x val="0.13929112086795603"/>
          <c:y val="1.1871843445355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186712144852861"/>
          <c:y val="0.13916447750189845"/>
          <c:w val="0.48204071265285386"/>
          <c:h val="0.8108716306341193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work!$D$48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work!$D$49:$D$56</c:f>
              <c:numCache>
                <c:formatCode>0.0</c:formatCode>
                <c:ptCount val="8"/>
                <c:pt idx="0">
                  <c:v>42.1</c:v>
                </c:pt>
                <c:pt idx="1">
                  <c:v>36.799999999999997</c:v>
                </c:pt>
                <c:pt idx="2">
                  <c:v>63.2</c:v>
                </c:pt>
                <c:pt idx="3">
                  <c:v>78.900000000000006</c:v>
                </c:pt>
                <c:pt idx="4">
                  <c:v>10.5</c:v>
                </c:pt>
                <c:pt idx="5">
                  <c:v>47.4</c:v>
                </c:pt>
                <c:pt idx="6">
                  <c:v>68.400000000000006</c:v>
                </c:pt>
                <c:pt idx="7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5-4718-BFC8-164608C33347}"/>
            </c:ext>
          </c:extLst>
        </c:ser>
        <c:ser>
          <c:idx val="1"/>
          <c:order val="1"/>
          <c:tx>
            <c:strRef>
              <c:f>work!$C$48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work!$C$49:$C$56</c:f>
              <c:numCache>
                <c:formatCode>0.0</c:formatCode>
                <c:ptCount val="8"/>
                <c:pt idx="0">
                  <c:v>16.600000000000001</c:v>
                </c:pt>
                <c:pt idx="1">
                  <c:v>30.2</c:v>
                </c:pt>
                <c:pt idx="2">
                  <c:v>39.4</c:v>
                </c:pt>
                <c:pt idx="3">
                  <c:v>34.799999999999997</c:v>
                </c:pt>
                <c:pt idx="4">
                  <c:v>4.4000000000000004</c:v>
                </c:pt>
                <c:pt idx="5">
                  <c:v>21.5</c:v>
                </c:pt>
                <c:pt idx="6">
                  <c:v>38.299999999999997</c:v>
                </c:pt>
                <c:pt idx="7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5-4718-BFC8-164608C33347}"/>
            </c:ext>
          </c:extLst>
        </c:ser>
        <c:ser>
          <c:idx val="0"/>
          <c:order val="2"/>
          <c:tx>
            <c:strRef>
              <c:f>work!$B$48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work!$B$49:$B$56</c:f>
              <c:numCache>
                <c:formatCode>0.0</c:formatCode>
                <c:ptCount val="8"/>
                <c:pt idx="0">
                  <c:v>24.1</c:v>
                </c:pt>
                <c:pt idx="1">
                  <c:v>37.4</c:v>
                </c:pt>
                <c:pt idx="2">
                  <c:v>43.4</c:v>
                </c:pt>
                <c:pt idx="3">
                  <c:v>41.3</c:v>
                </c:pt>
                <c:pt idx="4">
                  <c:v>6.2</c:v>
                </c:pt>
                <c:pt idx="5">
                  <c:v>20.7</c:v>
                </c:pt>
                <c:pt idx="6">
                  <c:v>52</c:v>
                </c:pt>
                <c:pt idx="7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5-4718-BFC8-164608C333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7856175"/>
        <c:axId val="507854095"/>
      </c:barChart>
      <c:catAx>
        <c:axId val="5078561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4095"/>
        <c:crosses val="autoZero"/>
        <c:auto val="1"/>
        <c:lblAlgn val="ctr"/>
        <c:lblOffset val="100"/>
        <c:noMultiLvlLbl val="0"/>
      </c:catAx>
      <c:valAx>
        <c:axId val="50785409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617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work!$F$58</c:f>
          <c:strCache>
            <c:ptCount val="1"/>
            <c:pt idx="0">
              <c:v>17. Kuinka hyvin koet tietäväsi, miten sote- ja maakuntauudistuksen valmistelu etenee… (N=19)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815788366421027"/>
          <c:y val="0.13100373289091663"/>
          <c:w val="0.70576325140120333"/>
          <c:h val="0.772970179328994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work!$B$58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work!$B$59:$B$61</c:f>
              <c:numCache>
                <c:formatCode>0.0</c:formatCode>
                <c:ptCount val="3"/>
                <c:pt idx="0">
                  <c:v>69.3</c:v>
                </c:pt>
                <c:pt idx="1">
                  <c:v>49.8</c:v>
                </c:pt>
                <c:pt idx="2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E-40DB-BCD9-68118BFEFFD5}"/>
            </c:ext>
          </c:extLst>
        </c:ser>
        <c:ser>
          <c:idx val="1"/>
          <c:order val="1"/>
          <c:tx>
            <c:strRef>
              <c:f>work!$C$58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work!$C$59:$C$61</c:f>
              <c:numCache>
                <c:formatCode>0.0</c:formatCode>
                <c:ptCount val="3"/>
                <c:pt idx="0">
                  <c:v>73.5</c:v>
                </c:pt>
                <c:pt idx="1">
                  <c:v>59.7</c:v>
                </c:pt>
                <c:pt idx="2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E-40DB-BCD9-68118BFEFFD5}"/>
            </c:ext>
          </c:extLst>
        </c:ser>
        <c:ser>
          <c:idx val="2"/>
          <c:order val="2"/>
          <c:tx>
            <c:strRef>
              <c:f>work!$D$58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work!$D$59:$D$61</c:f>
              <c:numCache>
                <c:formatCode>0.0</c:formatCode>
                <c:ptCount val="3"/>
                <c:pt idx="0">
                  <c:v>68.400000000000006</c:v>
                </c:pt>
                <c:pt idx="1">
                  <c:v>36.799999999999997</c:v>
                </c:pt>
                <c:pt idx="2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E-40DB-BCD9-68118BFEF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2136207"/>
        <c:axId val="382139951"/>
      </c:barChart>
      <c:catAx>
        <c:axId val="382136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9951"/>
        <c:crosses val="autoZero"/>
        <c:auto val="1"/>
        <c:lblAlgn val="ctr"/>
        <c:lblOffset val="100"/>
        <c:noMultiLvlLbl val="0"/>
      </c:catAx>
      <c:valAx>
        <c:axId val="38213995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62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work!$F$88</c:f>
          <c:strCache>
            <c:ptCount val="1"/>
            <c:pt idx="0">
              <c:v>19. Miten suurta vaikutusvaltaa seuraavilla ryhmillä/toimijoilla on mielestäsi kuntasi poliittisessa päätöksenteossa?  (N=19)</c:v>
            </c:pt>
          </c:strCache>
        </c:strRef>
      </c:tx>
      <c:layout>
        <c:manualLayout>
          <c:xMode val="edge"/>
          <c:yMode val="edge"/>
          <c:x val="0.15530882833194237"/>
          <c:y val="2.3148098508962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157124714249429"/>
          <c:y val="0.14929787234042552"/>
          <c:w val="0.71233658695888824"/>
          <c:h val="0.752183447813704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work!$B$88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work!$B$89:$B$94</c:f>
              <c:numCache>
                <c:formatCode>0.0</c:formatCode>
                <c:ptCount val="6"/>
                <c:pt idx="0">
                  <c:v>63.6</c:v>
                </c:pt>
                <c:pt idx="1">
                  <c:v>94.1</c:v>
                </c:pt>
                <c:pt idx="2">
                  <c:v>55</c:v>
                </c:pt>
                <c:pt idx="3">
                  <c:v>83.2</c:v>
                </c:pt>
                <c:pt idx="4">
                  <c:v>64.2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F-4F52-BD36-C650E66D8870}"/>
            </c:ext>
          </c:extLst>
        </c:ser>
        <c:ser>
          <c:idx val="1"/>
          <c:order val="1"/>
          <c:tx>
            <c:strRef>
              <c:f>work!$C$88</c:f>
              <c:strCache>
                <c:ptCount val="1"/>
                <c:pt idx="0">
                  <c:v>alle 5000 as. kunnat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work!$C$89:$C$94</c:f>
              <c:numCache>
                <c:formatCode>0.0</c:formatCode>
                <c:ptCount val="6"/>
                <c:pt idx="0">
                  <c:v>62.6</c:v>
                </c:pt>
                <c:pt idx="1">
                  <c:v>95</c:v>
                </c:pt>
                <c:pt idx="2">
                  <c:v>42.5</c:v>
                </c:pt>
                <c:pt idx="3">
                  <c:v>78.8</c:v>
                </c:pt>
                <c:pt idx="4">
                  <c:v>66.099999999999994</c:v>
                </c:pt>
                <c:pt idx="5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F-4F52-BD36-C650E66D8870}"/>
            </c:ext>
          </c:extLst>
        </c:ser>
        <c:ser>
          <c:idx val="2"/>
          <c:order val="2"/>
          <c:tx>
            <c:strRef>
              <c:f>work!$D$88</c:f>
              <c:strCache>
                <c:ptCount val="1"/>
                <c:pt idx="0">
                  <c:v>Keitele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work!$D$89:$D$94</c:f>
              <c:numCache>
                <c:formatCode>0.0</c:formatCode>
                <c:ptCount val="6"/>
                <c:pt idx="0">
                  <c:v>78.900000000000006</c:v>
                </c:pt>
                <c:pt idx="1">
                  <c:v>94.7</c:v>
                </c:pt>
                <c:pt idx="2">
                  <c:v>78.900000000000006</c:v>
                </c:pt>
                <c:pt idx="3">
                  <c:v>94.7</c:v>
                </c:pt>
                <c:pt idx="4">
                  <c:v>57.9</c:v>
                </c:pt>
                <c:pt idx="5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F-4F52-BD36-C650E66D88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2476015"/>
        <c:axId val="512477679"/>
      </c:barChart>
      <c:catAx>
        <c:axId val="512476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7679"/>
        <c:crosses val="autoZero"/>
        <c:auto val="1"/>
        <c:lblAlgn val="ctr"/>
        <c:lblOffset val="100"/>
        <c:noMultiLvlLbl val="0"/>
      </c:catAx>
      <c:valAx>
        <c:axId val="51247767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60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80</xdr:row>
      <xdr:rowOff>95250</xdr:rowOff>
    </xdr:from>
    <xdr:ext cx="184731" cy="232628"/>
    <xdr:sp macro="" textlink="">
      <xdr:nvSpPr>
        <xdr:cNvPr id="2" name="Tekstiruutu 1"/>
        <xdr:cNvSpPr txBox="1"/>
      </xdr:nvSpPr>
      <xdr:spPr>
        <a:xfrm>
          <a:off x="76200" y="14649450"/>
          <a:ext cx="184731" cy="23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oneCellAnchor>
    <xdr:from>
      <xdr:col>0</xdr:col>
      <xdr:colOff>19050</xdr:colOff>
      <xdr:row>92</xdr:row>
      <xdr:rowOff>95250</xdr:rowOff>
    </xdr:from>
    <xdr:ext cx="184731" cy="201465"/>
    <xdr:sp macro="" textlink="">
      <xdr:nvSpPr>
        <xdr:cNvPr id="88" name="Tekstiruutu 87"/>
        <xdr:cNvSpPr txBox="1"/>
      </xdr:nvSpPr>
      <xdr:spPr>
        <a:xfrm>
          <a:off x="19050" y="16821150"/>
          <a:ext cx="184731" cy="201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 editAs="oneCell">
    <xdr:from>
      <xdr:col>1</xdr:col>
      <xdr:colOff>28575</xdr:colOff>
      <xdr:row>0</xdr:row>
      <xdr:rowOff>28575</xdr:rowOff>
    </xdr:from>
    <xdr:to>
      <xdr:col>3</xdr:col>
      <xdr:colOff>724215</xdr:colOff>
      <xdr:row>4</xdr:row>
      <xdr:rowOff>19150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2257740" cy="714475"/>
        </a:xfrm>
        <a:prstGeom prst="rect">
          <a:avLst/>
        </a:prstGeom>
      </xdr:spPr>
    </xdr:pic>
    <xdr:clientData/>
  </xdr:twoCellAnchor>
  <xdr:twoCellAnchor>
    <xdr:from>
      <xdr:col>2</xdr:col>
      <xdr:colOff>449581</xdr:colOff>
      <xdr:row>367</xdr:row>
      <xdr:rowOff>135256</xdr:rowOff>
    </xdr:from>
    <xdr:to>
      <xdr:col>2</xdr:col>
      <xdr:colOff>495300</xdr:colOff>
      <xdr:row>368</xdr:row>
      <xdr:rowOff>0</xdr:rowOff>
    </xdr:to>
    <xdr:sp macro="" textlink="">
      <xdr:nvSpPr>
        <xdr:cNvPr id="11" name="Tekstiruutu 10"/>
        <xdr:cNvSpPr txBox="1"/>
      </xdr:nvSpPr>
      <xdr:spPr>
        <a:xfrm>
          <a:off x="1278256" y="4781740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9</xdr:col>
      <xdr:colOff>0</xdr:colOff>
      <xdr:row>73</xdr:row>
      <xdr:rowOff>104775</xdr:rowOff>
    </xdr:to>
    <xdr:graphicFrame macro="">
      <xdr:nvGraphicFramePr>
        <xdr:cNvPr id="36" name="Kaavi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31751</xdr:colOff>
      <xdr:row>74</xdr:row>
      <xdr:rowOff>1588</xdr:rowOff>
    </xdr:from>
    <xdr:to>
      <xdr:col>8</xdr:col>
      <xdr:colOff>1422400</xdr:colOff>
      <xdr:row>102</xdr:row>
      <xdr:rowOff>7938</xdr:rowOff>
    </xdr:to>
    <xdr:graphicFrame macro="">
      <xdr:nvGraphicFramePr>
        <xdr:cNvPr id="40" name="Kaavi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17463</xdr:colOff>
      <xdr:row>104</xdr:row>
      <xdr:rowOff>30162</xdr:rowOff>
    </xdr:from>
    <xdr:to>
      <xdr:col>9</xdr:col>
      <xdr:colOff>9526</xdr:colOff>
      <xdr:row>155</xdr:row>
      <xdr:rowOff>30162</xdr:rowOff>
    </xdr:to>
    <xdr:graphicFrame macro="">
      <xdr:nvGraphicFramePr>
        <xdr:cNvPr id="41" name="Kaavio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31116</xdr:colOff>
      <xdr:row>156</xdr:row>
      <xdr:rowOff>146685</xdr:rowOff>
    </xdr:from>
    <xdr:to>
      <xdr:col>8</xdr:col>
      <xdr:colOff>1403350</xdr:colOff>
      <xdr:row>183</xdr:row>
      <xdr:rowOff>15875</xdr:rowOff>
    </xdr:to>
    <xdr:graphicFrame macro="">
      <xdr:nvGraphicFramePr>
        <xdr:cNvPr id="43" name="Kaavi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13970</xdr:colOff>
      <xdr:row>208</xdr:row>
      <xdr:rowOff>66040</xdr:rowOff>
    </xdr:from>
    <xdr:to>
      <xdr:col>8</xdr:col>
      <xdr:colOff>1427480</xdr:colOff>
      <xdr:row>259</xdr:row>
      <xdr:rowOff>132080</xdr:rowOff>
    </xdr:to>
    <xdr:graphicFrame macro="">
      <xdr:nvGraphicFramePr>
        <xdr:cNvPr id="44" name="Kaavi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15876</xdr:colOff>
      <xdr:row>259</xdr:row>
      <xdr:rowOff>163513</xdr:rowOff>
    </xdr:from>
    <xdr:to>
      <xdr:col>8</xdr:col>
      <xdr:colOff>1417638</xdr:colOff>
      <xdr:row>312</xdr:row>
      <xdr:rowOff>23813</xdr:rowOff>
    </xdr:to>
    <xdr:graphicFrame macro="">
      <xdr:nvGraphicFramePr>
        <xdr:cNvPr id="46" name="Kaavi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31751</xdr:colOff>
      <xdr:row>312</xdr:row>
      <xdr:rowOff>88265</xdr:rowOff>
    </xdr:from>
    <xdr:to>
      <xdr:col>8</xdr:col>
      <xdr:colOff>1420813</xdr:colOff>
      <xdr:row>362</xdr:row>
      <xdr:rowOff>118110</xdr:rowOff>
    </xdr:to>
    <xdr:graphicFrame macro="">
      <xdr:nvGraphicFramePr>
        <xdr:cNvPr id="47" name="Kaavi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22860</xdr:colOff>
      <xdr:row>364</xdr:row>
      <xdr:rowOff>60960</xdr:rowOff>
    </xdr:from>
    <xdr:to>
      <xdr:col>9</xdr:col>
      <xdr:colOff>19050</xdr:colOff>
      <xdr:row>400</xdr:row>
      <xdr:rowOff>12700</xdr:rowOff>
    </xdr:to>
    <xdr:graphicFrame macro="">
      <xdr:nvGraphicFramePr>
        <xdr:cNvPr id="48" name="Kaavio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520</xdr:row>
      <xdr:rowOff>46037</xdr:rowOff>
    </xdr:from>
    <xdr:to>
      <xdr:col>8</xdr:col>
      <xdr:colOff>1446212</xdr:colOff>
      <xdr:row>555</xdr:row>
      <xdr:rowOff>14287</xdr:rowOff>
    </xdr:to>
    <xdr:graphicFrame macro="">
      <xdr:nvGraphicFramePr>
        <xdr:cNvPr id="50" name="Kaavi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416</xdr:row>
      <xdr:rowOff>9525</xdr:rowOff>
    </xdr:from>
    <xdr:to>
      <xdr:col>8</xdr:col>
      <xdr:colOff>1439862</xdr:colOff>
      <xdr:row>467</xdr:row>
      <xdr:rowOff>155575</xdr:rowOff>
    </xdr:to>
    <xdr:graphicFrame macro="">
      <xdr:nvGraphicFramePr>
        <xdr:cNvPr id="51" name="Kaavi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</xdr:colOff>
      <xdr:row>468</xdr:row>
      <xdr:rowOff>24765</xdr:rowOff>
    </xdr:from>
    <xdr:to>
      <xdr:col>8</xdr:col>
      <xdr:colOff>1380490</xdr:colOff>
      <xdr:row>519</xdr:row>
      <xdr:rowOff>107315</xdr:rowOff>
    </xdr:to>
    <xdr:graphicFrame macro="">
      <xdr:nvGraphicFramePr>
        <xdr:cNvPr id="52" name="Kaavio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572</xdr:row>
      <xdr:rowOff>9525</xdr:rowOff>
    </xdr:from>
    <xdr:to>
      <xdr:col>8</xdr:col>
      <xdr:colOff>1416050</xdr:colOff>
      <xdr:row>615</xdr:row>
      <xdr:rowOff>93345</xdr:rowOff>
    </xdr:to>
    <xdr:graphicFrame macro="">
      <xdr:nvGraphicFramePr>
        <xdr:cNvPr id="53" name="Kaavio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623</xdr:row>
      <xdr:rowOff>166688</xdr:rowOff>
    </xdr:from>
    <xdr:to>
      <xdr:col>8</xdr:col>
      <xdr:colOff>1390650</xdr:colOff>
      <xdr:row>653</xdr:row>
      <xdr:rowOff>82550</xdr:rowOff>
    </xdr:to>
    <xdr:graphicFrame macro="">
      <xdr:nvGraphicFramePr>
        <xdr:cNvPr id="54" name="Kaavio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653</xdr:row>
      <xdr:rowOff>127000</xdr:rowOff>
    </xdr:from>
    <xdr:to>
      <xdr:col>8</xdr:col>
      <xdr:colOff>1377950</xdr:colOff>
      <xdr:row>674</xdr:row>
      <xdr:rowOff>63500</xdr:rowOff>
    </xdr:to>
    <xdr:graphicFrame macro="">
      <xdr:nvGraphicFramePr>
        <xdr:cNvPr id="55" name="Kaavio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639763</xdr:colOff>
      <xdr:row>108</xdr:row>
      <xdr:rowOff>155575</xdr:rowOff>
    </xdr:from>
    <xdr:to>
      <xdr:col>8</xdr:col>
      <xdr:colOff>1077913</xdr:colOff>
      <xdr:row>110</xdr:row>
      <xdr:rowOff>111125</xdr:rowOff>
    </xdr:to>
    <xdr:sp macro="" textlink="">
      <xdr:nvSpPr>
        <xdr:cNvPr id="3" name="Tekstiruutu 2"/>
        <xdr:cNvSpPr txBox="1"/>
      </xdr:nvSpPr>
      <xdr:spPr>
        <a:xfrm>
          <a:off x="1433513" y="19094450"/>
          <a:ext cx="49625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/>
            <a:t>% vastaajista: </a:t>
          </a:r>
          <a:r>
            <a:rPr lang="fi-FI" sz="1000" i="1"/>
            <a:t>asia </a:t>
          </a:r>
          <a:r>
            <a:rPr lang="fi-FI" sz="1000" i="1" u="sng"/>
            <a:t>vähentää</a:t>
          </a:r>
          <a:r>
            <a:rPr lang="fi-FI" sz="1000" i="1"/>
            <a:t> halukkuutta asettua ehdolle </a:t>
          </a:r>
        </a:p>
      </xdr:txBody>
    </xdr:sp>
    <xdr:clientData/>
  </xdr:twoCellAnchor>
  <xdr:twoCellAnchor>
    <xdr:from>
      <xdr:col>4</xdr:col>
      <xdr:colOff>628650</xdr:colOff>
      <xdr:row>53</xdr:row>
      <xdr:rowOff>128587</xdr:rowOff>
    </xdr:from>
    <xdr:to>
      <xdr:col>6</xdr:col>
      <xdr:colOff>527050</xdr:colOff>
      <xdr:row>55</xdr:row>
      <xdr:rowOff>33337</xdr:rowOff>
    </xdr:to>
    <xdr:sp macro="" textlink="">
      <xdr:nvSpPr>
        <xdr:cNvPr id="4" name="Tekstiruutu 3"/>
        <xdr:cNvSpPr txBox="1"/>
      </xdr:nvSpPr>
      <xdr:spPr>
        <a:xfrm>
          <a:off x="2930525" y="9463087"/>
          <a:ext cx="1406525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 vastaajista</a:t>
          </a:r>
          <a:r>
            <a:rPr lang="fi-FI" sz="900"/>
            <a:t> </a:t>
          </a:r>
        </a:p>
      </xdr:txBody>
    </xdr:sp>
    <xdr:clientData/>
  </xdr:twoCellAnchor>
  <xdr:twoCellAnchor>
    <xdr:from>
      <xdr:col>1</xdr:col>
      <xdr:colOff>661989</xdr:colOff>
      <xdr:row>420</xdr:row>
      <xdr:rowOff>157161</xdr:rowOff>
    </xdr:from>
    <xdr:to>
      <xdr:col>8</xdr:col>
      <xdr:colOff>1374776</xdr:colOff>
      <xdr:row>422</xdr:row>
      <xdr:rowOff>66674</xdr:rowOff>
    </xdr:to>
    <xdr:sp macro="" textlink="">
      <xdr:nvSpPr>
        <xdr:cNvPr id="6" name="Tekstiruutu 5"/>
        <xdr:cNvSpPr txBox="1"/>
      </xdr:nvSpPr>
      <xdr:spPr>
        <a:xfrm>
          <a:off x="700089" y="72270936"/>
          <a:ext cx="6146800" cy="25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effectLst/>
            </a:rPr>
            <a:t>% vastaajista</a:t>
          </a:r>
          <a:r>
            <a:rPr lang="en-US" sz="900" i="1">
              <a:effectLst/>
            </a:rPr>
            <a:t>: valinnut ko. asian </a:t>
          </a:r>
          <a:r>
            <a:rPr lang="en-US" sz="900" i="1" u="sng">
              <a:effectLst/>
            </a:rPr>
            <a:t>7 tärkeimmän</a:t>
          </a:r>
          <a:r>
            <a:rPr lang="en-US" sz="900" i="1" u="none">
              <a:effectLst/>
            </a:rPr>
            <a:t> </a:t>
          </a:r>
          <a:r>
            <a:rPr lang="en-US" sz="900" i="1">
              <a:effectLst/>
            </a:rPr>
            <a:t>toimenpiteen joukkoon oman</a:t>
          </a:r>
          <a:r>
            <a:rPr lang="en-US" sz="900" i="1" baseline="0">
              <a:effectLst/>
            </a:rPr>
            <a:t> </a:t>
          </a:r>
          <a:r>
            <a:rPr lang="en-US" sz="900" i="1">
              <a:effectLst/>
            </a:rPr>
            <a:t>kunnan näkökulmasta  </a:t>
          </a:r>
          <a:endParaRPr lang="fi-FI" sz="900"/>
        </a:p>
      </xdr:txBody>
    </xdr:sp>
    <xdr:clientData/>
  </xdr:twoCellAnchor>
  <xdr:twoCellAnchor>
    <xdr:from>
      <xdr:col>2</xdr:col>
      <xdr:colOff>688975</xdr:colOff>
      <xdr:row>576</xdr:row>
      <xdr:rowOff>31750</xdr:rowOff>
    </xdr:from>
    <xdr:to>
      <xdr:col>8</xdr:col>
      <xdr:colOff>511175</xdr:colOff>
      <xdr:row>578</xdr:row>
      <xdr:rowOff>19050</xdr:rowOff>
    </xdr:to>
    <xdr:sp macro="" textlink="">
      <xdr:nvSpPr>
        <xdr:cNvPr id="7" name="Tekstiruutu 6"/>
        <xdr:cNvSpPr txBox="1"/>
      </xdr:nvSpPr>
      <xdr:spPr>
        <a:xfrm>
          <a:off x="1503363" y="98891725"/>
          <a:ext cx="4479925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yhteistyöhakuinen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hyvin yhteistyöhakuinen</a:t>
          </a:r>
          <a:r>
            <a:rPr lang="en-US" sz="900" i="1" baseline="0">
              <a:effectLst/>
            </a:rPr>
            <a:t> </a:t>
          </a:r>
          <a:endParaRPr lang="fi-FI" sz="9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0.24189</cdr:x>
      <cdr:y>0.11218</cdr:y>
    </cdr:from>
    <cdr:to>
      <cdr:x>0.68582</cdr:x>
      <cdr:y>0.16526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657350" y="590550"/>
          <a:ext cx="304165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</a:t>
          </a:r>
          <a:r>
            <a:rPr lang="en-US" sz="900" i="1">
              <a:effectLst/>
            </a:rPr>
            <a:t> samaa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täysin samaa mieltä</a:t>
          </a:r>
          <a:endParaRPr lang="fi-FI" sz="9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0.37604</cdr:x>
      <cdr:y>0.16338</cdr:y>
    </cdr:from>
    <cdr:to>
      <cdr:x>0.82173</cdr:x>
      <cdr:y>0.23698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571750" y="577850"/>
          <a:ext cx="304800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hyvin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erittäin hyvin </a:t>
          </a:r>
          <a:endParaRPr lang="fi-FI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</cdr:x>
      <cdr:y>0.13871</cdr:y>
    </cdr:from>
    <cdr:to>
      <cdr:x>0.68889</cdr:x>
      <cdr:y>0.19683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914650" y="666750"/>
          <a:ext cx="180975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/>
            <a:t>% vastaajista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0.19711</cdr:x>
      <cdr:y>0.13096</cdr:y>
    </cdr:from>
    <cdr:to>
      <cdr:x>0.72464</cdr:x>
      <cdr:y>0.18939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350010" y="554990"/>
          <a:ext cx="36131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0.24625</cdr:x>
      <cdr:y>0.13245</cdr:y>
    </cdr:from>
    <cdr:to>
      <cdr:x>0.83683</cdr:x>
      <cdr:y>0.18789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686560" y="561340"/>
          <a:ext cx="40449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effectLst/>
            </a:rPr>
            <a:t>% vastaajista: </a:t>
          </a:r>
          <a:r>
            <a:rPr lang="en-US" sz="1000" i="1">
              <a:effectLst/>
            </a:rPr>
            <a:t>kuntani sijoittuisi hyvin </a:t>
          </a:r>
          <a:r>
            <a:rPr lang="en-US" sz="1000" i="0">
              <a:effectLst/>
            </a:rPr>
            <a:t>tai</a:t>
          </a:r>
          <a:r>
            <a:rPr lang="en-US" sz="1000" i="1">
              <a:effectLst/>
            </a:rPr>
            <a:t> erittäin hyvin </a:t>
          </a:r>
          <a:endParaRPr lang="fi-FI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0.32398</cdr:x>
      <cdr:y>0.05233</cdr:y>
    </cdr:from>
    <cdr:to>
      <cdr:x>0.82185</cdr:x>
      <cdr:y>0.06458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214880" y="461010"/>
          <a:ext cx="3403600" cy="107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0.19394</cdr:x>
      <cdr:y>0.04872</cdr:y>
    </cdr:from>
    <cdr:to>
      <cdr:x>0.81534</cdr:x>
      <cdr:y>0.0826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325880" y="429260"/>
          <a:ext cx="424815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900"/>
            <a:t>% vastaajista valinnut ko. asian kolmen tärkeimmän joukkoon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0.2081</cdr:x>
      <cdr:y>0.08495</cdr:y>
    </cdr:from>
    <cdr:to>
      <cdr:x>0.90239</cdr:x>
      <cdr:y>0.11022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435100" y="768350"/>
          <a:ext cx="47879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900"/>
            <a:t>% vastaajista: arvioinut ko. asian vaikuttavan </a:t>
          </a:r>
          <a:r>
            <a:rPr lang="fi-FI" sz="900" i="1"/>
            <a:t>paljon</a:t>
          </a:r>
          <a:r>
            <a:rPr lang="fi-FI" sz="900"/>
            <a:t> tai </a:t>
          </a:r>
          <a:r>
            <a:rPr lang="fi-FI" sz="900" i="1"/>
            <a:t>erittäin paljon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0.24569</cdr:x>
      <cdr:y>0.08749</cdr:y>
    </cdr:from>
    <cdr:to>
      <cdr:x>0.8844</cdr:x>
      <cdr:y>0.1185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685741" y="752647"/>
          <a:ext cx="4382301" cy="266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+mn-lt"/>
              <a:ea typeface="+mn-ea"/>
              <a:cs typeface="+mn-cs"/>
            </a:rPr>
            <a:t>%  vastaajista: </a:t>
          </a:r>
          <a:r>
            <a:rPr lang="en-US" sz="900" b="0" i="1" u="sng" baseline="0">
              <a:effectLst/>
              <a:latin typeface="+mn-lt"/>
              <a:ea typeface="+mn-ea"/>
              <a:cs typeface="+mn-cs"/>
            </a:rPr>
            <a:t>enemmän kielteisiä</a:t>
          </a:r>
          <a:r>
            <a:rPr lang="en-US" sz="900" b="0" i="1" u="none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kuin myönteisiä vaikutuksia </a:t>
          </a:r>
          <a:endParaRPr lang="fi-FI" sz="900">
            <a:effectLst/>
          </a:endParaRPr>
        </a:p>
        <a:p xmlns:a="http://schemas.openxmlformats.org/drawingml/2006/main">
          <a:endParaRPr lang="fi-FI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0.31085</cdr:x>
      <cdr:y>0.07818</cdr:y>
    </cdr:from>
    <cdr:to>
      <cdr:x>0.71347</cdr:x>
      <cdr:y>0.12173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142490" y="478790"/>
          <a:ext cx="2774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melko hyvin tai erittäin hyvin </a:t>
          </a:r>
          <a:endParaRPr lang="fi-FI" sz="9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0.24977</cdr:x>
      <cdr:y>0.09255</cdr:y>
    </cdr:from>
    <cdr:to>
      <cdr:x>0.76406</cdr:x>
      <cdr:y>0.14043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20850" y="552450"/>
          <a:ext cx="35433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suurta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erittäin suurta vaikutusvaltaa </a:t>
          </a:r>
          <a:endParaRPr lang="fi-FI" sz="9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0.2573</cdr:x>
      <cdr:y>0.07741</cdr:y>
    </cdr:from>
    <cdr:to>
      <cdr:x>0.94753</cdr:x>
      <cdr:y>0.1177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56410" y="683260"/>
          <a:ext cx="47117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0.05628</cdr:x>
      <cdr:y>0.07453</cdr:y>
    </cdr:from>
    <cdr:to>
      <cdr:x>0.9373</cdr:x>
      <cdr:y>0.10475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384811" y="657839"/>
          <a:ext cx="6023850" cy="26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% vastaajista</a:t>
          </a:r>
          <a:r>
            <a:rPr lang="en-US" sz="900" i="1">
              <a:effectLst/>
              <a:latin typeface="+mn-lt"/>
              <a:ea typeface="+mn-ea"/>
              <a:cs typeface="+mn-cs"/>
            </a:rPr>
            <a:t>: valinnut ko. asian </a:t>
          </a:r>
          <a:r>
            <a:rPr lang="en-US" sz="900" i="1" u="sng">
              <a:effectLst/>
              <a:latin typeface="+mn-lt"/>
              <a:ea typeface="+mn-ea"/>
              <a:cs typeface="+mn-cs"/>
            </a:rPr>
            <a:t>7 tärkeimmän</a:t>
          </a:r>
          <a:r>
            <a:rPr lang="en-US" sz="900" i="1" u="none"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effectLst/>
              <a:latin typeface="+mn-lt"/>
              <a:ea typeface="+mn-ea"/>
              <a:cs typeface="+mn-cs"/>
            </a:rPr>
            <a:t>toimenpiteen joukkoon oman</a:t>
          </a:r>
          <a:r>
            <a:rPr lang="en-US" sz="900" i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effectLst/>
              <a:latin typeface="+mn-lt"/>
              <a:ea typeface="+mn-ea"/>
              <a:cs typeface="+mn-cs"/>
            </a:rPr>
            <a:t>kunnan näkökulmasta  </a:t>
          </a:r>
          <a:endParaRPr lang="fi-FI" sz="900">
            <a:effectLst/>
          </a:endParaRPr>
        </a:p>
        <a:p xmlns:a="http://schemas.openxmlformats.org/drawingml/2006/main">
          <a:endParaRPr lang="fi-FI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takehitys%20ja%20Tutkimus/ARTTU2-TUTKIMUSOHJELMA/Osaprojekti_Toimintaymp&#228;rist&#246;analyysi%202014-15/Eero-sotetoimintaymp&#228;rist&#246;/Sotehallinto-seuran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ta_2014"/>
      <sheetName val="Kuntayhtymä_2014"/>
      <sheetName val="Kuntayhtymä_2014 (2)"/>
      <sheetName val="Vastuukunta_2014"/>
      <sheetName val="Vastuukunta_2014 (2)"/>
      <sheetName val="Terveyskeskus_2014"/>
      <sheetName val="Kunta_tk_shp_2014"/>
      <sheetName val="Kaikki_2005"/>
      <sheetName val="Kaikki_2006"/>
      <sheetName val="Kaikki_2007"/>
      <sheetName val="Kaikki_2009"/>
      <sheetName val="Kaikki_2010"/>
      <sheetName val="Kaikki_2011"/>
      <sheetName val="Kaikki_2012"/>
      <sheetName val="Kaikki_2013"/>
      <sheetName val="Kaikki_2014"/>
      <sheetName val="Kaikki_2015"/>
      <sheetName val="arttu-kunnat 2006"/>
      <sheetName val="arttu-kunnat 2007"/>
      <sheetName val="arttu-kunnat 2009"/>
      <sheetName val="arttu-kunnat 2010"/>
      <sheetName val="arttu-kunnat 2011"/>
      <sheetName val="arttu-kunnat 2012"/>
      <sheetName val="arttu-kunnat 2013"/>
      <sheetName val="arttu-kunnat 2014"/>
      <sheetName val="arttu-kunnat 2015"/>
      <sheetName val="kunnittain"/>
      <sheetName val="Muutokset"/>
      <sheetName val="hallintorakenteet"/>
      <sheetName val="ARTTU-kunnat"/>
      <sheetName val="vaesto"/>
      <sheetName val="Ta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Akaa</v>
          </cell>
          <cell r="B2">
            <v>17052</v>
          </cell>
        </row>
        <row r="3">
          <cell r="A3" t="str">
            <v>Alajärvi</v>
          </cell>
          <cell r="B3">
            <v>10171</v>
          </cell>
        </row>
        <row r="4">
          <cell r="A4" t="str">
            <v>Alavieska</v>
          </cell>
          <cell r="B4">
            <v>2687</v>
          </cell>
        </row>
        <row r="5">
          <cell r="A5" t="str">
            <v>Alavus</v>
          </cell>
          <cell r="B5">
            <v>12103</v>
          </cell>
        </row>
        <row r="6">
          <cell r="A6" t="str">
            <v>Asikkala</v>
          </cell>
          <cell r="B6">
            <v>8374</v>
          </cell>
        </row>
        <row r="7">
          <cell r="A7" t="str">
            <v>Askola</v>
          </cell>
          <cell r="B7">
            <v>5064</v>
          </cell>
        </row>
        <row r="8">
          <cell r="A8" t="str">
            <v>Aura</v>
          </cell>
          <cell r="B8">
            <v>3982</v>
          </cell>
        </row>
        <row r="9">
          <cell r="A9" t="str">
            <v>Brändö</v>
          </cell>
          <cell r="B9">
            <v>474</v>
          </cell>
        </row>
        <row r="10">
          <cell r="A10" t="str">
            <v>Eckerö</v>
          </cell>
          <cell r="B10">
            <v>932</v>
          </cell>
        </row>
        <row r="11">
          <cell r="A11" t="str">
            <v>Enonkoski</v>
          </cell>
          <cell r="B11">
            <v>1503</v>
          </cell>
        </row>
        <row r="12">
          <cell r="A12" t="str">
            <v>Enontekiö</v>
          </cell>
          <cell r="B12">
            <v>1890</v>
          </cell>
        </row>
        <row r="13">
          <cell r="A13" t="str">
            <v>Espoo</v>
          </cell>
          <cell r="B13">
            <v>265543</v>
          </cell>
        </row>
        <row r="14">
          <cell r="A14" t="str">
            <v>Eura</v>
          </cell>
          <cell r="B14">
            <v>12314</v>
          </cell>
        </row>
        <row r="15">
          <cell r="A15" t="str">
            <v>Eurajoki</v>
          </cell>
          <cell r="B15">
            <v>5954</v>
          </cell>
        </row>
        <row r="16">
          <cell r="A16" t="str">
            <v>Evijärvi</v>
          </cell>
          <cell r="B16">
            <v>2651</v>
          </cell>
        </row>
        <row r="17">
          <cell r="A17" t="str">
            <v>Finström</v>
          </cell>
          <cell r="B17">
            <v>2535</v>
          </cell>
        </row>
        <row r="18">
          <cell r="A18" t="str">
            <v>Forssa</v>
          </cell>
          <cell r="B18">
            <v>17521</v>
          </cell>
        </row>
        <row r="19">
          <cell r="A19" t="str">
            <v>Föglö</v>
          </cell>
          <cell r="B19">
            <v>568</v>
          </cell>
        </row>
        <row r="20">
          <cell r="A20" t="str">
            <v>Geta</v>
          </cell>
          <cell r="B20">
            <v>494</v>
          </cell>
        </row>
        <row r="21">
          <cell r="A21" t="str">
            <v>Haapajärvi</v>
          </cell>
          <cell r="B21">
            <v>7479</v>
          </cell>
        </row>
        <row r="22">
          <cell r="A22" t="str">
            <v>Haapavesi</v>
          </cell>
          <cell r="B22">
            <v>7175</v>
          </cell>
        </row>
        <row r="23">
          <cell r="A23" t="str">
            <v>Hailuoto</v>
          </cell>
          <cell r="B23">
            <v>997</v>
          </cell>
        </row>
        <row r="24">
          <cell r="A24" t="str">
            <v>Halsua</v>
          </cell>
          <cell r="B24">
            <v>1222</v>
          </cell>
        </row>
        <row r="25">
          <cell r="A25" t="str">
            <v>Hamina</v>
          </cell>
          <cell r="B25">
            <v>21061</v>
          </cell>
        </row>
        <row r="26">
          <cell r="A26" t="str">
            <v>Hammarland</v>
          </cell>
          <cell r="B26">
            <v>1531</v>
          </cell>
        </row>
        <row r="27">
          <cell r="A27" t="str">
            <v>Hankasalmi</v>
          </cell>
          <cell r="B27">
            <v>5307</v>
          </cell>
        </row>
        <row r="28">
          <cell r="A28" t="str">
            <v>Hanko</v>
          </cell>
          <cell r="B28">
            <v>9021</v>
          </cell>
        </row>
        <row r="29">
          <cell r="A29" t="str">
            <v>Harjavalta</v>
          </cell>
          <cell r="B29">
            <v>7366</v>
          </cell>
        </row>
        <row r="30">
          <cell r="A30" t="str">
            <v>Hartola</v>
          </cell>
          <cell r="B30">
            <v>3071</v>
          </cell>
        </row>
        <row r="31">
          <cell r="A31" t="str">
            <v>Hattula</v>
          </cell>
          <cell r="B31">
            <v>9738</v>
          </cell>
        </row>
        <row r="32">
          <cell r="A32" t="str">
            <v>Hausjärvi</v>
          </cell>
          <cell r="B32">
            <v>8815</v>
          </cell>
        </row>
        <row r="33">
          <cell r="A33" t="str">
            <v>Heinola</v>
          </cell>
          <cell r="B33">
            <v>19695</v>
          </cell>
        </row>
        <row r="34">
          <cell r="A34" t="str">
            <v>Heinävesi</v>
          </cell>
          <cell r="B34">
            <v>3638</v>
          </cell>
        </row>
        <row r="35">
          <cell r="A35" t="str">
            <v>Helsinki</v>
          </cell>
          <cell r="B35">
            <v>620715</v>
          </cell>
        </row>
        <row r="36">
          <cell r="A36" t="str">
            <v>Hirvensalmi</v>
          </cell>
          <cell r="B36">
            <v>2326</v>
          </cell>
        </row>
        <row r="37">
          <cell r="A37" t="str">
            <v>Hollola</v>
          </cell>
          <cell r="B37">
            <v>21892</v>
          </cell>
        </row>
        <row r="38">
          <cell r="A38" t="str">
            <v>Honkajoki</v>
          </cell>
          <cell r="B38">
            <v>1788</v>
          </cell>
        </row>
        <row r="39">
          <cell r="A39" t="str">
            <v>Huittinen</v>
          </cell>
          <cell r="B39">
            <v>10487</v>
          </cell>
        </row>
        <row r="40">
          <cell r="A40" t="str">
            <v>Humppila</v>
          </cell>
          <cell r="B40">
            <v>2440</v>
          </cell>
        </row>
        <row r="41">
          <cell r="A41" t="str">
            <v>Hyrynsalmi</v>
          </cell>
          <cell r="B41">
            <v>2490</v>
          </cell>
        </row>
        <row r="42">
          <cell r="A42" t="str">
            <v>Hyvinkää</v>
          </cell>
          <cell r="B42">
            <v>46366</v>
          </cell>
        </row>
        <row r="43">
          <cell r="A43" t="str">
            <v>Hämeenkoski</v>
          </cell>
          <cell r="B43">
            <v>2104</v>
          </cell>
        </row>
        <row r="44">
          <cell r="A44" t="str">
            <v>Hämeenkyrö</v>
          </cell>
          <cell r="B44">
            <v>10610</v>
          </cell>
        </row>
        <row r="45">
          <cell r="A45" t="str">
            <v>Hämeenlinna</v>
          </cell>
          <cell r="B45">
            <v>67976</v>
          </cell>
        </row>
        <row r="46">
          <cell r="A46" t="str">
            <v>Ii</v>
          </cell>
          <cell r="B46">
            <v>9666</v>
          </cell>
        </row>
        <row r="47">
          <cell r="A47" t="str">
            <v>Iisalmi</v>
          </cell>
          <cell r="B47">
            <v>22115</v>
          </cell>
        </row>
        <row r="48">
          <cell r="A48" t="str">
            <v>Iitti</v>
          </cell>
          <cell r="B48">
            <v>6950</v>
          </cell>
        </row>
        <row r="49">
          <cell r="A49" t="str">
            <v>Ikaalinen</v>
          </cell>
          <cell r="B49">
            <v>7298</v>
          </cell>
        </row>
        <row r="50">
          <cell r="A50" t="str">
            <v>Ilmajoki</v>
          </cell>
          <cell r="B50">
            <v>12181</v>
          </cell>
        </row>
        <row r="51">
          <cell r="A51" t="str">
            <v>Ilomantsi</v>
          </cell>
          <cell r="B51">
            <v>5504</v>
          </cell>
        </row>
        <row r="52">
          <cell r="A52" t="str">
            <v>Imatra</v>
          </cell>
          <cell r="B52">
            <v>28037</v>
          </cell>
        </row>
        <row r="53">
          <cell r="A53" t="str">
            <v>Inari</v>
          </cell>
          <cell r="B53">
            <v>6814</v>
          </cell>
        </row>
        <row r="54">
          <cell r="A54" t="str">
            <v>Inkoo</v>
          </cell>
          <cell r="B54">
            <v>5560</v>
          </cell>
        </row>
        <row r="55">
          <cell r="A55" t="str">
            <v>Isojoki</v>
          </cell>
          <cell r="B55">
            <v>2198</v>
          </cell>
        </row>
        <row r="56">
          <cell r="A56" t="str">
            <v>Isokyrö</v>
          </cell>
          <cell r="B56">
            <v>4842</v>
          </cell>
        </row>
        <row r="57">
          <cell r="A57" t="str">
            <v>Jalasjärvi</v>
          </cell>
          <cell r="B57">
            <v>7885</v>
          </cell>
        </row>
        <row r="58">
          <cell r="A58" t="str">
            <v>Janakkala</v>
          </cell>
          <cell r="B58">
            <v>16840</v>
          </cell>
        </row>
        <row r="59">
          <cell r="A59" t="str">
            <v>Joensuu</v>
          </cell>
          <cell r="B59">
            <v>75041</v>
          </cell>
        </row>
        <row r="60">
          <cell r="A60" t="str">
            <v>Jokioinen</v>
          </cell>
          <cell r="B60">
            <v>5516</v>
          </cell>
        </row>
        <row r="61">
          <cell r="A61" t="str">
            <v>Jomala</v>
          </cell>
          <cell r="B61">
            <v>4560</v>
          </cell>
        </row>
        <row r="62">
          <cell r="A62" t="str">
            <v>Joroinen</v>
          </cell>
          <cell r="B62">
            <v>5178</v>
          </cell>
        </row>
        <row r="63">
          <cell r="A63" t="str">
            <v>Joutsa</v>
          </cell>
          <cell r="B63">
            <v>4782</v>
          </cell>
        </row>
        <row r="64">
          <cell r="A64" t="str">
            <v>Juankoski</v>
          </cell>
          <cell r="B64">
            <v>4882</v>
          </cell>
        </row>
        <row r="65">
          <cell r="A65" t="str">
            <v>Juuka</v>
          </cell>
          <cell r="B65">
            <v>5140</v>
          </cell>
        </row>
        <row r="66">
          <cell r="A66" t="str">
            <v>Juupajoki</v>
          </cell>
          <cell r="B66">
            <v>2033</v>
          </cell>
        </row>
        <row r="67">
          <cell r="A67" t="str">
            <v>Juva</v>
          </cell>
          <cell r="B67">
            <v>6616</v>
          </cell>
        </row>
        <row r="68">
          <cell r="A68" t="str">
            <v>Jyväskylä</v>
          </cell>
          <cell r="B68">
            <v>135780</v>
          </cell>
        </row>
        <row r="69">
          <cell r="A69" t="str">
            <v>Jämijärvi</v>
          </cell>
          <cell r="B69">
            <v>1997</v>
          </cell>
        </row>
        <row r="70">
          <cell r="A70" t="str">
            <v>Jämsä</v>
          </cell>
          <cell r="B70">
            <v>21808</v>
          </cell>
        </row>
        <row r="71">
          <cell r="A71" t="str">
            <v>Järvenpää</v>
          </cell>
          <cell r="B71">
            <v>40390</v>
          </cell>
        </row>
        <row r="72">
          <cell r="A72" t="str">
            <v>Kaarina</v>
          </cell>
          <cell r="B72">
            <v>32148</v>
          </cell>
        </row>
        <row r="73">
          <cell r="A73" t="str">
            <v>Kaavi</v>
          </cell>
          <cell r="B73">
            <v>3214</v>
          </cell>
        </row>
        <row r="74">
          <cell r="A74" t="str">
            <v>Kajaani</v>
          </cell>
          <cell r="B74">
            <v>37791</v>
          </cell>
        </row>
        <row r="75">
          <cell r="A75" t="str">
            <v>Kalajoki</v>
          </cell>
          <cell r="B75">
            <v>12632</v>
          </cell>
        </row>
        <row r="76">
          <cell r="A76" t="str">
            <v>Kangasala</v>
          </cell>
          <cell r="B76">
            <v>30471</v>
          </cell>
        </row>
        <row r="77">
          <cell r="A77" t="str">
            <v>Kangasniemi</v>
          </cell>
          <cell r="B77">
            <v>5693</v>
          </cell>
        </row>
        <row r="78">
          <cell r="A78" t="str">
            <v>Kankaanpää</v>
          </cell>
          <cell r="B78">
            <v>11883</v>
          </cell>
        </row>
        <row r="79">
          <cell r="A79" t="str">
            <v>Kannonkoski</v>
          </cell>
          <cell r="B79">
            <v>1475</v>
          </cell>
        </row>
        <row r="80">
          <cell r="A80" t="str">
            <v>Kannus</v>
          </cell>
          <cell r="B80">
            <v>5643</v>
          </cell>
        </row>
        <row r="81">
          <cell r="A81" t="str">
            <v>Karijoki</v>
          </cell>
          <cell r="B81">
            <v>1409</v>
          </cell>
        </row>
        <row r="82">
          <cell r="A82" t="str">
            <v>Karkkila</v>
          </cell>
          <cell r="B82">
            <v>8977</v>
          </cell>
        </row>
        <row r="83">
          <cell r="A83" t="str">
            <v>Karstula</v>
          </cell>
          <cell r="B83">
            <v>4286</v>
          </cell>
        </row>
        <row r="84">
          <cell r="A84" t="str">
            <v>Karvia</v>
          </cell>
          <cell r="B84">
            <v>2491</v>
          </cell>
        </row>
        <row r="85">
          <cell r="A85" t="str">
            <v>Kaskinen</v>
          </cell>
          <cell r="B85">
            <v>1324</v>
          </cell>
        </row>
        <row r="86">
          <cell r="A86" t="str">
            <v>Kauhajoki</v>
          </cell>
          <cell r="B86">
            <v>14007</v>
          </cell>
        </row>
        <row r="87">
          <cell r="A87" t="str">
            <v>Kauhava</v>
          </cell>
          <cell r="B87">
            <v>16908</v>
          </cell>
        </row>
        <row r="88">
          <cell r="A88" t="str">
            <v>Kauniainen</v>
          </cell>
          <cell r="B88">
            <v>9357</v>
          </cell>
        </row>
        <row r="89">
          <cell r="A89" t="str">
            <v>Kaustinen</v>
          </cell>
          <cell r="B89">
            <v>4283</v>
          </cell>
        </row>
        <row r="90">
          <cell r="A90" t="str">
            <v>Keitele</v>
          </cell>
          <cell r="B90">
            <v>2398</v>
          </cell>
        </row>
        <row r="91">
          <cell r="A91" t="str">
            <v>Kemi</v>
          </cell>
          <cell r="B91">
            <v>21929</v>
          </cell>
        </row>
        <row r="92">
          <cell r="A92" t="str">
            <v>Kemijärvi</v>
          </cell>
          <cell r="B92">
            <v>7892</v>
          </cell>
        </row>
        <row r="93">
          <cell r="A93" t="str">
            <v>Keminmaa</v>
          </cell>
          <cell r="B93">
            <v>8469</v>
          </cell>
        </row>
        <row r="94">
          <cell r="A94" t="str">
            <v>Kemiönsaari</v>
          </cell>
          <cell r="B94">
            <v>6943</v>
          </cell>
        </row>
        <row r="95">
          <cell r="A95" t="str">
            <v>Kempele</v>
          </cell>
          <cell r="B95">
            <v>16889</v>
          </cell>
        </row>
        <row r="96">
          <cell r="A96" t="str">
            <v>Kerava</v>
          </cell>
          <cell r="B96">
            <v>35317</v>
          </cell>
        </row>
        <row r="97">
          <cell r="A97" t="str">
            <v>Keuruu</v>
          </cell>
          <cell r="B97">
            <v>10177</v>
          </cell>
        </row>
        <row r="98">
          <cell r="A98" t="str">
            <v>Kihniö</v>
          </cell>
          <cell r="B98">
            <v>2080</v>
          </cell>
        </row>
        <row r="99">
          <cell r="A99" t="str">
            <v>Kinnula</v>
          </cell>
          <cell r="B99">
            <v>1766</v>
          </cell>
        </row>
        <row r="100">
          <cell r="A100" t="str">
            <v>Kirkkonummi</v>
          </cell>
          <cell r="B100">
            <v>38220</v>
          </cell>
        </row>
        <row r="101">
          <cell r="A101" t="str">
            <v>Kitee</v>
          </cell>
          <cell r="B101">
            <v>10986</v>
          </cell>
        </row>
        <row r="102">
          <cell r="A102" t="str">
            <v>Kittilä</v>
          </cell>
          <cell r="B102">
            <v>6470</v>
          </cell>
        </row>
        <row r="103">
          <cell r="A103" t="str">
            <v>Kiuruvesi</v>
          </cell>
          <cell r="B103">
            <v>8752</v>
          </cell>
        </row>
        <row r="104">
          <cell r="A104" t="str">
            <v>Kivijärvi</v>
          </cell>
          <cell r="B104">
            <v>1244</v>
          </cell>
        </row>
        <row r="105">
          <cell r="A105" t="str">
            <v>Kokemäki</v>
          </cell>
          <cell r="B105">
            <v>7702</v>
          </cell>
        </row>
        <row r="106">
          <cell r="A106" t="str">
            <v>Kokkola</v>
          </cell>
          <cell r="B106">
            <v>47278</v>
          </cell>
        </row>
        <row r="107">
          <cell r="A107" t="str">
            <v>Kolari</v>
          </cell>
          <cell r="B107">
            <v>3840</v>
          </cell>
        </row>
        <row r="108">
          <cell r="A108" t="str">
            <v>Konnevesi</v>
          </cell>
          <cell r="B108">
            <v>2831</v>
          </cell>
        </row>
        <row r="109">
          <cell r="A109" t="str">
            <v>Kontiolahti</v>
          </cell>
          <cell r="B109">
            <v>14681</v>
          </cell>
        </row>
        <row r="110">
          <cell r="A110" t="str">
            <v>Korsnäs</v>
          </cell>
          <cell r="B110">
            <v>2219</v>
          </cell>
        </row>
        <row r="111">
          <cell r="A111" t="str">
            <v>Koski Tl</v>
          </cell>
          <cell r="B111">
            <v>2438</v>
          </cell>
        </row>
        <row r="112">
          <cell r="A112" t="str">
            <v>Kotka</v>
          </cell>
          <cell r="B112">
            <v>54518</v>
          </cell>
        </row>
        <row r="113">
          <cell r="A113" t="str">
            <v>Kouvola</v>
          </cell>
          <cell r="B113">
            <v>86453</v>
          </cell>
        </row>
        <row r="114">
          <cell r="A114" t="str">
            <v>Kristiinankaupunki</v>
          </cell>
          <cell r="B114">
            <v>6845</v>
          </cell>
        </row>
        <row r="115">
          <cell r="A115" t="str">
            <v>Kruunupyy</v>
          </cell>
          <cell r="B115">
            <v>6662</v>
          </cell>
        </row>
        <row r="116">
          <cell r="A116" t="str">
            <v>Kuhmo</v>
          </cell>
          <cell r="B116">
            <v>8950</v>
          </cell>
        </row>
        <row r="117">
          <cell r="A117" t="str">
            <v>Kuhmoinen</v>
          </cell>
          <cell r="B117">
            <v>2374</v>
          </cell>
        </row>
        <row r="118">
          <cell r="A118" t="str">
            <v>Kumlinge</v>
          </cell>
          <cell r="B118">
            <v>328</v>
          </cell>
        </row>
        <row r="119">
          <cell r="A119" t="str">
            <v>Kuopio</v>
          </cell>
          <cell r="B119">
            <v>111289</v>
          </cell>
        </row>
        <row r="120">
          <cell r="A120" t="str">
            <v>Kuortane</v>
          </cell>
          <cell r="B120">
            <v>3727</v>
          </cell>
        </row>
        <row r="121">
          <cell r="A121" t="str">
            <v>Kurikka</v>
          </cell>
          <cell r="B121">
            <v>14188</v>
          </cell>
        </row>
        <row r="122">
          <cell r="A122" t="str">
            <v>Kustavi</v>
          </cell>
          <cell r="B122">
            <v>892</v>
          </cell>
        </row>
        <row r="123">
          <cell r="A123" t="str">
            <v>Kuusamo</v>
          </cell>
          <cell r="B123">
            <v>15823</v>
          </cell>
        </row>
        <row r="124">
          <cell r="A124" t="str">
            <v>Kyyjärvi</v>
          </cell>
          <cell r="B124">
            <v>1399</v>
          </cell>
        </row>
        <row r="125">
          <cell r="A125" t="str">
            <v>Kärkölä</v>
          </cell>
          <cell r="B125">
            <v>4647</v>
          </cell>
        </row>
        <row r="126">
          <cell r="A126" t="str">
            <v>Kärsämäki</v>
          </cell>
          <cell r="B126">
            <v>2696</v>
          </cell>
        </row>
        <row r="127">
          <cell r="A127" t="str">
            <v>Kökar</v>
          </cell>
          <cell r="B127">
            <v>254</v>
          </cell>
        </row>
        <row r="128">
          <cell r="A128" t="str">
            <v>Köyliö</v>
          </cell>
          <cell r="B128">
            <v>2647</v>
          </cell>
        </row>
        <row r="129">
          <cell r="A129" t="str">
            <v>Lahti</v>
          </cell>
          <cell r="B129">
            <v>103754</v>
          </cell>
        </row>
        <row r="130">
          <cell r="A130" t="str">
            <v>Laihia</v>
          </cell>
          <cell r="B130">
            <v>8068</v>
          </cell>
        </row>
        <row r="131">
          <cell r="A131" t="str">
            <v>Laitila</v>
          </cell>
          <cell r="B131">
            <v>8542</v>
          </cell>
        </row>
        <row r="132">
          <cell r="A132" t="str">
            <v>Lapinjärvi</v>
          </cell>
          <cell r="B132">
            <v>2779</v>
          </cell>
        </row>
        <row r="133">
          <cell r="A133" t="str">
            <v>Lapinlahti</v>
          </cell>
          <cell r="B133">
            <v>10093</v>
          </cell>
        </row>
        <row r="134">
          <cell r="A134" t="str">
            <v>Lappajärvi</v>
          </cell>
          <cell r="B134">
            <v>3259</v>
          </cell>
        </row>
        <row r="135">
          <cell r="A135" t="str">
            <v>Lappeenranta</v>
          </cell>
          <cell r="B135">
            <v>72794</v>
          </cell>
        </row>
        <row r="136">
          <cell r="A136" t="str">
            <v>Lapua</v>
          </cell>
          <cell r="B136">
            <v>14733</v>
          </cell>
        </row>
        <row r="137">
          <cell r="A137" t="str">
            <v>Laukaa</v>
          </cell>
          <cell r="B137">
            <v>18709</v>
          </cell>
        </row>
        <row r="138">
          <cell r="A138" t="str">
            <v>Lemi</v>
          </cell>
          <cell r="B138">
            <v>3116</v>
          </cell>
        </row>
        <row r="139">
          <cell r="A139" t="str">
            <v>Lemland</v>
          </cell>
          <cell r="B139">
            <v>1943</v>
          </cell>
        </row>
        <row r="140">
          <cell r="A140" t="str">
            <v>Lempäälä</v>
          </cell>
          <cell r="B140">
            <v>22233</v>
          </cell>
        </row>
        <row r="141">
          <cell r="A141" t="str">
            <v>Leppävirta</v>
          </cell>
          <cell r="B141">
            <v>10015</v>
          </cell>
        </row>
        <row r="142">
          <cell r="A142" t="str">
            <v>Lestijärvi</v>
          </cell>
          <cell r="B142">
            <v>817</v>
          </cell>
        </row>
        <row r="143">
          <cell r="A143" t="str">
            <v>Lieksa</v>
          </cell>
          <cell r="B143">
            <v>12117</v>
          </cell>
        </row>
        <row r="144">
          <cell r="A144" t="str">
            <v>Lieto</v>
          </cell>
          <cell r="B144">
            <v>19209</v>
          </cell>
        </row>
        <row r="145">
          <cell r="A145" t="str">
            <v>Liminka</v>
          </cell>
          <cell r="B145">
            <v>9740</v>
          </cell>
        </row>
        <row r="146">
          <cell r="A146" t="str">
            <v>Liperi</v>
          </cell>
          <cell r="B146">
            <v>12335</v>
          </cell>
        </row>
        <row r="147">
          <cell r="A147" t="str">
            <v>Lohja</v>
          </cell>
          <cell r="B147">
            <v>47624</v>
          </cell>
        </row>
        <row r="148">
          <cell r="A148" t="str">
            <v>Loimaa</v>
          </cell>
          <cell r="B148">
            <v>16607</v>
          </cell>
        </row>
        <row r="149">
          <cell r="A149" t="str">
            <v>Loppi</v>
          </cell>
          <cell r="B149">
            <v>8291</v>
          </cell>
        </row>
        <row r="150">
          <cell r="A150" t="str">
            <v>Loviisa</v>
          </cell>
          <cell r="B150">
            <v>15480</v>
          </cell>
        </row>
        <row r="151">
          <cell r="A151" t="str">
            <v>Luhanka</v>
          </cell>
          <cell r="B151">
            <v>761</v>
          </cell>
        </row>
        <row r="152">
          <cell r="A152" t="str">
            <v>Lumijoki</v>
          </cell>
          <cell r="B152">
            <v>2074</v>
          </cell>
        </row>
        <row r="153">
          <cell r="A153" t="str">
            <v>Lumparland</v>
          </cell>
          <cell r="B153">
            <v>418</v>
          </cell>
        </row>
        <row r="154">
          <cell r="A154" t="str">
            <v>Luoto</v>
          </cell>
          <cell r="B154">
            <v>5107</v>
          </cell>
        </row>
        <row r="155">
          <cell r="A155" t="str">
            <v>Luumäki</v>
          </cell>
          <cell r="B155">
            <v>4949</v>
          </cell>
        </row>
        <row r="156">
          <cell r="A156" t="str">
            <v>Luvia</v>
          </cell>
          <cell r="B156">
            <v>3340</v>
          </cell>
        </row>
        <row r="157">
          <cell r="A157" t="str">
            <v>Maalahti</v>
          </cell>
          <cell r="B157">
            <v>5573</v>
          </cell>
        </row>
        <row r="158">
          <cell r="A158" t="str">
            <v>Maarianhamina - Mariehamn</v>
          </cell>
          <cell r="B158">
            <v>11479</v>
          </cell>
        </row>
        <row r="159">
          <cell r="A159" t="str">
            <v>Marttila</v>
          </cell>
          <cell r="B159">
            <v>2070</v>
          </cell>
        </row>
        <row r="160">
          <cell r="A160" t="str">
            <v>Masku</v>
          </cell>
          <cell r="B160">
            <v>9767</v>
          </cell>
        </row>
        <row r="161">
          <cell r="A161" t="str">
            <v>Merijärvi</v>
          </cell>
          <cell r="B161">
            <v>1150</v>
          </cell>
        </row>
        <row r="162">
          <cell r="A162" t="str">
            <v>Merikarvia</v>
          </cell>
          <cell r="B162">
            <v>3246</v>
          </cell>
        </row>
        <row r="163">
          <cell r="A163" t="str">
            <v>Miehikkälä</v>
          </cell>
          <cell r="B163">
            <v>2123</v>
          </cell>
        </row>
        <row r="164">
          <cell r="A164" t="str">
            <v>Mikkeli</v>
          </cell>
          <cell r="B164">
            <v>54605</v>
          </cell>
        </row>
        <row r="165">
          <cell r="A165" t="str">
            <v>Muhos</v>
          </cell>
          <cell r="B165">
            <v>8986</v>
          </cell>
        </row>
        <row r="166">
          <cell r="A166" t="str">
            <v>Multia</v>
          </cell>
          <cell r="B166">
            <v>1763</v>
          </cell>
        </row>
        <row r="167">
          <cell r="A167" t="str">
            <v>Muonio</v>
          </cell>
          <cell r="B167">
            <v>2375</v>
          </cell>
        </row>
        <row r="168">
          <cell r="A168" t="str">
            <v>Mustasaari</v>
          </cell>
          <cell r="B168">
            <v>19287</v>
          </cell>
        </row>
        <row r="169">
          <cell r="A169" t="str">
            <v>Muurame</v>
          </cell>
          <cell r="B169">
            <v>9700</v>
          </cell>
        </row>
        <row r="170">
          <cell r="A170" t="str">
            <v>Mynämäki</v>
          </cell>
          <cell r="B170">
            <v>7917</v>
          </cell>
        </row>
        <row r="171">
          <cell r="A171" t="str">
            <v>Myrskylä</v>
          </cell>
          <cell r="B171">
            <v>1985</v>
          </cell>
        </row>
        <row r="172">
          <cell r="A172" t="str">
            <v>Mäntsälä</v>
          </cell>
          <cell r="B172">
            <v>20621</v>
          </cell>
        </row>
        <row r="173">
          <cell r="A173" t="str">
            <v>Mänttä-Vilppula</v>
          </cell>
          <cell r="B173">
            <v>10723</v>
          </cell>
        </row>
        <row r="174">
          <cell r="A174" t="str">
            <v>Mäntyharju</v>
          </cell>
          <cell r="B174">
            <v>6266</v>
          </cell>
        </row>
        <row r="175">
          <cell r="A175" t="str">
            <v>Naantali</v>
          </cell>
          <cell r="B175">
            <v>18871</v>
          </cell>
        </row>
        <row r="176">
          <cell r="A176" t="str">
            <v>Nakkila</v>
          </cell>
          <cell r="B176">
            <v>5651</v>
          </cell>
        </row>
        <row r="177">
          <cell r="A177" t="str">
            <v>Nastola</v>
          </cell>
          <cell r="B177">
            <v>14890</v>
          </cell>
        </row>
        <row r="178">
          <cell r="A178" t="str">
            <v>Nivala</v>
          </cell>
          <cell r="B178">
            <v>10945</v>
          </cell>
        </row>
        <row r="179">
          <cell r="A179" t="str">
            <v>Nokia</v>
          </cell>
          <cell r="B179">
            <v>32847</v>
          </cell>
        </row>
        <row r="180">
          <cell r="A180" t="str">
            <v>Nousiainen</v>
          </cell>
          <cell r="B180">
            <v>4844</v>
          </cell>
        </row>
        <row r="181">
          <cell r="A181" t="str">
            <v>Nurmes</v>
          </cell>
          <cell r="B181">
            <v>8082</v>
          </cell>
        </row>
        <row r="182">
          <cell r="A182" t="str">
            <v>Nurmijärvi</v>
          </cell>
          <cell r="B182">
            <v>41577</v>
          </cell>
        </row>
        <row r="183">
          <cell r="A183" t="str">
            <v>Närpiö</v>
          </cell>
          <cell r="B183">
            <v>9389</v>
          </cell>
        </row>
        <row r="184">
          <cell r="A184" t="str">
            <v>Orimattila</v>
          </cell>
          <cell r="B184">
            <v>16288</v>
          </cell>
        </row>
        <row r="185">
          <cell r="A185" t="str">
            <v>Oripää</v>
          </cell>
          <cell r="B185">
            <v>1417</v>
          </cell>
        </row>
        <row r="186">
          <cell r="A186" t="str">
            <v>Orivesi</v>
          </cell>
          <cell r="B186">
            <v>9579</v>
          </cell>
        </row>
        <row r="187">
          <cell r="A187" t="str">
            <v>Oulainen</v>
          </cell>
          <cell r="B187">
            <v>7725</v>
          </cell>
        </row>
        <row r="188">
          <cell r="A188" t="str">
            <v>Oulu</v>
          </cell>
          <cell r="B188">
            <v>196291</v>
          </cell>
        </row>
        <row r="189">
          <cell r="A189" t="str">
            <v>Outokumpu</v>
          </cell>
          <cell r="B189">
            <v>7172</v>
          </cell>
        </row>
        <row r="190">
          <cell r="A190" t="str">
            <v>Padasjoki</v>
          </cell>
          <cell r="B190">
            <v>3197</v>
          </cell>
        </row>
        <row r="191">
          <cell r="A191" t="str">
            <v>Paimio</v>
          </cell>
          <cell r="B191">
            <v>10628</v>
          </cell>
        </row>
        <row r="192">
          <cell r="A192" t="str">
            <v>Paltamo</v>
          </cell>
          <cell r="B192">
            <v>3564</v>
          </cell>
        </row>
        <row r="193">
          <cell r="A193" t="str">
            <v>Parainen</v>
          </cell>
          <cell r="B193">
            <v>15494</v>
          </cell>
        </row>
        <row r="194">
          <cell r="A194" t="str">
            <v>Parikkala</v>
          </cell>
          <cell r="B194">
            <v>5373</v>
          </cell>
        </row>
        <row r="195">
          <cell r="A195" t="str">
            <v>Parkano</v>
          </cell>
          <cell r="B195">
            <v>6808</v>
          </cell>
        </row>
        <row r="196">
          <cell r="A196" t="str">
            <v>Pedersören kunta</v>
          </cell>
          <cell r="B196">
            <v>11060</v>
          </cell>
        </row>
        <row r="197">
          <cell r="A197" t="str">
            <v>Pelkosenniemi</v>
          </cell>
          <cell r="B197">
            <v>947</v>
          </cell>
        </row>
        <row r="198">
          <cell r="A198" t="str">
            <v>Pello</v>
          </cell>
          <cell r="B198">
            <v>3676</v>
          </cell>
        </row>
        <row r="199">
          <cell r="A199" t="str">
            <v>Perho</v>
          </cell>
          <cell r="B199">
            <v>2893</v>
          </cell>
        </row>
        <row r="200">
          <cell r="A200" t="str">
            <v>Pertunmaa</v>
          </cell>
          <cell r="B200">
            <v>1832</v>
          </cell>
        </row>
        <row r="201">
          <cell r="A201" t="str">
            <v>Petäjävesi</v>
          </cell>
          <cell r="B201">
            <v>4081</v>
          </cell>
        </row>
        <row r="202">
          <cell r="A202" t="str">
            <v>Pieksämäki</v>
          </cell>
          <cell r="B202">
            <v>19051</v>
          </cell>
        </row>
        <row r="203">
          <cell r="A203" t="str">
            <v>Pielavesi</v>
          </cell>
          <cell r="B203">
            <v>4787</v>
          </cell>
        </row>
        <row r="204">
          <cell r="A204" t="str">
            <v>Pietarsaari</v>
          </cell>
          <cell r="B204">
            <v>19577</v>
          </cell>
        </row>
        <row r="205">
          <cell r="A205" t="str">
            <v>Pihtipudas</v>
          </cell>
          <cell r="B205">
            <v>4261</v>
          </cell>
        </row>
        <row r="206">
          <cell r="A206" t="str">
            <v>Pirkkala</v>
          </cell>
          <cell r="B206">
            <v>18689</v>
          </cell>
        </row>
        <row r="207">
          <cell r="A207" t="str">
            <v>Polvijärvi</v>
          </cell>
          <cell r="B207">
            <v>4609</v>
          </cell>
        </row>
        <row r="208">
          <cell r="A208" t="str">
            <v>Pomarkku</v>
          </cell>
          <cell r="B208">
            <v>2275</v>
          </cell>
        </row>
        <row r="209">
          <cell r="A209" t="str">
            <v>Pori</v>
          </cell>
          <cell r="B209">
            <v>85418</v>
          </cell>
        </row>
        <row r="210">
          <cell r="A210" t="str">
            <v>Pornainen</v>
          </cell>
          <cell r="B210">
            <v>5148</v>
          </cell>
        </row>
        <row r="211">
          <cell r="A211" t="str">
            <v>Porvoo</v>
          </cell>
          <cell r="B211">
            <v>49728</v>
          </cell>
        </row>
        <row r="212">
          <cell r="A212" t="str">
            <v>Posio</v>
          </cell>
          <cell r="B212">
            <v>3633</v>
          </cell>
        </row>
        <row r="213">
          <cell r="A213" t="str">
            <v>Pudasjärvi</v>
          </cell>
          <cell r="B213">
            <v>8399</v>
          </cell>
        </row>
        <row r="214">
          <cell r="A214" t="str">
            <v>Pukkila</v>
          </cell>
          <cell r="B214">
            <v>2013</v>
          </cell>
        </row>
        <row r="215">
          <cell r="A215" t="str">
            <v>Punkalaidun</v>
          </cell>
          <cell r="B215">
            <v>3117</v>
          </cell>
        </row>
        <row r="216">
          <cell r="A216" t="str">
            <v>Puolanka</v>
          </cell>
          <cell r="B216">
            <v>2824</v>
          </cell>
        </row>
        <row r="217">
          <cell r="A217" t="str">
            <v>Puumala</v>
          </cell>
          <cell r="B217">
            <v>2306</v>
          </cell>
        </row>
        <row r="218">
          <cell r="A218" t="str">
            <v>Pyhtää</v>
          </cell>
          <cell r="B218">
            <v>5354</v>
          </cell>
        </row>
        <row r="219">
          <cell r="A219" t="str">
            <v>Pyhäjoki</v>
          </cell>
          <cell r="B219">
            <v>3290</v>
          </cell>
        </row>
        <row r="220">
          <cell r="A220" t="str">
            <v>Pyhäjärvi</v>
          </cell>
          <cell r="B220">
            <v>5562</v>
          </cell>
        </row>
        <row r="221">
          <cell r="A221" t="str">
            <v>Pyhäntä</v>
          </cell>
          <cell r="B221">
            <v>1562</v>
          </cell>
        </row>
        <row r="222">
          <cell r="A222" t="str">
            <v>Pyhäranta</v>
          </cell>
          <cell r="B222">
            <v>2136</v>
          </cell>
        </row>
        <row r="223">
          <cell r="A223" t="str">
            <v>Pälkäne</v>
          </cell>
          <cell r="B223">
            <v>6722</v>
          </cell>
        </row>
        <row r="224">
          <cell r="A224" t="str">
            <v>Pöytyä</v>
          </cell>
          <cell r="B224">
            <v>8619</v>
          </cell>
        </row>
        <row r="225">
          <cell r="A225" t="str">
            <v>Raahe</v>
          </cell>
          <cell r="B225">
            <v>25383</v>
          </cell>
        </row>
        <row r="226">
          <cell r="A226" t="str">
            <v>Raasepori</v>
          </cell>
          <cell r="B226">
            <v>28674</v>
          </cell>
        </row>
        <row r="227">
          <cell r="A227" t="str">
            <v>Raisio</v>
          </cell>
          <cell r="B227">
            <v>24371</v>
          </cell>
        </row>
        <row r="228">
          <cell r="A228" t="str">
            <v>Rantasalmi</v>
          </cell>
          <cell r="B228">
            <v>3815</v>
          </cell>
        </row>
        <row r="229">
          <cell r="A229" t="str">
            <v>Ranua</v>
          </cell>
          <cell r="B229">
            <v>4093</v>
          </cell>
        </row>
        <row r="230">
          <cell r="A230" t="str">
            <v>Rauma</v>
          </cell>
          <cell r="B230">
            <v>39970</v>
          </cell>
        </row>
        <row r="231">
          <cell r="A231" t="str">
            <v>Rautalampi</v>
          </cell>
          <cell r="B231">
            <v>3374</v>
          </cell>
        </row>
        <row r="232">
          <cell r="A232" t="str">
            <v>Rautavaara</v>
          </cell>
          <cell r="B232">
            <v>1768</v>
          </cell>
        </row>
        <row r="233">
          <cell r="A233" t="str">
            <v>Rautjärvi</v>
          </cell>
          <cell r="B233">
            <v>3626</v>
          </cell>
        </row>
        <row r="234">
          <cell r="A234" t="str">
            <v>Reisjärvi</v>
          </cell>
          <cell r="B234">
            <v>2901</v>
          </cell>
        </row>
        <row r="235">
          <cell r="A235" t="str">
            <v>Riihimäki</v>
          </cell>
          <cell r="B235">
            <v>29350</v>
          </cell>
        </row>
        <row r="236">
          <cell r="A236" t="str">
            <v>Ristijärvi</v>
          </cell>
          <cell r="B236">
            <v>1416</v>
          </cell>
        </row>
        <row r="237">
          <cell r="A237" t="str">
            <v>Rovaniemi</v>
          </cell>
          <cell r="B237">
            <v>61551</v>
          </cell>
        </row>
        <row r="238">
          <cell r="A238" t="str">
            <v>Ruokolahti</v>
          </cell>
          <cell r="B238">
            <v>5404</v>
          </cell>
        </row>
        <row r="239">
          <cell r="A239" t="str">
            <v>Ruovesi</v>
          </cell>
          <cell r="B239">
            <v>4689</v>
          </cell>
        </row>
        <row r="240">
          <cell r="A240" t="str">
            <v>Rusko</v>
          </cell>
          <cell r="B240">
            <v>6045</v>
          </cell>
        </row>
        <row r="241">
          <cell r="A241" t="str">
            <v>Rääkkylä</v>
          </cell>
          <cell r="B241">
            <v>2435</v>
          </cell>
        </row>
        <row r="242">
          <cell r="A242" t="str">
            <v>Saarijärvi</v>
          </cell>
          <cell r="B242">
            <v>10084</v>
          </cell>
        </row>
        <row r="243">
          <cell r="A243" t="str">
            <v>Salla</v>
          </cell>
          <cell r="B243">
            <v>3781</v>
          </cell>
        </row>
        <row r="244">
          <cell r="A244" t="str">
            <v>Salo</v>
          </cell>
          <cell r="B244">
            <v>54238</v>
          </cell>
        </row>
        <row r="245">
          <cell r="A245" t="str">
            <v>Saltvik</v>
          </cell>
          <cell r="B245">
            <v>1825</v>
          </cell>
        </row>
        <row r="246">
          <cell r="A246" t="str">
            <v>Sastamala</v>
          </cell>
          <cell r="B246">
            <v>25372</v>
          </cell>
        </row>
        <row r="247">
          <cell r="A247" t="str">
            <v>Sauvo</v>
          </cell>
          <cell r="B247">
            <v>2999</v>
          </cell>
        </row>
        <row r="248">
          <cell r="A248" t="str">
            <v>Savitaipale</v>
          </cell>
          <cell r="B248">
            <v>3667</v>
          </cell>
        </row>
        <row r="249">
          <cell r="A249" t="str">
            <v>Savonlinna</v>
          </cell>
          <cell r="B249">
            <v>35944</v>
          </cell>
        </row>
        <row r="250">
          <cell r="A250" t="str">
            <v>Savukoski</v>
          </cell>
          <cell r="B250">
            <v>1103</v>
          </cell>
        </row>
        <row r="251">
          <cell r="A251" t="str">
            <v>Seinäjoki</v>
          </cell>
          <cell r="B251">
            <v>60880</v>
          </cell>
        </row>
        <row r="252">
          <cell r="A252" t="str">
            <v>Sievi</v>
          </cell>
          <cell r="B252">
            <v>5154</v>
          </cell>
        </row>
        <row r="253">
          <cell r="A253" t="str">
            <v>Siikainen</v>
          </cell>
          <cell r="B253">
            <v>1593</v>
          </cell>
        </row>
        <row r="254">
          <cell r="A254" t="str">
            <v>Siikajoki</v>
          </cell>
          <cell r="B254">
            <v>5526</v>
          </cell>
        </row>
        <row r="255">
          <cell r="A255" t="str">
            <v>Siikalatva</v>
          </cell>
          <cell r="B255">
            <v>5816</v>
          </cell>
        </row>
        <row r="256">
          <cell r="A256" t="str">
            <v>Siilinjärvi</v>
          </cell>
          <cell r="B256">
            <v>21668</v>
          </cell>
        </row>
        <row r="257">
          <cell r="A257" t="str">
            <v>Simo</v>
          </cell>
          <cell r="B257">
            <v>3296</v>
          </cell>
        </row>
        <row r="258">
          <cell r="A258" t="str">
            <v>Sipoo</v>
          </cell>
          <cell r="B258">
            <v>19034</v>
          </cell>
        </row>
        <row r="259">
          <cell r="A259" t="str">
            <v>Siuntio</v>
          </cell>
          <cell r="B259">
            <v>6199</v>
          </cell>
        </row>
        <row r="260">
          <cell r="A260" t="str">
            <v>Sodankylä</v>
          </cell>
          <cell r="B260">
            <v>8820</v>
          </cell>
        </row>
        <row r="261">
          <cell r="A261" t="str">
            <v>Soini</v>
          </cell>
          <cell r="B261">
            <v>2273</v>
          </cell>
        </row>
        <row r="262">
          <cell r="A262" t="str">
            <v>Somero</v>
          </cell>
          <cell r="B262">
            <v>9173</v>
          </cell>
        </row>
        <row r="263">
          <cell r="A263" t="str">
            <v>Sonkajärvi</v>
          </cell>
          <cell r="B263">
            <v>4336</v>
          </cell>
        </row>
        <row r="264">
          <cell r="A264" t="str">
            <v>Sotkamo</v>
          </cell>
          <cell r="B264">
            <v>10598</v>
          </cell>
        </row>
        <row r="265">
          <cell r="A265" t="str">
            <v>Sottunga</v>
          </cell>
          <cell r="B265">
            <v>101</v>
          </cell>
        </row>
        <row r="266">
          <cell r="A266" t="str">
            <v>Sulkava</v>
          </cell>
          <cell r="B266">
            <v>2789</v>
          </cell>
        </row>
        <row r="267">
          <cell r="A267" t="str">
            <v>Sund</v>
          </cell>
          <cell r="B267">
            <v>1035</v>
          </cell>
        </row>
        <row r="268">
          <cell r="A268" t="str">
            <v>Suomussalmi</v>
          </cell>
          <cell r="B268">
            <v>8486</v>
          </cell>
        </row>
        <row r="269">
          <cell r="A269" t="str">
            <v>Suonenjoki</v>
          </cell>
          <cell r="B269">
            <v>7419</v>
          </cell>
        </row>
        <row r="270">
          <cell r="A270" t="str">
            <v>Sysmä</v>
          </cell>
          <cell r="B270">
            <v>4097</v>
          </cell>
        </row>
        <row r="271">
          <cell r="A271" t="str">
            <v>Säkylä</v>
          </cell>
          <cell r="B271">
            <v>4539</v>
          </cell>
        </row>
        <row r="272">
          <cell r="A272" t="str">
            <v>Taipalsaari</v>
          </cell>
          <cell r="B272">
            <v>4798</v>
          </cell>
        </row>
        <row r="273">
          <cell r="A273" t="str">
            <v>Taivalkoski</v>
          </cell>
          <cell r="B273">
            <v>4231</v>
          </cell>
        </row>
        <row r="274">
          <cell r="A274" t="str">
            <v>Taivassalo</v>
          </cell>
          <cell r="B274">
            <v>1645</v>
          </cell>
        </row>
        <row r="275">
          <cell r="A275" t="str">
            <v>Tammela</v>
          </cell>
          <cell r="B275">
            <v>6395</v>
          </cell>
        </row>
        <row r="276">
          <cell r="A276" t="str">
            <v>Tampere</v>
          </cell>
          <cell r="B276">
            <v>223004</v>
          </cell>
        </row>
        <row r="277">
          <cell r="A277" t="str">
            <v>Tervo</v>
          </cell>
          <cell r="B277">
            <v>1627</v>
          </cell>
        </row>
        <row r="278">
          <cell r="A278" t="str">
            <v>Tervola</v>
          </cell>
          <cell r="B278">
            <v>3239</v>
          </cell>
        </row>
        <row r="279">
          <cell r="A279" t="str">
            <v>Teuva</v>
          </cell>
          <cell r="B279">
            <v>5543</v>
          </cell>
        </row>
        <row r="280">
          <cell r="A280" t="str">
            <v>Tohmajärvi</v>
          </cell>
          <cell r="B280">
            <v>4794</v>
          </cell>
        </row>
        <row r="281">
          <cell r="A281" t="str">
            <v>Toholampi</v>
          </cell>
          <cell r="B281">
            <v>3354</v>
          </cell>
        </row>
        <row r="282">
          <cell r="A282" t="str">
            <v>Toivakka</v>
          </cell>
          <cell r="B282">
            <v>2472</v>
          </cell>
        </row>
        <row r="283">
          <cell r="A283" t="str">
            <v>Tornio</v>
          </cell>
          <cell r="B283">
            <v>22322</v>
          </cell>
        </row>
        <row r="284">
          <cell r="A284" t="str">
            <v>Turku</v>
          </cell>
          <cell r="B284">
            <v>183824</v>
          </cell>
        </row>
        <row r="285">
          <cell r="A285" t="str">
            <v>Tuusniemi</v>
          </cell>
          <cell r="B285">
            <v>2750</v>
          </cell>
        </row>
        <row r="286">
          <cell r="A286" t="str">
            <v>Tuusula</v>
          </cell>
          <cell r="B286">
            <v>38198</v>
          </cell>
        </row>
        <row r="287">
          <cell r="A287" t="str">
            <v>Tyrnävä</v>
          </cell>
          <cell r="B287">
            <v>6735</v>
          </cell>
        </row>
        <row r="288">
          <cell r="A288" t="str">
            <v>Ulvila</v>
          </cell>
          <cell r="B288">
            <v>13322</v>
          </cell>
        </row>
        <row r="289">
          <cell r="A289" t="str">
            <v>Urjala</v>
          </cell>
          <cell r="B289">
            <v>4984</v>
          </cell>
        </row>
        <row r="290">
          <cell r="A290" t="str">
            <v>Utajärvi</v>
          </cell>
          <cell r="B290">
            <v>2907</v>
          </cell>
        </row>
        <row r="291">
          <cell r="A291" t="str">
            <v>Utsjoki</v>
          </cell>
          <cell r="B291">
            <v>1260</v>
          </cell>
        </row>
        <row r="292">
          <cell r="A292" t="str">
            <v>Uurainen</v>
          </cell>
          <cell r="B292">
            <v>3611</v>
          </cell>
        </row>
        <row r="293">
          <cell r="A293" t="str">
            <v>Uusikaarlepyy</v>
          </cell>
          <cell r="B293">
            <v>7533</v>
          </cell>
        </row>
        <row r="294">
          <cell r="A294" t="str">
            <v>Uusikaupunki</v>
          </cell>
          <cell r="B294">
            <v>15567</v>
          </cell>
        </row>
        <row r="295">
          <cell r="A295" t="str">
            <v>Vaala</v>
          </cell>
          <cell r="B295">
            <v>3139</v>
          </cell>
        </row>
        <row r="296">
          <cell r="A296" t="str">
            <v>Vaasa</v>
          </cell>
          <cell r="B296">
            <v>66965</v>
          </cell>
        </row>
        <row r="297">
          <cell r="A297" t="str">
            <v>Valkeakoski</v>
          </cell>
          <cell r="B297">
            <v>21162</v>
          </cell>
        </row>
        <row r="298">
          <cell r="A298" t="str">
            <v>Valtimo</v>
          </cell>
          <cell r="B298">
            <v>2362</v>
          </cell>
        </row>
        <row r="299">
          <cell r="A299" t="str">
            <v>Vantaa</v>
          </cell>
          <cell r="B299">
            <v>210803</v>
          </cell>
        </row>
        <row r="300">
          <cell r="A300" t="str">
            <v>Varkaus</v>
          </cell>
          <cell r="B300">
            <v>21860</v>
          </cell>
        </row>
        <row r="301">
          <cell r="A301" t="str">
            <v>Vehmaa</v>
          </cell>
          <cell r="B301">
            <v>2339</v>
          </cell>
        </row>
        <row r="302">
          <cell r="A302" t="str">
            <v>Vesanto</v>
          </cell>
          <cell r="B302">
            <v>2244</v>
          </cell>
        </row>
        <row r="303">
          <cell r="A303" t="str">
            <v>Vesilahti</v>
          </cell>
          <cell r="B303">
            <v>4492</v>
          </cell>
        </row>
        <row r="304">
          <cell r="A304" t="str">
            <v>Veteli</v>
          </cell>
          <cell r="B304">
            <v>3342</v>
          </cell>
        </row>
        <row r="305">
          <cell r="A305" t="str">
            <v>Vieremä</v>
          </cell>
          <cell r="B305">
            <v>3816</v>
          </cell>
        </row>
        <row r="306">
          <cell r="A306" t="str">
            <v>Vihti</v>
          </cell>
          <cell r="B306">
            <v>28995</v>
          </cell>
        </row>
        <row r="307">
          <cell r="A307" t="str">
            <v>Viitasaari</v>
          </cell>
          <cell r="B307">
            <v>6780</v>
          </cell>
        </row>
        <row r="308">
          <cell r="A308" t="str">
            <v>Vimpeli</v>
          </cell>
          <cell r="B308">
            <v>3106</v>
          </cell>
        </row>
        <row r="309">
          <cell r="A309" t="str">
            <v>Virolahti</v>
          </cell>
          <cell r="B309">
            <v>3399</v>
          </cell>
        </row>
        <row r="310">
          <cell r="A310" t="str">
            <v>Virrat</v>
          </cell>
          <cell r="B310">
            <v>7157</v>
          </cell>
        </row>
        <row r="311">
          <cell r="A311" t="str">
            <v>Vårdö</v>
          </cell>
          <cell r="B311">
            <v>439</v>
          </cell>
        </row>
        <row r="312">
          <cell r="A312" t="str">
            <v>Vöyri</v>
          </cell>
          <cell r="B312">
            <v>6705</v>
          </cell>
        </row>
        <row r="313">
          <cell r="A313" t="str">
            <v>Ylitornio</v>
          </cell>
          <cell r="B313">
            <v>4348</v>
          </cell>
        </row>
        <row r="314">
          <cell r="A314" t="str">
            <v>Ylivieska</v>
          </cell>
          <cell r="B314">
            <v>14976</v>
          </cell>
        </row>
        <row r="315">
          <cell r="A315" t="str">
            <v>Ylöjärvi</v>
          </cell>
          <cell r="B315">
            <v>32260</v>
          </cell>
        </row>
        <row r="316">
          <cell r="A316" t="str">
            <v>Ypäjä</v>
          </cell>
          <cell r="B316">
            <v>2468</v>
          </cell>
        </row>
        <row r="317">
          <cell r="A317" t="str">
            <v>Ähtäri</v>
          </cell>
          <cell r="B317">
            <v>6178</v>
          </cell>
        </row>
        <row r="318">
          <cell r="A318" t="str">
            <v>Äänekoski</v>
          </cell>
          <cell r="B318">
            <v>19909</v>
          </cell>
        </row>
      </sheetData>
      <sheetData sheetId="31"/>
    </sheetDataSet>
  </externalBook>
</externalLink>
</file>

<file path=xl/tables/table1.xml><?xml version="1.0" encoding="utf-8"?>
<table xmlns="http://schemas.openxmlformats.org/spreadsheetml/2006/main" id="2" name="TN_kunnat" displayName="TN_kunnat" ref="A1:I41" totalsRowShown="0">
  <autoFilter ref="A1:I41"/>
  <tableColumns count="9">
    <tableColumn id="1" name="Kunnan nimi" dataDxfId="60" dataCellStyle="Normaali 4"/>
    <tableColumn id="2" name="Sarake1" dataDxfId="59"/>
    <tableColumn id="3" name="otos" dataDxfId="58"/>
    <tableColumn id="4" name="vastanneet" dataDxfId="57"/>
    <tableColumn id="5" name="prosenttina" dataDxfId="56"/>
    <tableColumn id="6" name="kuntanro" dataDxfId="55"/>
    <tableColumn id="7" name="Asukasluku 31.12.2014" dataDxfId="54"/>
    <tableColumn id="8" name="Valtuusto _x000a_(vastaukset/ paikat)" dataDxfId="53"/>
    <tableColumn id="9" name="Vastaus-prosentti,_x000a_valtuutetut" dataDxfId="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N_k14_ryhmat" displayName="TN_k14_ryhmat" ref="A19:L25" totalsRowShown="0" headerRowDxfId="21">
  <autoFilter ref="A19:L25"/>
  <tableColumns count="12">
    <tableColumn id="1" name="asukasluku"/>
    <tableColumn id="2" name="v1401"/>
    <tableColumn id="3" name="v1402"/>
    <tableColumn id="4" name="v1403"/>
    <tableColumn id="5" name="v1404"/>
    <tableColumn id="6" name="v1405"/>
    <tableColumn id="7" name="v1406"/>
    <tableColumn id="8" name="v1407"/>
    <tableColumn id="9" name="v1408"/>
    <tableColumn id="10" name="v1409"/>
    <tableColumn id="11" name="v1410"/>
    <tableColumn id="12" name="N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N_k14_kunnat" displayName="TN_k14_kunnat" ref="A28:L68" totalsRowShown="0" headerRowDxfId="20">
  <autoFilter ref="A28:L68"/>
  <tableColumns count="12">
    <tableColumn id="1" name="Sarake1"/>
    <tableColumn id="2" name="v1401"/>
    <tableColumn id="3" name="v1402"/>
    <tableColumn id="4" name="v1403"/>
    <tableColumn id="5" name="v1404"/>
    <tableColumn id="6" name="v1405"/>
    <tableColumn id="7" name="v1406"/>
    <tableColumn id="8" name="v1407"/>
    <tableColumn id="9" name="v1408"/>
    <tableColumn id="10" name="v1409"/>
    <tableColumn id="11" name="v14012"/>
    <tableColumn id="12" name="N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N_k15_ryhmat" displayName="TN_k15_ryhmat" ref="A16:J22" totalsRowShown="0" headerRowDxfId="19">
  <autoFilter ref="A16:J22"/>
  <tableColumns count="10">
    <tableColumn id="1" name="Sarake1"/>
    <tableColumn id="2" name="v1501"/>
    <tableColumn id="3" name="v1502"/>
    <tableColumn id="4" name="v1503"/>
    <tableColumn id="5" name="v1504"/>
    <tableColumn id="6" name="v1505"/>
    <tableColumn id="7" name="v1506"/>
    <tableColumn id="8" name="v1507"/>
    <tableColumn id="9" name="v1508"/>
    <tableColumn id="10" name="N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N_k15_kunnat" displayName="TN_k15_kunnat" ref="A24:J64" totalsRowShown="0" headerRowDxfId="18">
  <autoFilter ref="A24:J64"/>
  <tableColumns count="10">
    <tableColumn id="1" name="Sarake1"/>
    <tableColumn id="2" name="v1501"/>
    <tableColumn id="3" name="v1502"/>
    <tableColumn id="4" name="v1503"/>
    <tableColumn id="5" name="v1504"/>
    <tableColumn id="6" name="v1505"/>
    <tableColumn id="7" name="v1506"/>
    <tableColumn id="8" name="v1507"/>
    <tableColumn id="9" name="v1508"/>
    <tableColumn id="10" name="N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N_k16_ryhmat" displayName="TN_k16_ryhmat" ref="A15:J21" totalsRowShown="0" headerRowDxfId="17">
  <autoFilter ref="A15:J21"/>
  <tableColumns count="10">
    <tableColumn id="1" name="Sarake1"/>
    <tableColumn id="2" name="v1601"/>
    <tableColumn id="3" name="v1602"/>
    <tableColumn id="4" name="v1603"/>
    <tableColumn id="5" name="v1604"/>
    <tableColumn id="6" name="v1605"/>
    <tableColumn id="7" name="v1606"/>
    <tableColumn id="8" name="v1607"/>
    <tableColumn id="9" name="v1608"/>
    <tableColumn id="10" name="N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N_k16_kunnat" displayName="TN_k16_kunnat" ref="A23:J63" totalsRowShown="0" headerRowDxfId="16">
  <autoFilter ref="A23:J63"/>
  <tableColumns count="10">
    <tableColumn id="1" name="Sarake1"/>
    <tableColumn id="2" name="Sarake2"/>
    <tableColumn id="3" name="v1601"/>
    <tableColumn id="4" name="v1602"/>
    <tableColumn id="5" name="v1603"/>
    <tableColumn id="6" name="v1604"/>
    <tableColumn id="7" name="v1605"/>
    <tableColumn id="8" name="v1606"/>
    <tableColumn id="9" name="v1607"/>
    <tableColumn id="10" name="v160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N_k17_ryhmat" displayName="TN_k17_ryhmat" ref="A10:E16" totalsRowShown="0" headerRowDxfId="15">
  <autoFilter ref="A10:E16"/>
  <tableColumns count="5">
    <tableColumn id="1" name="Sarake1"/>
    <tableColumn id="2" name="v1701"/>
    <tableColumn id="3" name="v1702"/>
    <tableColumn id="4" name="v1703"/>
    <tableColumn id="5" name="N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N_k17_kunnat" displayName="TN_k17_kunnat" ref="A18:E58" totalsRowShown="0" headerRowDxfId="14">
  <autoFilter ref="A18:E58"/>
  <tableColumns count="5">
    <tableColumn id="1" name="Kunta"/>
    <tableColumn id="2" name="v1701"/>
    <tableColumn id="3" name="v1702"/>
    <tableColumn id="4" name="v1703"/>
    <tableColumn id="5" name="N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TN_k18_ryhmat" displayName="TN_k18_ryhmat" ref="A35:Y41" totalsRowShown="0" headerRowDxfId="13">
  <autoFilter ref="A35:Y41"/>
  <tableColumns count="25">
    <tableColumn id="1" name="Sarake1"/>
    <tableColumn id="2" name="v1801"/>
    <tableColumn id="3" name="v1802"/>
    <tableColumn id="4" name="v1803"/>
    <tableColumn id="5" name="v1804"/>
    <tableColumn id="6" name="v1805"/>
    <tableColumn id="7" name="v1806"/>
    <tableColumn id="8" name="v1807"/>
    <tableColumn id="9" name="v1808"/>
    <tableColumn id="10" name="v1809"/>
    <tableColumn id="11" name="v1810"/>
    <tableColumn id="12" name="v1811"/>
    <tableColumn id="13" name="v1812"/>
    <tableColumn id="14" name="v1813"/>
    <tableColumn id="15" name="v1814"/>
    <tableColumn id="16" name="v1815"/>
    <tableColumn id="17" name="v1816"/>
    <tableColumn id="18" name="v1817"/>
    <tableColumn id="19" name="v1818"/>
    <tableColumn id="20" name="v1819"/>
    <tableColumn id="21" name="v1820"/>
    <tableColumn id="22" name="v1821"/>
    <tableColumn id="23" name="v1822"/>
    <tableColumn id="24" name="v1823"/>
    <tableColumn id="25" name="N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TN_k18_kunnat" displayName="TN_k18_kunnat" ref="A45:Y85" totalsRowShown="0" headerRowDxfId="12">
  <autoFilter ref="A45:Y85"/>
  <tableColumns count="25">
    <tableColumn id="1" name="Sarake1"/>
    <tableColumn id="2" name="v1801"/>
    <tableColumn id="3" name="v1802"/>
    <tableColumn id="4" name="v1803"/>
    <tableColumn id="5" name="v1804"/>
    <tableColumn id="6" name="v1805"/>
    <tableColumn id="7" name="v1806"/>
    <tableColumn id="8" name="v1807"/>
    <tableColumn id="9" name="v1808"/>
    <tableColumn id="10" name="v1809"/>
    <tableColumn id="11" name="v1810"/>
    <tableColumn id="12" name="v1811"/>
    <tableColumn id="13" name="v1812"/>
    <tableColumn id="14" name="v18122"/>
    <tableColumn id="15" name="v1814"/>
    <tableColumn id="16" name="v1815"/>
    <tableColumn id="17" name="v1816"/>
    <tableColumn id="18" name="v1817"/>
    <tableColumn id="19" name="v1818"/>
    <tableColumn id="20" name="v1819"/>
    <tableColumn id="21" name="v1820"/>
    <tableColumn id="22" name="v1821"/>
    <tableColumn id="23" name="v1822"/>
    <tableColumn id="24" name="v1823"/>
    <tableColumn id="25" name="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N_k10_ryhmat" displayName="TN_k10_ryhmat" ref="A13:E19" totalsRowShown="0" headerRowDxfId="51">
  <autoFilter ref="A13:E19"/>
  <tableColumns count="5">
    <tableColumn id="1" name="Sarake1" dataDxfId="50"/>
    <tableColumn id="2" name="Kyllä %"/>
    <tableColumn id="3" name="En %"/>
    <tableColumn id="4" name="En ole vielä päättänyt %"/>
    <tableColumn id="5" name="N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TN_k19_ryhmat" displayName="TN_k19_ryhmat" ref="A15:H21" totalsRowShown="0" headerRowDxfId="11">
  <autoFilter ref="A15:H21"/>
  <tableColumns count="8">
    <tableColumn id="1" name="Sarake1"/>
    <tableColumn id="2" name="v1901"/>
    <tableColumn id="3" name="v1902"/>
    <tableColumn id="4" name="v1903"/>
    <tableColumn id="5" name="v1904"/>
    <tableColumn id="6" name="v1905"/>
    <tableColumn id="7" name="v1906"/>
    <tableColumn id="8" name="N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TN_k19_kunnat" displayName="TN_k19_kunnat" ref="A23:H63" totalsRowShown="0" headerRowDxfId="10">
  <autoFilter ref="A23:H63"/>
  <tableColumns count="8">
    <tableColumn id="1" name="Sarake1"/>
    <tableColumn id="2" name="v1901"/>
    <tableColumn id="3" name="v1902"/>
    <tableColumn id="4" name="v1903"/>
    <tableColumn id="5" name="v1904"/>
    <tableColumn id="6" name="v1905"/>
    <tableColumn id="7" name="v1906"/>
    <tableColumn id="8" name="N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TN_k20_ryhmat" displayName="TN_k20_ryhmat" ref="A12:G18" totalsRowShown="0" headerRowDxfId="9">
  <autoFilter ref="A12:G18"/>
  <tableColumns count="7">
    <tableColumn id="1" name="Sarake1"/>
    <tableColumn id="2" name="v2001"/>
    <tableColumn id="3" name="v2002"/>
    <tableColumn id="4" name="v2003"/>
    <tableColumn id="5" name="v2004"/>
    <tableColumn id="6" name="v2005"/>
    <tableColumn id="7" name="N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TN_k20_kunnat" displayName="TN_k20_kunnat" ref="A20:G60" totalsRowShown="0" headerRowDxfId="8">
  <autoFilter ref="A20:G60"/>
  <tableColumns count="7">
    <tableColumn id="1" name="Sarake1"/>
    <tableColumn id="2" name="v2001"/>
    <tableColumn id="3" name="v2002"/>
    <tableColumn id="4" name="v2003"/>
    <tableColumn id="5" name="v2004"/>
    <tableColumn id="6" name="v2005"/>
    <tableColumn id="7" name="N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TN_k21_ryhmat" displayName="TN_k21_ryhmat" ref="A13:G19" totalsRowShown="0" headerRowDxfId="7">
  <autoFilter ref="A13:G19"/>
  <tableColumns count="7">
    <tableColumn id="1" name="Sarake1"/>
    <tableColumn id="2" name="v2101"/>
    <tableColumn id="3" name="v2102"/>
    <tableColumn id="4" name="v2103"/>
    <tableColumn id="5" name="v2104"/>
    <tableColumn id="6" name="v2105"/>
    <tableColumn id="7" name="N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TN_k21_kunnat" displayName="TN_k21_kunnat" ref="A21:G61" totalsRowShown="0" headerRowDxfId="6">
  <autoFilter ref="A21:G61"/>
  <tableColumns count="7">
    <tableColumn id="1" name="Sarake1"/>
    <tableColumn id="2" name="v2101"/>
    <tableColumn id="3" name="v2102"/>
    <tableColumn id="4" name="v2103"/>
    <tableColumn id="5" name="v2104"/>
    <tableColumn id="6" name="v2105"/>
    <tableColumn id="7" name="N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TN_k22_ryhmat" displayName="TN_k22_ryhmat" ref="A11:D17" totalsRowShown="0" headerRowDxfId="5" dataDxfId="4">
  <autoFilter ref="A11:D17"/>
  <tableColumns count="4">
    <tableColumn id="1" name="Sarake1"/>
    <tableColumn id="2" name="v2201" dataDxfId="3"/>
    <tableColumn id="3" name="v2202" dataDxfId="2"/>
    <tableColumn id="4" name="N" dataDxfId="1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TN_k22_kunnat" displayName="TN_k22_kunnat" ref="A19:D59" totalsRowShown="0" headerRowDxfId="0">
  <autoFilter ref="A19:D59"/>
  <tableColumns count="4">
    <tableColumn id="1" name="Sarake1"/>
    <tableColumn id="2" name="v2201"/>
    <tableColumn id="3" name="v2202"/>
    <tableColumn id="4" name="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N_k10_kunta" displayName="TN_k10_kunta" ref="A23:E63" totalsRowShown="0" headerRowDxfId="49">
  <autoFilter ref="A23:E63"/>
  <tableColumns count="5">
    <tableColumn id="1" name="Sarake1"/>
    <tableColumn id="2" name="KYLLÄ %"/>
    <tableColumn id="3" name="EN %"/>
    <tableColumn id="4" name="EN OLE VIELÄ PÄÄTTÄNYT %"/>
    <tableColumn id="5" name="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N_k11_ryhmat" displayName="TN_k11_ryhmat" ref="A13:E19" totalsRowShown="0" headerRowDxfId="48">
  <autoFilter ref="A13:E19"/>
  <tableColumns count="5">
    <tableColumn id="1" name="Sarake1"/>
    <tableColumn id="4" name="Kyllä %"/>
    <tableColumn id="5" name="En %"/>
    <tableColumn id="6" name="En ole vielä päättänyt %"/>
    <tableColumn id="7" name="N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N_k11_kunnat" displayName="TN_k11_kunnat" ref="A23:E63" totalsRowShown="0" headerRowDxfId="47">
  <autoFilter ref="A23:E63"/>
  <tableColumns count="5">
    <tableColumn id="1" name="Sarake1"/>
    <tableColumn id="2" name="KYLLÄ %"/>
    <tableColumn id="3" name="EN %"/>
    <tableColumn id="4" name="EN OLE VIELÄ %"/>
    <tableColumn id="5" name="N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N_k12_ryhmat" displayName="TN_k12_ryhmat" ref="A19:J25" totalsRowShown="0" headerRowDxfId="46" dataDxfId="45">
  <autoFilter ref="A19:J25"/>
  <tableColumns count="10">
    <tableColumn id="1" name="asukasluku" dataDxfId="44"/>
    <tableColumn id="2" name="v1201" dataDxfId="43"/>
    <tableColumn id="3" name="v1202" dataDxfId="42"/>
    <tableColumn id="4" name="v1203" dataDxfId="41"/>
    <tableColumn id="5" name="v1204" dataDxfId="40"/>
    <tableColumn id="6" name="v1205" dataDxfId="39"/>
    <tableColumn id="7" name="v1206" dataDxfId="38"/>
    <tableColumn id="8" name="v1207" dataDxfId="37"/>
    <tableColumn id="9" name="v1208" dataDxfId="36"/>
    <tableColumn id="10" name="N" dataDxfId="3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N_k12_kunnat" displayName="TN_k12_kunnat" ref="A29:J69" totalsRowShown="0" headerRowDxfId="34" dataDxfId="33">
  <autoFilter ref="A29:J69"/>
  <tableColumns count="10">
    <tableColumn id="1" name="Sarake1" dataDxfId="32"/>
    <tableColumn id="2" name="v1201" dataDxfId="31"/>
    <tableColumn id="3" name="v1202" dataDxfId="30"/>
    <tableColumn id="4" name="v1203" dataDxfId="29"/>
    <tableColumn id="5" name="v1204" dataDxfId="28"/>
    <tableColumn id="6" name="v1205" dataDxfId="27"/>
    <tableColumn id="7" name="v1206" dataDxfId="26"/>
    <tableColumn id="8" name="v1207" dataDxfId="25"/>
    <tableColumn id="9" name="v1208" dataDxfId="24"/>
    <tableColumn id="10" name="N" dataDxfId="2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" name="TN_k13_ryhmat" displayName="TN_k13_ryhmat" ref="A8:C14" totalsRowShown="0" headerRowDxfId="22">
  <autoFilter ref="A8:C14"/>
  <tableColumns count="3">
    <tableColumn id="1" name="asukasluku"/>
    <tableColumn id="2" name="% 4-5"/>
    <tableColumn id="3" name="N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N_k13_kunnat" displayName="TN_k13_kunnat" ref="A19:C59" totalsRowShown="0">
  <autoFilter ref="A19:C59"/>
  <tableColumns count="3">
    <tableColumn id="1" name="Sarake1"/>
    <tableColumn id="2" name="% 4-5"/>
    <tableColumn id="3" name="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untaliitto">
  <a:themeElements>
    <a:clrScheme name="Kuntaliitto">
      <a:dk1>
        <a:sysClr val="windowText" lastClr="000000"/>
      </a:dk1>
      <a:lt1>
        <a:sysClr val="window" lastClr="FFFFFF"/>
      </a:lt1>
      <a:dk2>
        <a:srgbClr val="002E63"/>
      </a:dk2>
      <a:lt2>
        <a:srgbClr val="FFFFFF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Kuntaliitto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MS 295">
      <a:srgbClr val="002E63"/>
    </a:custClr>
    <a:custClr name="PMS Process Cyan">
      <a:srgbClr val="00A6D6"/>
    </a:custClr>
    <a:custClr name="PMS 1655">
      <a:srgbClr val="F25900"/>
    </a:custClr>
    <a:custClr name="PMS 124">
      <a:srgbClr val="E0AD12"/>
    </a:custClr>
    <a:custClr name="PMS 603">
      <a:srgbClr val="EBE657"/>
    </a:custClr>
    <a:custClr name="PMS 2583">
      <a:srgbClr val="9E4DAB"/>
    </a:custClr>
    <a:custClr name="PMS 200">
      <a:srgbClr val="BA122B"/>
    </a:custClr>
    <a:custClr name="PMS 377">
      <a:srgbClr val="6B8F00"/>
    </a:custClr>
    <a:custClr name="PMS 390">
      <a:srgbClr val="B5BA05"/>
    </a:custClr>
    <a:custClr name="PMS 1525">
      <a:srgbClr val="BA5700"/>
    </a:custClr>
    <a:custClr name="PMS 729">
      <a:srgbClr val="C48F5E"/>
    </a:custClr>
    <a:custClr name="PMS Warm Gray 6">
      <a:srgbClr val="ADA194"/>
    </a:custClr>
    <a:custClr name="PMS 651">
      <a:srgbClr val="A1ADC7"/>
    </a:custClr>
    <a:custClr name="PMS 2905">
      <a:srgbClr val="9EC9E3"/>
    </a:custClr>
    <a:custClr name="PMS 660">
      <a:srgbClr val="426BBA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rantaro\Desktop\Kutu%202011\Kunnallisia%20palveluja%20koskevat%20kysymykset%202011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table" Target="../tables/table2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B2:I44"/>
  <sheetViews>
    <sheetView tabSelected="1" showWhiteSpace="0" view="pageLayout" zoomScaleNormal="100" workbookViewId="0">
      <selection activeCell="B7" sqref="B7"/>
    </sheetView>
  </sheetViews>
  <sheetFormatPr defaultColWidth="8.78515625" defaultRowHeight="13.5" x14ac:dyDescent="0.25"/>
  <cols>
    <col min="1" max="1" width="0.42578125" style="1" customWidth="1"/>
    <col min="2" max="2" width="8.78515625" style="1"/>
    <col min="3" max="3" width="8.78515625" style="1" customWidth="1"/>
    <col min="4" max="8" width="8.78515625" style="1"/>
    <col min="9" max="9" width="16.640625" style="1" customWidth="1"/>
    <col min="10" max="10" width="0.640625" style="1" customWidth="1"/>
    <col min="11" max="16384" width="8.78515625" style="1"/>
  </cols>
  <sheetData>
    <row r="2" spans="2:9" ht="14" x14ac:dyDescent="0.3">
      <c r="E2" s="2" t="s">
        <v>0</v>
      </c>
    </row>
    <row r="3" spans="2:9" ht="14" x14ac:dyDescent="0.3">
      <c r="E3" s="2" t="s">
        <v>1</v>
      </c>
      <c r="F3" s="2"/>
      <c r="G3" s="2"/>
      <c r="H3" s="2"/>
    </row>
    <row r="4" spans="2:9" ht="14" x14ac:dyDescent="0.3">
      <c r="D4" s="3"/>
      <c r="E4" s="2"/>
      <c r="F4" s="2"/>
      <c r="G4" s="2"/>
      <c r="H4" s="2"/>
    </row>
    <row r="5" spans="2:9" ht="14" x14ac:dyDescent="0.3">
      <c r="D5" s="3"/>
      <c r="E5" s="2"/>
      <c r="F5" s="2"/>
      <c r="G5" s="2"/>
      <c r="H5" s="2"/>
    </row>
    <row r="6" spans="2:9" ht="15" x14ac:dyDescent="0.3">
      <c r="C6" s="2"/>
      <c r="D6" s="16" t="s">
        <v>139</v>
      </c>
      <c r="F6" s="2"/>
      <c r="G6" s="2"/>
      <c r="H6" s="2"/>
    </row>
    <row r="7" spans="2:9" ht="14" x14ac:dyDescent="0.3">
      <c r="B7" s="197" t="s">
        <v>505</v>
      </c>
      <c r="C7" s="198"/>
      <c r="D7" s="198"/>
      <c r="E7" s="197"/>
      <c r="F7" s="197"/>
      <c r="G7" s="197"/>
      <c r="H7" s="197"/>
      <c r="I7" s="198"/>
    </row>
    <row r="8" spans="2:9" ht="14" x14ac:dyDescent="0.3">
      <c r="B8" s="100"/>
      <c r="C8" s="100"/>
      <c r="D8" s="100"/>
      <c r="E8" s="101"/>
      <c r="F8" s="2"/>
      <c r="G8" s="2"/>
      <c r="H8" s="2"/>
    </row>
    <row r="9" spans="2:9" ht="17.5" x14ac:dyDescent="0.35">
      <c r="B9" s="179" t="s">
        <v>50</v>
      </c>
      <c r="C9" s="180"/>
      <c r="D9" s="181"/>
      <c r="E9" s="102"/>
      <c r="F9" s="2"/>
      <c r="G9" s="2"/>
      <c r="H9" s="2"/>
    </row>
    <row r="10" spans="2:9" x14ac:dyDescent="0.25">
      <c r="B10" s="100" t="s">
        <v>18</v>
      </c>
      <c r="C10" s="100"/>
      <c r="D10" s="100"/>
      <c r="E10" s="100"/>
    </row>
    <row r="14" spans="2:9" x14ac:dyDescent="0.25">
      <c r="B14" s="9" t="s">
        <v>20</v>
      </c>
      <c r="C14" s="10"/>
      <c r="D14" s="10"/>
      <c r="E14" s="11"/>
      <c r="F14" s="189" t="s">
        <v>343</v>
      </c>
      <c r="G14" s="190"/>
      <c r="H14" s="191"/>
    </row>
    <row r="15" spans="2:9" x14ac:dyDescent="0.25">
      <c r="B15" s="13" t="s">
        <v>38</v>
      </c>
      <c r="C15" s="185" t="s">
        <v>39</v>
      </c>
      <c r="D15" s="186"/>
      <c r="E15" s="13" t="s">
        <v>40</v>
      </c>
      <c r="F15" s="13" t="s">
        <v>38</v>
      </c>
      <c r="G15" s="14" t="s">
        <v>41</v>
      </c>
      <c r="H15" s="15" t="s">
        <v>40</v>
      </c>
    </row>
    <row r="16" spans="2:9" ht="14.5" x14ac:dyDescent="0.35">
      <c r="B16" s="12">
        <f>VLOOKUP(B9,Vastauspros!A2:D41,3)</f>
        <v>25</v>
      </c>
      <c r="C16" s="187">
        <f>VLOOKUP(B9,Vastauspros!A1:E41,4)</f>
        <v>19</v>
      </c>
      <c r="D16" s="188"/>
      <c r="E16" s="164">
        <f>VLOOKUP(Etusivu!B9,Vastauspros!A1:E41,5)</f>
        <v>76</v>
      </c>
      <c r="F16" s="82">
        <f>Vastauspros!$C$42</f>
        <v>2191</v>
      </c>
      <c r="G16" s="63">
        <f>Vastauspros!$D$42</f>
        <v>978</v>
      </c>
      <c r="H16" s="83">
        <f>Vastauspros!$E$42</f>
        <v>44.637151985394794</v>
      </c>
    </row>
    <row r="18" spans="2:9" ht="15" x14ac:dyDescent="0.3">
      <c r="B18" s="182" t="s">
        <v>75</v>
      </c>
      <c r="C18" s="183"/>
      <c r="D18" s="183"/>
      <c r="E18" s="183"/>
      <c r="F18" s="183"/>
      <c r="G18" s="183"/>
      <c r="H18" s="184"/>
    </row>
    <row r="20" spans="2:9" ht="14" x14ac:dyDescent="0.3">
      <c r="B20" s="7" t="s">
        <v>465</v>
      </c>
      <c r="C20" s="8"/>
      <c r="E20" s="8"/>
      <c r="F20" s="7" t="s">
        <v>498</v>
      </c>
      <c r="G20" s="8"/>
      <c r="I20" s="5"/>
    </row>
    <row r="21" spans="2:9" ht="14" x14ac:dyDescent="0.3">
      <c r="B21" s="7" t="s">
        <v>479</v>
      </c>
      <c r="C21" s="8"/>
      <c r="E21" s="8"/>
      <c r="F21" s="7" t="s">
        <v>499</v>
      </c>
      <c r="G21" s="8"/>
      <c r="I21" s="5"/>
    </row>
    <row r="22" spans="2:9" ht="14" x14ac:dyDescent="0.3">
      <c r="B22" s="7" t="s">
        <v>466</v>
      </c>
      <c r="C22" s="8"/>
      <c r="E22" s="8"/>
      <c r="F22" s="7" t="s">
        <v>482</v>
      </c>
      <c r="G22" s="8"/>
      <c r="I22" s="5"/>
    </row>
    <row r="23" spans="2:9" ht="14" x14ac:dyDescent="0.3">
      <c r="B23" s="7" t="s">
        <v>473</v>
      </c>
      <c r="C23" s="8"/>
      <c r="E23" s="8"/>
      <c r="F23" s="7" t="s">
        <v>475</v>
      </c>
      <c r="G23" s="8"/>
      <c r="I23" s="5"/>
    </row>
    <row r="24" spans="2:9" ht="14" x14ac:dyDescent="0.3">
      <c r="B24" s="7" t="s">
        <v>485</v>
      </c>
      <c r="E24" s="8"/>
      <c r="F24" s="7" t="s">
        <v>469</v>
      </c>
      <c r="G24" s="8"/>
      <c r="I24" s="5"/>
    </row>
    <row r="25" spans="2:9" ht="14" x14ac:dyDescent="0.3">
      <c r="B25" s="178" t="s">
        <v>495</v>
      </c>
      <c r="C25" s="8"/>
      <c r="E25" s="8"/>
      <c r="F25" s="7" t="s">
        <v>476</v>
      </c>
      <c r="G25" s="8"/>
      <c r="I25" s="5"/>
    </row>
    <row r="26" spans="2:9" ht="14" x14ac:dyDescent="0.3">
      <c r="B26" s="7" t="s">
        <v>467</v>
      </c>
      <c r="C26" s="8"/>
      <c r="E26" s="8"/>
      <c r="F26" s="7" t="s">
        <v>470</v>
      </c>
      <c r="G26" s="8"/>
      <c r="I26" s="5"/>
    </row>
    <row r="27" spans="2:9" ht="14" x14ac:dyDescent="0.3">
      <c r="B27" s="7" t="s">
        <v>481</v>
      </c>
      <c r="C27" s="8"/>
      <c r="E27" s="8"/>
      <c r="F27" s="7" t="s">
        <v>489</v>
      </c>
      <c r="G27" s="8"/>
      <c r="I27" s="5"/>
    </row>
    <row r="28" spans="2:9" ht="14" x14ac:dyDescent="0.3">
      <c r="B28" s="7" t="s">
        <v>502</v>
      </c>
      <c r="C28" s="8"/>
      <c r="E28" s="8"/>
      <c r="F28" s="7" t="s">
        <v>490</v>
      </c>
      <c r="G28" s="8"/>
      <c r="I28" s="5"/>
    </row>
    <row r="29" spans="2:9" ht="14" x14ac:dyDescent="0.3">
      <c r="B29" s="7" t="s">
        <v>474</v>
      </c>
      <c r="C29" s="8"/>
      <c r="E29" s="8"/>
      <c r="F29" s="7" t="s">
        <v>477</v>
      </c>
      <c r="G29" s="8"/>
      <c r="I29" s="5"/>
    </row>
    <row r="30" spans="2:9" ht="14" x14ac:dyDescent="0.3">
      <c r="B30" s="7" t="s">
        <v>468</v>
      </c>
      <c r="C30" s="5"/>
      <c r="D30" s="5"/>
      <c r="E30" s="4"/>
      <c r="F30" s="7" t="s">
        <v>492</v>
      </c>
      <c r="G30" s="4"/>
      <c r="H30" s="5"/>
      <c r="I30" s="5"/>
    </row>
    <row r="31" spans="2:9" ht="14" x14ac:dyDescent="0.3">
      <c r="B31" s="7" t="s">
        <v>501</v>
      </c>
      <c r="C31" s="5"/>
      <c r="D31" s="5"/>
      <c r="E31" s="4"/>
      <c r="F31" s="7" t="s">
        <v>503</v>
      </c>
      <c r="G31" s="4"/>
      <c r="H31" s="5"/>
      <c r="I31" s="5"/>
    </row>
    <row r="32" spans="2:9" ht="14" x14ac:dyDescent="0.3">
      <c r="B32" s="7" t="s">
        <v>486</v>
      </c>
      <c r="C32" s="5"/>
      <c r="D32" s="5"/>
      <c r="E32" s="4"/>
      <c r="F32" s="7" t="s">
        <v>471</v>
      </c>
      <c r="G32" s="4"/>
      <c r="H32" s="5"/>
      <c r="I32" s="5"/>
    </row>
    <row r="33" spans="2:9" ht="14" x14ac:dyDescent="0.3">
      <c r="B33" s="7" t="s">
        <v>494</v>
      </c>
      <c r="C33" s="5"/>
      <c r="D33" s="5"/>
      <c r="E33" s="4"/>
      <c r="F33" s="7" t="s">
        <v>484</v>
      </c>
      <c r="G33" s="4"/>
      <c r="H33" s="5"/>
      <c r="I33" s="5"/>
    </row>
    <row r="34" spans="2:9" ht="14" x14ac:dyDescent="0.3">
      <c r="B34" s="7" t="s">
        <v>487</v>
      </c>
      <c r="C34" s="5"/>
      <c r="D34" s="5"/>
      <c r="E34" s="4"/>
      <c r="F34" s="7" t="s">
        <v>491</v>
      </c>
      <c r="G34" s="4"/>
      <c r="H34" s="5"/>
      <c r="I34" s="5"/>
    </row>
    <row r="35" spans="2:9" ht="14" x14ac:dyDescent="0.3">
      <c r="B35" s="7" t="s">
        <v>504</v>
      </c>
      <c r="C35" s="5"/>
      <c r="D35" s="5"/>
      <c r="E35" s="4"/>
      <c r="F35" s="7" t="s">
        <v>483</v>
      </c>
      <c r="G35" s="4"/>
      <c r="H35" s="5"/>
      <c r="I35" s="5"/>
    </row>
    <row r="36" spans="2:9" ht="14" x14ac:dyDescent="0.3">
      <c r="B36" s="7" t="s">
        <v>497</v>
      </c>
      <c r="C36" s="5"/>
      <c r="D36" s="5"/>
      <c r="E36" s="4"/>
      <c r="F36" s="7" t="s">
        <v>493</v>
      </c>
      <c r="G36" s="4"/>
      <c r="H36" s="5"/>
      <c r="I36" s="5"/>
    </row>
    <row r="37" spans="2:9" ht="14" x14ac:dyDescent="0.3">
      <c r="B37" s="7" t="s">
        <v>488</v>
      </c>
      <c r="C37" s="5"/>
      <c r="D37" s="5"/>
      <c r="E37" s="4"/>
      <c r="F37" s="7" t="s">
        <v>480</v>
      </c>
      <c r="G37" s="4"/>
      <c r="H37" s="5"/>
      <c r="I37" s="5"/>
    </row>
    <row r="38" spans="2:9" ht="14" x14ac:dyDescent="0.3">
      <c r="B38" s="7" t="s">
        <v>500</v>
      </c>
      <c r="C38" s="5"/>
      <c r="D38" s="5"/>
      <c r="E38" s="4"/>
      <c r="F38" s="7" t="s">
        <v>478</v>
      </c>
      <c r="G38" s="4"/>
      <c r="H38" s="5"/>
      <c r="I38" s="5"/>
    </row>
    <row r="39" spans="2:9" ht="14" x14ac:dyDescent="0.3">
      <c r="B39" s="7" t="s">
        <v>496</v>
      </c>
      <c r="C39" s="5"/>
      <c r="D39" s="5"/>
      <c r="E39" s="4"/>
      <c r="F39" s="7" t="s">
        <v>472</v>
      </c>
      <c r="G39" s="4"/>
      <c r="H39" s="5"/>
      <c r="I39" s="5"/>
    </row>
    <row r="40" spans="2:9" ht="14" x14ac:dyDescent="0.3">
      <c r="C40" s="5"/>
      <c r="D40" s="5"/>
      <c r="E40" s="4"/>
      <c r="G40" s="4"/>
      <c r="H40" s="5"/>
      <c r="I40" s="5"/>
    </row>
    <row r="41" spans="2:9" ht="14" x14ac:dyDescent="0.3">
      <c r="C41" s="5"/>
      <c r="D41" s="5"/>
      <c r="E41" s="4"/>
      <c r="F41" s="5"/>
      <c r="G41" s="5"/>
      <c r="H41" s="5"/>
      <c r="I41" s="5"/>
    </row>
    <row r="42" spans="2:9" ht="14" x14ac:dyDescent="0.3">
      <c r="C42" s="5"/>
      <c r="D42" s="5"/>
      <c r="E42" s="5"/>
      <c r="F42" s="5"/>
      <c r="G42" s="5"/>
      <c r="H42" s="5"/>
      <c r="I42" s="5"/>
    </row>
    <row r="43" spans="2:9" ht="14" x14ac:dyDescent="0.3">
      <c r="B43" s="4"/>
      <c r="C43" s="5"/>
      <c r="D43" s="5"/>
      <c r="E43" s="5"/>
      <c r="F43" s="5"/>
      <c r="G43" s="5"/>
      <c r="H43" s="5"/>
      <c r="I43" s="5"/>
    </row>
    <row r="44" spans="2:9" ht="14" x14ac:dyDescent="0.3">
      <c r="B44" s="4"/>
      <c r="C44" s="5"/>
      <c r="D44" s="5"/>
      <c r="E44" s="5"/>
      <c r="F44" s="5"/>
      <c r="G44" s="5"/>
      <c r="H44" s="5"/>
      <c r="I44" s="5"/>
    </row>
  </sheetData>
  <dataConsolidate function="var">
    <dataRefs count="1">
      <dataRef ref="A2:A66" sheet="TyytKeskiarvo" r:id="rId1"/>
    </dataRefs>
  </dataConsolidate>
  <mergeCells count="5">
    <mergeCell ref="B9:D9"/>
    <mergeCell ref="B18:H18"/>
    <mergeCell ref="C15:D15"/>
    <mergeCell ref="C16:D16"/>
    <mergeCell ref="F14:H14"/>
  </mergeCells>
  <dataValidations count="1">
    <dataValidation type="list" allowBlank="1" showInputMessage="1" showErrorMessage="1" sqref="B9:D9">
      <formula1>Kunnat2</formula1>
    </dataValidation>
  </dataValidations>
  <pageMargins left="0.25" right="0.25" top="0.75" bottom="0.75" header="0.3" footer="0.3"/>
  <pageSetup paperSize="9" scale="95" orientation="portrait" r:id="rId2"/>
  <headerFooter>
    <oddHeader xml:space="preserve">&amp;C&amp;12Päättäjäkysely 2017
</oddHeader>
    <oddFooter>&amp;C&amp;P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workbookViewId="0">
      <selection activeCell="J25" sqref="J25"/>
    </sheetView>
  </sheetViews>
  <sheetFormatPr defaultColWidth="8.78515625" defaultRowHeight="13.5" x14ac:dyDescent="0.25"/>
  <cols>
    <col min="1" max="1" width="9.640625" style="120" customWidth="1"/>
    <col min="2" max="2" width="9.5703125" style="120" customWidth="1"/>
    <col min="3" max="4" width="8.78515625" style="120"/>
    <col min="5" max="8" width="9.640625" style="120" customWidth="1"/>
    <col min="9" max="16384" width="8.78515625" style="120"/>
  </cols>
  <sheetData>
    <row r="1" spans="1:32" x14ac:dyDescent="0.25">
      <c r="A1" s="119" t="s">
        <v>266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32" x14ac:dyDescent="0.25">
      <c r="A2" s="124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32" x14ac:dyDescent="0.25">
      <c r="A3" s="124" t="s">
        <v>267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32" x14ac:dyDescent="0.25"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</row>
    <row r="5" spans="1:32" x14ac:dyDescent="0.25">
      <c r="E5" s="119"/>
      <c r="F5" s="119"/>
      <c r="G5" s="119" t="s">
        <v>268</v>
      </c>
      <c r="H5" s="119"/>
      <c r="I5" s="120" t="s">
        <v>145</v>
      </c>
      <c r="AB5" s="121" t="s">
        <v>145</v>
      </c>
      <c r="AC5" s="121"/>
      <c r="AD5" s="121"/>
      <c r="AE5" s="121"/>
      <c r="AF5" s="121"/>
    </row>
    <row r="6" spans="1:32" x14ac:dyDescent="0.25">
      <c r="A6" s="124" t="s">
        <v>277</v>
      </c>
      <c r="B6" s="124"/>
      <c r="C6" s="124"/>
      <c r="D6" s="124"/>
      <c r="E6" s="124"/>
      <c r="F6" s="124"/>
      <c r="G6" s="124">
        <v>24.1</v>
      </c>
      <c r="H6" s="124"/>
      <c r="I6" s="120">
        <v>977</v>
      </c>
    </row>
    <row r="7" spans="1:32" x14ac:dyDescent="0.25">
      <c r="A7" s="124" t="s">
        <v>278</v>
      </c>
      <c r="B7" s="124"/>
      <c r="C7" s="124"/>
      <c r="D7" s="124"/>
      <c r="E7" s="124"/>
      <c r="F7" s="124"/>
      <c r="G7" s="124">
        <v>37.4</v>
      </c>
      <c r="H7" s="124"/>
      <c r="I7" s="120">
        <v>970</v>
      </c>
    </row>
    <row r="8" spans="1:32" x14ac:dyDescent="0.25">
      <c r="A8" s="124" t="s">
        <v>279</v>
      </c>
      <c r="B8" s="124"/>
      <c r="C8" s="124"/>
      <c r="D8" s="124"/>
      <c r="E8" s="124"/>
      <c r="F8" s="124"/>
      <c r="G8" s="124">
        <v>43.4</v>
      </c>
      <c r="H8" s="124"/>
      <c r="I8" s="120">
        <v>973</v>
      </c>
    </row>
    <row r="9" spans="1:32" x14ac:dyDescent="0.25">
      <c r="A9" s="125" t="s">
        <v>280</v>
      </c>
      <c r="B9" s="125"/>
      <c r="C9" s="125"/>
      <c r="D9" s="125"/>
      <c r="E9" s="125"/>
      <c r="F9" s="125"/>
      <c r="G9" s="125">
        <v>41.3</v>
      </c>
      <c r="H9" s="125"/>
      <c r="I9" s="120">
        <v>974</v>
      </c>
    </row>
    <row r="10" spans="1:32" x14ac:dyDescent="0.25">
      <c r="A10" s="125" t="s">
        <v>281</v>
      </c>
      <c r="B10" s="125"/>
      <c r="C10" s="125"/>
      <c r="D10" s="125"/>
      <c r="E10" s="125"/>
      <c r="F10" s="125"/>
      <c r="G10" s="125">
        <v>6.2</v>
      </c>
      <c r="H10" s="125"/>
      <c r="I10" s="120">
        <v>974</v>
      </c>
    </row>
    <row r="11" spans="1:32" x14ac:dyDescent="0.25">
      <c r="A11" s="125" t="s">
        <v>282</v>
      </c>
      <c r="B11" s="125"/>
      <c r="C11" s="125"/>
      <c r="D11" s="125"/>
      <c r="E11" s="125"/>
      <c r="F11" s="125"/>
      <c r="G11" s="125">
        <v>20.7</v>
      </c>
      <c r="H11" s="125"/>
      <c r="I11" s="120">
        <v>976</v>
      </c>
    </row>
    <row r="12" spans="1:32" x14ac:dyDescent="0.25">
      <c r="A12" s="125" t="s">
        <v>283</v>
      </c>
      <c r="B12" s="125"/>
      <c r="C12" s="125"/>
      <c r="D12" s="125"/>
      <c r="E12" s="125"/>
      <c r="F12" s="125"/>
      <c r="G12" s="125">
        <v>52</v>
      </c>
      <c r="H12" s="125"/>
      <c r="I12" s="120">
        <v>975</v>
      </c>
    </row>
    <row r="13" spans="1:32" x14ac:dyDescent="0.25">
      <c r="A13" s="125" t="s">
        <v>284</v>
      </c>
      <c r="B13" s="125"/>
      <c r="C13" s="125"/>
      <c r="D13" s="125"/>
      <c r="E13" s="125"/>
      <c r="F13" s="125"/>
      <c r="G13" s="125">
        <v>52.9</v>
      </c>
      <c r="H13" s="125"/>
      <c r="I13" s="120">
        <v>975</v>
      </c>
    </row>
    <row r="14" spans="1:32" x14ac:dyDescent="0.25">
      <c r="A14" s="125"/>
      <c r="B14" s="125"/>
      <c r="C14" s="125"/>
      <c r="D14" s="125"/>
      <c r="E14" s="125"/>
      <c r="F14" s="125"/>
    </row>
    <row r="15" spans="1:32" x14ac:dyDescent="0.25">
      <c r="A15" s="121" t="s">
        <v>344</v>
      </c>
      <c r="B15" s="121" t="s">
        <v>269</v>
      </c>
      <c r="C15" s="121" t="s">
        <v>270</v>
      </c>
      <c r="D15" s="121" t="s">
        <v>271</v>
      </c>
      <c r="E15" s="121" t="s">
        <v>272</v>
      </c>
      <c r="F15" s="121" t="s">
        <v>273</v>
      </c>
      <c r="G15" s="121" t="s">
        <v>274</v>
      </c>
      <c r="H15" s="121" t="s">
        <v>275</v>
      </c>
      <c r="I15" s="121" t="s">
        <v>276</v>
      </c>
      <c r="J15" s="121" t="s">
        <v>145</v>
      </c>
    </row>
    <row r="16" spans="1:32" x14ac:dyDescent="0.25">
      <c r="A16" s="126" t="s">
        <v>115</v>
      </c>
      <c r="B16" s="120">
        <v>26.3</v>
      </c>
      <c r="C16" s="120">
        <v>38.9</v>
      </c>
      <c r="D16" s="120">
        <v>49.6</v>
      </c>
      <c r="E16" s="120">
        <v>57</v>
      </c>
      <c r="F16" s="120">
        <v>7.9</v>
      </c>
      <c r="G16" s="120">
        <v>35.1</v>
      </c>
      <c r="H16" s="120">
        <v>73.7</v>
      </c>
      <c r="I16" s="120">
        <v>64.900000000000006</v>
      </c>
      <c r="J16" s="120">
        <v>115</v>
      </c>
    </row>
    <row r="17" spans="1:10" x14ac:dyDescent="0.25">
      <c r="A17" s="126" t="s">
        <v>116</v>
      </c>
      <c r="B17" s="120">
        <v>32.1</v>
      </c>
      <c r="C17" s="120">
        <v>34.299999999999997</v>
      </c>
      <c r="D17" s="120">
        <v>45</v>
      </c>
      <c r="E17" s="120">
        <v>45</v>
      </c>
      <c r="F17" s="120">
        <v>8.3000000000000007</v>
      </c>
      <c r="G17" s="120">
        <v>22</v>
      </c>
      <c r="H17" s="120">
        <v>65.099999999999994</v>
      </c>
      <c r="I17" s="120">
        <v>66.099999999999994</v>
      </c>
      <c r="J17" s="120">
        <v>109</v>
      </c>
    </row>
    <row r="18" spans="1:10" x14ac:dyDescent="0.25">
      <c r="A18" s="126" t="s">
        <v>117</v>
      </c>
      <c r="B18" s="120">
        <v>18.7</v>
      </c>
      <c r="C18" s="120">
        <v>32.5</v>
      </c>
      <c r="D18" s="120">
        <v>42.7</v>
      </c>
      <c r="E18" s="120">
        <v>37.4</v>
      </c>
      <c r="F18" s="120">
        <v>2.2999999999999998</v>
      </c>
      <c r="G18" s="120">
        <v>13.5</v>
      </c>
      <c r="H18" s="120">
        <v>55</v>
      </c>
      <c r="I18" s="120">
        <v>48.8</v>
      </c>
      <c r="J18" s="120">
        <v>171</v>
      </c>
    </row>
    <row r="19" spans="1:10" x14ac:dyDescent="0.25">
      <c r="A19" s="126" t="s">
        <v>118</v>
      </c>
      <c r="B19" s="120">
        <v>23</v>
      </c>
      <c r="C19" s="120">
        <v>26.1</v>
      </c>
      <c r="D19" s="120">
        <v>36.9</v>
      </c>
      <c r="E19" s="120">
        <v>39.799999999999997</v>
      </c>
      <c r="F19" s="120">
        <v>5.9</v>
      </c>
      <c r="G19" s="120">
        <v>15.7</v>
      </c>
      <c r="H19" s="120">
        <v>49.8</v>
      </c>
      <c r="I19" s="120">
        <v>51.2</v>
      </c>
      <c r="J19" s="120">
        <v>205</v>
      </c>
    </row>
    <row r="20" spans="1:10" x14ac:dyDescent="0.25">
      <c r="A20" s="126" t="s">
        <v>119</v>
      </c>
      <c r="B20" s="120">
        <v>16.600000000000001</v>
      </c>
      <c r="C20" s="120">
        <v>30.2</v>
      </c>
      <c r="D20" s="120">
        <v>39.4</v>
      </c>
      <c r="E20" s="120">
        <v>34.799999999999997</v>
      </c>
      <c r="F20" s="120">
        <v>4.4000000000000004</v>
      </c>
      <c r="G20" s="120">
        <v>21.5</v>
      </c>
      <c r="H20" s="120">
        <v>38.299999999999997</v>
      </c>
      <c r="I20" s="120">
        <v>43.1</v>
      </c>
      <c r="J20" s="120">
        <v>183</v>
      </c>
    </row>
    <row r="21" spans="1:10" x14ac:dyDescent="0.25">
      <c r="A21" s="126" t="s">
        <v>120</v>
      </c>
      <c r="B21" s="120">
        <v>30.8</v>
      </c>
      <c r="C21" s="120">
        <v>60.6</v>
      </c>
      <c r="D21" s="120">
        <v>49.7</v>
      </c>
      <c r="E21" s="120">
        <v>40.9</v>
      </c>
      <c r="F21" s="120">
        <v>9.1</v>
      </c>
      <c r="G21" s="120">
        <v>22.3</v>
      </c>
      <c r="H21" s="120">
        <v>44.4</v>
      </c>
      <c r="I21" s="120">
        <v>53</v>
      </c>
      <c r="J21" s="120">
        <v>198</v>
      </c>
    </row>
    <row r="23" spans="1:10" x14ac:dyDescent="0.25">
      <c r="A23" s="120" t="s">
        <v>344</v>
      </c>
      <c r="B23" s="120" t="s">
        <v>417</v>
      </c>
      <c r="C23" s="121" t="s">
        <v>269</v>
      </c>
      <c r="D23" s="121" t="s">
        <v>270</v>
      </c>
      <c r="E23" s="121" t="s">
        <v>271</v>
      </c>
      <c r="F23" s="121" t="s">
        <v>272</v>
      </c>
      <c r="G23" s="121" t="s">
        <v>273</v>
      </c>
      <c r="H23" s="121" t="s">
        <v>274</v>
      </c>
      <c r="I23" s="121" t="s">
        <v>275</v>
      </c>
      <c r="J23" s="121" t="s">
        <v>276</v>
      </c>
    </row>
    <row r="24" spans="1:10" x14ac:dyDescent="0.25">
      <c r="A24" s="120" t="s">
        <v>43</v>
      </c>
      <c r="B24" s="120">
        <v>20</v>
      </c>
      <c r="C24" s="120">
        <v>57.1</v>
      </c>
      <c r="D24" s="120">
        <v>42.9</v>
      </c>
      <c r="E24" s="120">
        <v>40</v>
      </c>
      <c r="F24" s="120">
        <v>13.3</v>
      </c>
      <c r="G24" s="120">
        <v>40</v>
      </c>
      <c r="H24" s="120">
        <v>86.7</v>
      </c>
      <c r="I24" s="120">
        <v>80</v>
      </c>
      <c r="J24" s="120">
        <v>15</v>
      </c>
    </row>
    <row r="25" spans="1:10" x14ac:dyDescent="0.25">
      <c r="A25" s="120" t="s">
        <v>44</v>
      </c>
      <c r="B25" s="120">
        <v>44.7</v>
      </c>
      <c r="C25" s="120">
        <v>76.3</v>
      </c>
      <c r="D25" s="120">
        <v>76.3</v>
      </c>
      <c r="E25" s="120">
        <v>60.5</v>
      </c>
      <c r="F25" s="120">
        <v>15.8</v>
      </c>
      <c r="G25" s="120">
        <v>23.7</v>
      </c>
      <c r="H25" s="120">
        <v>52.6</v>
      </c>
      <c r="I25" s="120">
        <v>57.9</v>
      </c>
      <c r="J25" s="120">
        <v>37</v>
      </c>
    </row>
    <row r="26" spans="1:10" x14ac:dyDescent="0.25">
      <c r="A26" s="120" t="s">
        <v>45</v>
      </c>
      <c r="B26" s="120">
        <v>16.7</v>
      </c>
      <c r="C26" s="120">
        <v>33.299999999999997</v>
      </c>
      <c r="D26" s="120">
        <v>37.5</v>
      </c>
      <c r="E26" s="120">
        <v>16.7</v>
      </c>
      <c r="F26" s="120">
        <v>16.7</v>
      </c>
      <c r="G26" s="120">
        <v>16.7</v>
      </c>
      <c r="H26" s="120">
        <v>50</v>
      </c>
      <c r="I26" s="120">
        <v>45.8</v>
      </c>
      <c r="J26" s="120">
        <v>24</v>
      </c>
    </row>
    <row r="27" spans="1:10" x14ac:dyDescent="0.25">
      <c r="A27" s="120" t="s">
        <v>2</v>
      </c>
      <c r="B27" s="120">
        <v>8.3000000000000007</v>
      </c>
      <c r="C27" s="120">
        <v>33.299999999999997</v>
      </c>
      <c r="D27" s="120">
        <v>41.7</v>
      </c>
      <c r="E27" s="120">
        <v>50</v>
      </c>
      <c r="F27" s="120">
        <v>0</v>
      </c>
      <c r="G27" s="120">
        <v>16.7</v>
      </c>
      <c r="H27" s="120">
        <v>75</v>
      </c>
      <c r="I27" s="120">
        <v>58.3</v>
      </c>
      <c r="J27" s="120">
        <v>12</v>
      </c>
    </row>
    <row r="28" spans="1:10" x14ac:dyDescent="0.25">
      <c r="A28" s="120" t="s">
        <v>3</v>
      </c>
      <c r="B28" s="120">
        <v>10.9</v>
      </c>
      <c r="C28" s="120">
        <v>9.4</v>
      </c>
      <c r="D28" s="120">
        <v>19</v>
      </c>
      <c r="E28" s="120">
        <v>23.8</v>
      </c>
      <c r="F28" s="120">
        <v>0</v>
      </c>
      <c r="G28" s="120">
        <v>12.5</v>
      </c>
      <c r="H28" s="120">
        <v>36.5</v>
      </c>
      <c r="I28" s="120">
        <v>39.700000000000003</v>
      </c>
      <c r="J28" s="120">
        <v>64</v>
      </c>
    </row>
    <row r="29" spans="1:10" x14ac:dyDescent="0.25">
      <c r="A29" s="120" t="s">
        <v>4</v>
      </c>
      <c r="B29" s="120">
        <v>6.3</v>
      </c>
      <c r="C29" s="120">
        <v>25</v>
      </c>
      <c r="D29" s="120">
        <v>31.3</v>
      </c>
      <c r="E29" s="120">
        <v>25</v>
      </c>
      <c r="F29" s="120">
        <v>0</v>
      </c>
      <c r="G29" s="120">
        <v>31.3</v>
      </c>
      <c r="H29" s="120">
        <v>43.8</v>
      </c>
      <c r="I29" s="120">
        <v>50</v>
      </c>
      <c r="J29" s="120">
        <v>16</v>
      </c>
    </row>
    <row r="30" spans="1:10" x14ac:dyDescent="0.25">
      <c r="A30" s="120" t="s">
        <v>47</v>
      </c>
      <c r="B30" s="120">
        <v>31.6</v>
      </c>
      <c r="C30" s="120">
        <v>33.299999999999997</v>
      </c>
      <c r="D30" s="120">
        <v>36.799999999999997</v>
      </c>
      <c r="E30" s="120">
        <v>47.4</v>
      </c>
      <c r="F30" s="120">
        <v>5.6</v>
      </c>
      <c r="G30" s="120">
        <v>10.5</v>
      </c>
      <c r="H30" s="120">
        <v>73.7</v>
      </c>
      <c r="I30" s="120">
        <v>63.2</v>
      </c>
      <c r="J30" s="120">
        <v>19</v>
      </c>
    </row>
    <row r="31" spans="1:10" x14ac:dyDescent="0.25">
      <c r="A31" s="120" t="s">
        <v>5</v>
      </c>
      <c r="B31" s="120">
        <v>17.2</v>
      </c>
      <c r="C31" s="120">
        <v>51.7</v>
      </c>
      <c r="D31" s="120">
        <v>41.4</v>
      </c>
      <c r="E31" s="120">
        <v>27.6</v>
      </c>
      <c r="F31" s="120">
        <v>10.7</v>
      </c>
      <c r="G31" s="120">
        <v>20.7</v>
      </c>
      <c r="H31" s="120">
        <v>20.7</v>
      </c>
      <c r="I31" s="120">
        <v>44.8</v>
      </c>
      <c r="J31" s="120">
        <v>29</v>
      </c>
    </row>
    <row r="32" spans="1:10" x14ac:dyDescent="0.25">
      <c r="A32" s="120" t="s">
        <v>49</v>
      </c>
      <c r="B32" s="120">
        <v>7.1</v>
      </c>
      <c r="C32" s="120">
        <v>14.3</v>
      </c>
      <c r="D32" s="120">
        <v>21.4</v>
      </c>
      <c r="E32" s="120">
        <v>21.4</v>
      </c>
      <c r="F32" s="120">
        <v>0</v>
      </c>
      <c r="G32" s="120">
        <v>0</v>
      </c>
      <c r="H32" s="120">
        <v>42.9</v>
      </c>
      <c r="I32" s="120">
        <v>14.3</v>
      </c>
      <c r="J32" s="120">
        <v>14</v>
      </c>
    </row>
    <row r="33" spans="1:10" x14ac:dyDescent="0.25">
      <c r="A33" s="120" t="s">
        <v>50</v>
      </c>
      <c r="B33" s="120">
        <v>42.1</v>
      </c>
      <c r="C33" s="120">
        <v>36.799999999999997</v>
      </c>
      <c r="D33" s="120">
        <v>63.2</v>
      </c>
      <c r="E33" s="120">
        <v>78.900000000000006</v>
      </c>
      <c r="F33" s="120">
        <v>10.5</v>
      </c>
      <c r="G33" s="120">
        <v>47.4</v>
      </c>
      <c r="H33" s="120">
        <v>68.400000000000006</v>
      </c>
      <c r="I33" s="120">
        <v>57.9</v>
      </c>
      <c r="J33" s="120">
        <v>19</v>
      </c>
    </row>
    <row r="34" spans="1:10" x14ac:dyDescent="0.25">
      <c r="A34" s="120" t="s">
        <v>22</v>
      </c>
      <c r="B34" s="120">
        <v>37.5</v>
      </c>
      <c r="C34" s="120">
        <v>37.5</v>
      </c>
      <c r="D34" s="120">
        <v>54.2</v>
      </c>
      <c r="E34" s="120">
        <v>50</v>
      </c>
      <c r="F34" s="120">
        <v>8.3000000000000007</v>
      </c>
      <c r="G34" s="120">
        <v>29.2</v>
      </c>
      <c r="H34" s="120">
        <v>75</v>
      </c>
      <c r="I34" s="120">
        <v>75</v>
      </c>
      <c r="J34" s="120">
        <v>24</v>
      </c>
    </row>
    <row r="35" spans="1:10" x14ac:dyDescent="0.25">
      <c r="A35" s="120" t="s">
        <v>51</v>
      </c>
      <c r="B35" s="120">
        <v>33.299999999999997</v>
      </c>
      <c r="C35" s="120">
        <v>41.7</v>
      </c>
      <c r="D35" s="120">
        <v>50</v>
      </c>
      <c r="E35" s="120">
        <v>41.7</v>
      </c>
      <c r="F35" s="120">
        <v>8.3000000000000007</v>
      </c>
      <c r="G35" s="120">
        <v>25</v>
      </c>
      <c r="H35" s="120">
        <v>75</v>
      </c>
      <c r="I35" s="120">
        <v>58.3</v>
      </c>
      <c r="J35" s="120">
        <v>12</v>
      </c>
    </row>
    <row r="36" spans="1:10" x14ac:dyDescent="0.25">
      <c r="A36" s="120" t="s">
        <v>71</v>
      </c>
      <c r="B36" s="120">
        <v>10.7</v>
      </c>
      <c r="C36" s="120">
        <v>35.700000000000003</v>
      </c>
      <c r="D36" s="120">
        <v>42.9</v>
      </c>
      <c r="E36" s="120">
        <v>21.4</v>
      </c>
      <c r="F36" s="120">
        <v>17.899999999999999</v>
      </c>
      <c r="G36" s="120">
        <v>14.3</v>
      </c>
      <c r="H36" s="120">
        <v>25</v>
      </c>
      <c r="I36" s="120">
        <v>32.1</v>
      </c>
      <c r="J36" s="120">
        <v>28</v>
      </c>
    </row>
    <row r="37" spans="1:10" x14ac:dyDescent="0.25">
      <c r="A37" s="120" t="s">
        <v>6</v>
      </c>
      <c r="B37" s="120">
        <v>25</v>
      </c>
      <c r="C37" s="120">
        <v>30.6</v>
      </c>
      <c r="D37" s="120">
        <v>34.299999999999997</v>
      </c>
      <c r="E37" s="120">
        <v>33.299999999999997</v>
      </c>
      <c r="F37" s="120">
        <v>2.8</v>
      </c>
      <c r="G37" s="120">
        <v>27.8</v>
      </c>
      <c r="H37" s="120">
        <v>36.1</v>
      </c>
      <c r="I37" s="120">
        <v>38.9</v>
      </c>
      <c r="J37" s="120">
        <v>37</v>
      </c>
    </row>
    <row r="38" spans="1:10" x14ac:dyDescent="0.25">
      <c r="A38" s="120" t="s">
        <v>72</v>
      </c>
      <c r="B38" s="120">
        <v>11.8</v>
      </c>
      <c r="C38" s="120">
        <v>24.2</v>
      </c>
      <c r="D38" s="120">
        <v>44.1</v>
      </c>
      <c r="E38" s="120">
        <v>47.1</v>
      </c>
      <c r="F38" s="120">
        <v>0</v>
      </c>
      <c r="G38" s="120">
        <v>14.7</v>
      </c>
      <c r="H38" s="120">
        <v>41.2</v>
      </c>
      <c r="I38" s="120">
        <v>44.1</v>
      </c>
      <c r="J38" s="120">
        <v>34</v>
      </c>
    </row>
    <row r="39" spans="1:10" x14ac:dyDescent="0.25">
      <c r="A39" s="120" t="s">
        <v>7</v>
      </c>
      <c r="B39" s="120">
        <v>12.5</v>
      </c>
      <c r="C39" s="120">
        <v>20.8</v>
      </c>
      <c r="D39" s="120">
        <v>50</v>
      </c>
      <c r="E39" s="120">
        <v>29.2</v>
      </c>
      <c r="F39" s="120">
        <v>0</v>
      </c>
      <c r="G39" s="120">
        <v>16.7</v>
      </c>
      <c r="H39" s="120">
        <v>66.7</v>
      </c>
      <c r="I39" s="120">
        <v>47.8</v>
      </c>
      <c r="J39" s="120">
        <v>24</v>
      </c>
    </row>
    <row r="40" spans="1:10" x14ac:dyDescent="0.25">
      <c r="A40" s="120" t="s">
        <v>8</v>
      </c>
      <c r="B40" s="120">
        <v>4</v>
      </c>
      <c r="C40" s="120">
        <v>20</v>
      </c>
      <c r="D40" s="120">
        <v>32</v>
      </c>
      <c r="E40" s="120">
        <v>8</v>
      </c>
      <c r="F40" s="120">
        <v>0</v>
      </c>
      <c r="G40" s="120">
        <v>16</v>
      </c>
      <c r="H40" s="120">
        <v>20</v>
      </c>
      <c r="I40" s="120">
        <v>24</v>
      </c>
      <c r="J40" s="120">
        <v>25</v>
      </c>
    </row>
    <row r="41" spans="1:10" x14ac:dyDescent="0.25">
      <c r="A41" s="120" t="s">
        <v>9</v>
      </c>
      <c r="B41" s="120">
        <v>35.1</v>
      </c>
      <c r="C41" s="120">
        <v>48.6</v>
      </c>
      <c r="D41" s="120">
        <v>37.799999999999997</v>
      </c>
      <c r="E41" s="120">
        <v>51.4</v>
      </c>
      <c r="F41" s="120">
        <v>8.1</v>
      </c>
      <c r="G41" s="120">
        <v>16.2</v>
      </c>
      <c r="H41" s="120">
        <v>40.5</v>
      </c>
      <c r="I41" s="120">
        <v>54.1</v>
      </c>
      <c r="J41" s="120">
        <v>37</v>
      </c>
    </row>
    <row r="42" spans="1:10" x14ac:dyDescent="0.25">
      <c r="A42" s="120" t="s">
        <v>55</v>
      </c>
      <c r="B42" s="120">
        <v>11.1</v>
      </c>
      <c r="C42" s="120">
        <v>19.2</v>
      </c>
      <c r="D42" s="120">
        <v>25.9</v>
      </c>
      <c r="E42" s="120">
        <v>11.1</v>
      </c>
      <c r="F42" s="120">
        <v>0</v>
      </c>
      <c r="G42" s="120">
        <v>7.4</v>
      </c>
      <c r="H42" s="120">
        <v>29.6</v>
      </c>
      <c r="I42" s="120">
        <v>37</v>
      </c>
      <c r="J42" s="120">
        <v>27</v>
      </c>
    </row>
    <row r="43" spans="1:10" x14ac:dyDescent="0.25">
      <c r="A43" s="120" t="s">
        <v>73</v>
      </c>
      <c r="B43" s="120">
        <v>21.9</v>
      </c>
      <c r="C43" s="120">
        <v>31.3</v>
      </c>
      <c r="D43" s="120">
        <v>37.5</v>
      </c>
      <c r="E43" s="120">
        <v>25</v>
      </c>
      <c r="F43" s="120">
        <v>9.4</v>
      </c>
      <c r="G43" s="120">
        <v>15.6</v>
      </c>
      <c r="H43" s="120">
        <v>34.4</v>
      </c>
      <c r="I43" s="120">
        <v>46.9</v>
      </c>
      <c r="J43" s="120">
        <v>32</v>
      </c>
    </row>
    <row r="44" spans="1:10" x14ac:dyDescent="0.25">
      <c r="A44" s="120" t="s">
        <v>10</v>
      </c>
      <c r="B44" s="120">
        <v>35.299999999999997</v>
      </c>
      <c r="C44" s="120">
        <v>52.9</v>
      </c>
      <c r="D44" s="120">
        <v>58.8</v>
      </c>
      <c r="E44" s="120">
        <v>52.9</v>
      </c>
      <c r="F44" s="120">
        <v>5.9</v>
      </c>
      <c r="G44" s="120">
        <v>29.4</v>
      </c>
      <c r="H44" s="120">
        <v>58.8</v>
      </c>
      <c r="I44" s="120">
        <v>64.7</v>
      </c>
      <c r="J44" s="120">
        <v>17</v>
      </c>
    </row>
    <row r="45" spans="1:10" x14ac:dyDescent="0.25">
      <c r="A45" s="120" t="s">
        <v>57</v>
      </c>
      <c r="B45" s="120">
        <v>14.3</v>
      </c>
      <c r="C45" s="120">
        <v>28.6</v>
      </c>
      <c r="D45" s="120">
        <v>28.6</v>
      </c>
      <c r="E45" s="120">
        <v>35.700000000000003</v>
      </c>
      <c r="F45" s="120">
        <v>0</v>
      </c>
      <c r="G45" s="120">
        <v>0</v>
      </c>
      <c r="H45" s="120">
        <v>42.9</v>
      </c>
      <c r="I45" s="120">
        <v>35.700000000000003</v>
      </c>
      <c r="J45" s="120">
        <v>14</v>
      </c>
    </row>
    <row r="46" spans="1:10" x14ac:dyDescent="0.25">
      <c r="A46" s="120" t="s">
        <v>11</v>
      </c>
      <c r="B46" s="120">
        <v>8.8000000000000007</v>
      </c>
      <c r="C46" s="120">
        <v>44.1</v>
      </c>
      <c r="D46" s="120">
        <v>26.5</v>
      </c>
      <c r="E46" s="120">
        <v>20.6</v>
      </c>
      <c r="F46" s="120">
        <v>5.9</v>
      </c>
      <c r="G46" s="120">
        <v>15.2</v>
      </c>
      <c r="H46" s="120">
        <v>32.4</v>
      </c>
      <c r="I46" s="120">
        <v>38.200000000000003</v>
      </c>
      <c r="J46" s="120">
        <v>34</v>
      </c>
    </row>
    <row r="47" spans="1:10" x14ac:dyDescent="0.25">
      <c r="A47" s="120" t="s">
        <v>59</v>
      </c>
      <c r="B47" s="120">
        <v>10</v>
      </c>
      <c r="C47" s="120">
        <v>10</v>
      </c>
      <c r="D47" s="120">
        <v>20</v>
      </c>
      <c r="E47" s="120">
        <v>40</v>
      </c>
      <c r="F47" s="120">
        <v>10</v>
      </c>
      <c r="G47" s="120">
        <v>0</v>
      </c>
      <c r="H47" s="120">
        <v>50</v>
      </c>
      <c r="I47" s="120">
        <v>40</v>
      </c>
      <c r="J47" s="120">
        <v>10</v>
      </c>
    </row>
    <row r="48" spans="1:10" x14ac:dyDescent="0.25">
      <c r="A48" s="120" t="s">
        <v>60</v>
      </c>
      <c r="B48" s="120">
        <v>27.3</v>
      </c>
      <c r="C48" s="120">
        <v>45.5</v>
      </c>
      <c r="D48" s="120">
        <v>45.5</v>
      </c>
      <c r="E48" s="120">
        <v>63.6</v>
      </c>
      <c r="F48" s="120">
        <v>0</v>
      </c>
      <c r="G48" s="120">
        <v>36.4</v>
      </c>
      <c r="H48" s="120">
        <v>63.6</v>
      </c>
      <c r="I48" s="120">
        <v>63.6</v>
      </c>
      <c r="J48" s="120">
        <v>11</v>
      </c>
    </row>
    <row r="49" spans="1:10" x14ac:dyDescent="0.25">
      <c r="A49" s="120" t="s">
        <v>61</v>
      </c>
      <c r="B49" s="120">
        <v>27.8</v>
      </c>
      <c r="C49" s="120">
        <v>38.9</v>
      </c>
      <c r="D49" s="120">
        <v>44.4</v>
      </c>
      <c r="E49" s="120">
        <v>33.299999999999997</v>
      </c>
      <c r="F49" s="120">
        <v>5.6</v>
      </c>
      <c r="G49" s="120">
        <v>22.2</v>
      </c>
      <c r="H49" s="120">
        <v>77.8</v>
      </c>
      <c r="I49" s="120">
        <v>83.3</v>
      </c>
      <c r="J49" s="120">
        <v>18</v>
      </c>
    </row>
    <row r="50" spans="1:10" x14ac:dyDescent="0.25">
      <c r="A50" s="120" t="s">
        <v>12</v>
      </c>
      <c r="B50" s="120">
        <v>10</v>
      </c>
      <c r="C50" s="120">
        <v>0</v>
      </c>
      <c r="D50" s="120">
        <v>30</v>
      </c>
      <c r="E50" s="120">
        <v>10</v>
      </c>
      <c r="F50" s="120">
        <v>0</v>
      </c>
      <c r="G50" s="120">
        <v>10</v>
      </c>
      <c r="H50" s="120">
        <v>50</v>
      </c>
      <c r="I50" s="120">
        <v>50</v>
      </c>
      <c r="J50" s="120">
        <v>10</v>
      </c>
    </row>
    <row r="51" spans="1:10" x14ac:dyDescent="0.25">
      <c r="A51" s="120" t="s">
        <v>23</v>
      </c>
      <c r="B51" s="120">
        <v>50</v>
      </c>
      <c r="C51" s="120">
        <v>31</v>
      </c>
      <c r="D51" s="120">
        <v>63.3</v>
      </c>
      <c r="E51" s="120">
        <v>75</v>
      </c>
      <c r="F51" s="120">
        <v>10</v>
      </c>
      <c r="G51" s="120">
        <v>10</v>
      </c>
      <c r="H51" s="120">
        <v>90</v>
      </c>
      <c r="I51" s="120">
        <v>83.3</v>
      </c>
      <c r="J51" s="120">
        <v>31</v>
      </c>
    </row>
    <row r="52" spans="1:10" x14ac:dyDescent="0.25">
      <c r="A52" s="120" t="s">
        <v>63</v>
      </c>
      <c r="B52" s="120">
        <v>35.700000000000003</v>
      </c>
      <c r="C52" s="120">
        <v>50</v>
      </c>
      <c r="D52" s="120">
        <v>64.3</v>
      </c>
      <c r="E52" s="120">
        <v>57.1</v>
      </c>
      <c r="F52" s="120">
        <v>0</v>
      </c>
      <c r="G52" s="120">
        <v>35.700000000000003</v>
      </c>
      <c r="H52" s="120">
        <v>64.3</v>
      </c>
      <c r="I52" s="120">
        <v>64.3</v>
      </c>
      <c r="J52" s="120">
        <v>14</v>
      </c>
    </row>
    <row r="53" spans="1:10" x14ac:dyDescent="0.25">
      <c r="A53" s="120" t="s">
        <v>64</v>
      </c>
      <c r="B53" s="120">
        <v>26.3</v>
      </c>
      <c r="C53" s="120">
        <v>52.6</v>
      </c>
      <c r="D53" s="120">
        <v>63.2</v>
      </c>
      <c r="E53" s="120">
        <v>57.9</v>
      </c>
      <c r="F53" s="120">
        <v>10.5</v>
      </c>
      <c r="G53" s="120">
        <v>57.9</v>
      </c>
      <c r="H53" s="120">
        <v>73.7</v>
      </c>
      <c r="I53" s="120">
        <v>68.400000000000006</v>
      </c>
      <c r="J53" s="120">
        <v>20</v>
      </c>
    </row>
    <row r="54" spans="1:10" x14ac:dyDescent="0.25">
      <c r="A54" s="120" t="s">
        <v>13</v>
      </c>
      <c r="B54" s="120">
        <v>10.3</v>
      </c>
      <c r="C54" s="120">
        <v>27.6</v>
      </c>
      <c r="D54" s="120">
        <v>48.3</v>
      </c>
      <c r="E54" s="120">
        <v>44.8</v>
      </c>
      <c r="F54" s="120">
        <v>3.4</v>
      </c>
      <c r="G54" s="120">
        <v>10.3</v>
      </c>
      <c r="H54" s="120">
        <v>48.3</v>
      </c>
      <c r="I54" s="120">
        <v>51.7</v>
      </c>
      <c r="J54" s="120">
        <v>30</v>
      </c>
    </row>
    <row r="55" spans="1:10" x14ac:dyDescent="0.25">
      <c r="A55" s="120" t="s">
        <v>14</v>
      </c>
      <c r="B55" s="120">
        <v>31</v>
      </c>
      <c r="C55" s="120">
        <v>58.6</v>
      </c>
      <c r="D55" s="120">
        <v>55.2</v>
      </c>
      <c r="E55" s="120">
        <v>55.2</v>
      </c>
      <c r="F55" s="120">
        <v>6.9</v>
      </c>
      <c r="G55" s="120">
        <v>13.8</v>
      </c>
      <c r="H55" s="120">
        <v>86.2</v>
      </c>
      <c r="I55" s="120">
        <v>75.900000000000006</v>
      </c>
      <c r="J55" s="120">
        <v>29</v>
      </c>
    </row>
    <row r="56" spans="1:10" x14ac:dyDescent="0.25">
      <c r="A56" s="120" t="s">
        <v>66</v>
      </c>
      <c r="B56" s="120">
        <v>35.700000000000003</v>
      </c>
      <c r="C56" s="120">
        <v>42.9</v>
      </c>
      <c r="D56" s="120">
        <v>57.1</v>
      </c>
      <c r="E56" s="120">
        <v>78.599999999999994</v>
      </c>
      <c r="F56" s="120">
        <v>0</v>
      </c>
      <c r="G56" s="120">
        <v>50</v>
      </c>
      <c r="H56" s="120">
        <v>85.7</v>
      </c>
      <c r="I56" s="120">
        <v>64.3</v>
      </c>
      <c r="J56" s="120">
        <v>14</v>
      </c>
    </row>
    <row r="57" spans="1:10" x14ac:dyDescent="0.25">
      <c r="A57" s="120" t="s">
        <v>67</v>
      </c>
      <c r="B57" s="120">
        <v>17.600000000000001</v>
      </c>
      <c r="C57" s="120">
        <v>29.4</v>
      </c>
      <c r="D57" s="120">
        <v>43.8</v>
      </c>
      <c r="E57" s="120">
        <v>17.600000000000001</v>
      </c>
      <c r="F57" s="120">
        <v>11.8</v>
      </c>
      <c r="G57" s="120">
        <v>41.2</v>
      </c>
      <c r="H57" s="120">
        <v>47.1</v>
      </c>
      <c r="I57" s="120">
        <v>70.599999999999994</v>
      </c>
      <c r="J57" s="120">
        <v>17</v>
      </c>
    </row>
    <row r="58" spans="1:10" x14ac:dyDescent="0.25">
      <c r="A58" s="120" t="s">
        <v>68</v>
      </c>
      <c r="B58" s="120">
        <v>12.9</v>
      </c>
      <c r="C58" s="120">
        <v>9.6999999999999993</v>
      </c>
      <c r="D58" s="120">
        <v>29</v>
      </c>
      <c r="E58" s="120">
        <v>35.5</v>
      </c>
      <c r="F58" s="120">
        <v>3.2</v>
      </c>
      <c r="G58" s="120">
        <v>19.399999999999999</v>
      </c>
      <c r="H58" s="120">
        <v>64.5</v>
      </c>
      <c r="I58" s="120">
        <v>51.6</v>
      </c>
      <c r="J58" s="120">
        <v>31</v>
      </c>
    </row>
    <row r="59" spans="1:10" x14ac:dyDescent="0.25">
      <c r="A59" s="120" t="s">
        <v>15</v>
      </c>
      <c r="B59" s="120">
        <v>26.3</v>
      </c>
      <c r="C59" s="120">
        <v>63.2</v>
      </c>
      <c r="D59" s="120">
        <v>36.799999999999997</v>
      </c>
      <c r="E59" s="120">
        <v>26.3</v>
      </c>
      <c r="F59" s="120">
        <v>5.3</v>
      </c>
      <c r="G59" s="120">
        <v>10.5</v>
      </c>
      <c r="H59" s="120">
        <v>26.3</v>
      </c>
      <c r="I59" s="120">
        <v>42.1</v>
      </c>
      <c r="J59" s="120">
        <v>19</v>
      </c>
    </row>
    <row r="60" spans="1:10" x14ac:dyDescent="0.25">
      <c r="A60" s="120" t="s">
        <v>16</v>
      </c>
      <c r="B60" s="120">
        <v>20.9</v>
      </c>
      <c r="C60" s="120">
        <v>39</v>
      </c>
      <c r="D60" s="120">
        <v>46.5</v>
      </c>
      <c r="E60" s="120">
        <v>55.8</v>
      </c>
      <c r="F60" s="120">
        <v>7</v>
      </c>
      <c r="G60" s="120">
        <v>27.9</v>
      </c>
      <c r="H60" s="120">
        <v>45.2</v>
      </c>
      <c r="I60" s="120">
        <v>46.5</v>
      </c>
      <c r="J60" s="120">
        <v>43</v>
      </c>
    </row>
    <row r="61" spans="1:10" x14ac:dyDescent="0.25">
      <c r="A61" s="120" t="s">
        <v>70</v>
      </c>
      <c r="B61" s="120">
        <v>45.9</v>
      </c>
      <c r="C61" s="120">
        <v>72.099999999999994</v>
      </c>
      <c r="D61" s="120">
        <v>55.7</v>
      </c>
      <c r="E61" s="120">
        <v>57.4</v>
      </c>
      <c r="F61" s="120">
        <v>6.6</v>
      </c>
      <c r="G61" s="120">
        <v>24.6</v>
      </c>
      <c r="H61" s="120">
        <v>62.3</v>
      </c>
      <c r="I61" s="120">
        <v>60.7</v>
      </c>
      <c r="J61" s="120">
        <v>61</v>
      </c>
    </row>
    <row r="62" spans="1:10" x14ac:dyDescent="0.25">
      <c r="A62" s="120" t="s">
        <v>17</v>
      </c>
      <c r="B62" s="120">
        <v>28.6</v>
      </c>
      <c r="C62" s="120">
        <v>14.3</v>
      </c>
      <c r="D62" s="120">
        <v>42.9</v>
      </c>
      <c r="E62" s="120">
        <v>85.7</v>
      </c>
      <c r="F62" s="120">
        <v>14.3</v>
      </c>
      <c r="G62" s="120">
        <v>14.3</v>
      </c>
      <c r="H62" s="120">
        <v>57.1</v>
      </c>
      <c r="I62" s="120">
        <v>42.9</v>
      </c>
      <c r="J62" s="120">
        <v>7</v>
      </c>
    </row>
    <row r="63" spans="1:10" x14ac:dyDescent="0.25">
      <c r="A63" s="120" t="s">
        <v>24</v>
      </c>
      <c r="B63" s="120">
        <v>57.1</v>
      </c>
      <c r="C63" s="120">
        <v>42.9</v>
      </c>
      <c r="D63" s="120">
        <v>57.1</v>
      </c>
      <c r="E63" s="120">
        <v>76.2</v>
      </c>
      <c r="F63" s="120">
        <v>9.5</v>
      </c>
      <c r="G63" s="120">
        <v>28.6</v>
      </c>
      <c r="H63" s="120">
        <v>71.400000000000006</v>
      </c>
      <c r="I63" s="120">
        <v>90.5</v>
      </c>
      <c r="J63" s="120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E20" sqref="E20"/>
    </sheetView>
  </sheetViews>
  <sheetFormatPr defaultColWidth="8.78515625" defaultRowHeight="13.5" x14ac:dyDescent="0.25"/>
  <cols>
    <col min="1" max="1" width="9.640625" style="120" customWidth="1"/>
    <col min="2" max="16384" width="8.78515625" style="120"/>
  </cols>
  <sheetData>
    <row r="1" spans="1:18" x14ac:dyDescent="0.25">
      <c r="A1" s="124" t="s">
        <v>285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x14ac:dyDescent="0.25">
      <c r="A2" s="124" t="s">
        <v>286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x14ac:dyDescent="0.25">
      <c r="A3" s="124" t="s">
        <v>287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5" spans="1:18" x14ac:dyDescent="0.25">
      <c r="E5" s="119" t="s">
        <v>288</v>
      </c>
      <c r="F5" s="119"/>
      <c r="G5" s="121" t="s">
        <v>145</v>
      </c>
    </row>
    <row r="6" spans="1:18" x14ac:dyDescent="0.25">
      <c r="A6" s="119" t="s">
        <v>292</v>
      </c>
      <c r="B6" s="119"/>
      <c r="C6" s="119"/>
      <c r="D6" s="119"/>
      <c r="E6" s="124">
        <v>69.3</v>
      </c>
      <c r="F6" s="124"/>
      <c r="G6" s="120">
        <v>976</v>
      </c>
    </row>
    <row r="7" spans="1:18" x14ac:dyDescent="0.25">
      <c r="A7" s="119" t="s">
        <v>293</v>
      </c>
      <c r="B7" s="119"/>
      <c r="C7" s="119"/>
      <c r="D7" s="119"/>
      <c r="E7" s="124">
        <v>49.8</v>
      </c>
      <c r="F7" s="124"/>
      <c r="G7" s="120">
        <v>974</v>
      </c>
    </row>
    <row r="8" spans="1:18" x14ac:dyDescent="0.25">
      <c r="A8" s="119" t="s">
        <v>294</v>
      </c>
      <c r="B8" s="119"/>
      <c r="C8" s="119"/>
      <c r="D8" s="119"/>
      <c r="E8" s="124">
        <v>41.9</v>
      </c>
      <c r="F8" s="124"/>
      <c r="G8" s="120">
        <v>970</v>
      </c>
    </row>
    <row r="10" spans="1:18" x14ac:dyDescent="0.25">
      <c r="A10" s="120" t="s">
        <v>344</v>
      </c>
      <c r="B10" s="121" t="s">
        <v>289</v>
      </c>
      <c r="C10" s="121" t="s">
        <v>290</v>
      </c>
      <c r="D10" s="121" t="s">
        <v>291</v>
      </c>
      <c r="E10" s="121" t="s">
        <v>145</v>
      </c>
    </row>
    <row r="11" spans="1:18" x14ac:dyDescent="0.25">
      <c r="A11" s="126" t="s">
        <v>115</v>
      </c>
      <c r="B11" s="120">
        <v>72.2</v>
      </c>
      <c r="C11" s="120">
        <v>42.6</v>
      </c>
      <c r="D11" s="120">
        <v>41.7</v>
      </c>
      <c r="E11" s="120">
        <v>115</v>
      </c>
    </row>
    <row r="12" spans="1:18" x14ac:dyDescent="0.25">
      <c r="A12" s="126" t="s">
        <v>116</v>
      </c>
      <c r="B12" s="120">
        <v>68.8</v>
      </c>
      <c r="C12" s="120">
        <v>45.9</v>
      </c>
      <c r="D12" s="120">
        <v>34.299999999999997</v>
      </c>
      <c r="E12" s="120">
        <v>109</v>
      </c>
    </row>
    <row r="13" spans="1:18" x14ac:dyDescent="0.25">
      <c r="A13" s="126" t="s">
        <v>117</v>
      </c>
      <c r="B13" s="120">
        <v>57.3</v>
      </c>
      <c r="C13" s="120">
        <v>42.7</v>
      </c>
      <c r="D13" s="120">
        <v>35.9</v>
      </c>
      <c r="E13" s="120">
        <v>171</v>
      </c>
    </row>
    <row r="14" spans="1:18" x14ac:dyDescent="0.25">
      <c r="A14" s="126" t="s">
        <v>118</v>
      </c>
      <c r="B14" s="120">
        <v>66.5</v>
      </c>
      <c r="C14" s="120">
        <v>51</v>
      </c>
      <c r="D14" s="120">
        <v>41.1</v>
      </c>
      <c r="E14" s="120">
        <v>205</v>
      </c>
    </row>
    <row r="15" spans="1:18" x14ac:dyDescent="0.25">
      <c r="A15" s="126" t="s">
        <v>119</v>
      </c>
      <c r="B15" s="120">
        <v>73.5</v>
      </c>
      <c r="C15" s="120">
        <v>59.7</v>
      </c>
      <c r="D15" s="120">
        <v>40.799999999999997</v>
      </c>
      <c r="E15" s="120">
        <v>183</v>
      </c>
    </row>
    <row r="16" spans="1:18" x14ac:dyDescent="0.25">
      <c r="A16" s="126" t="s">
        <v>120</v>
      </c>
      <c r="B16" s="120">
        <v>77.2</v>
      </c>
      <c r="C16" s="120">
        <v>52</v>
      </c>
      <c r="D16" s="120">
        <v>53.6</v>
      </c>
      <c r="E16" s="120">
        <v>198</v>
      </c>
    </row>
    <row r="18" spans="1:5" x14ac:dyDescent="0.25">
      <c r="A18" s="121" t="s">
        <v>20</v>
      </c>
      <c r="B18" s="121" t="s">
        <v>289</v>
      </c>
      <c r="C18" s="121" t="s">
        <v>290</v>
      </c>
      <c r="D18" s="121" t="s">
        <v>291</v>
      </c>
      <c r="E18" s="121" t="s">
        <v>145</v>
      </c>
    </row>
    <row r="19" spans="1:5" x14ac:dyDescent="0.25">
      <c r="A19" s="120" t="s">
        <v>43</v>
      </c>
      <c r="B19" s="120">
        <v>53.3</v>
      </c>
      <c r="C19" s="120">
        <v>46.7</v>
      </c>
      <c r="D19" s="120">
        <v>46.7</v>
      </c>
      <c r="E19" s="120">
        <v>15</v>
      </c>
    </row>
    <row r="20" spans="1:5" x14ac:dyDescent="0.25">
      <c r="A20" s="120" t="s">
        <v>44</v>
      </c>
      <c r="B20" s="120">
        <v>65.8</v>
      </c>
      <c r="C20" s="120">
        <v>44.7</v>
      </c>
      <c r="D20" s="120">
        <v>36.799999999999997</v>
      </c>
      <c r="E20" s="120">
        <v>37</v>
      </c>
    </row>
    <row r="21" spans="1:5" x14ac:dyDescent="0.25">
      <c r="A21" s="120" t="s">
        <v>45</v>
      </c>
      <c r="B21" s="120">
        <v>83.3</v>
      </c>
      <c r="C21" s="120">
        <v>50</v>
      </c>
      <c r="D21" s="120">
        <v>33.299999999999997</v>
      </c>
      <c r="E21" s="120">
        <v>24</v>
      </c>
    </row>
    <row r="22" spans="1:5" x14ac:dyDescent="0.25">
      <c r="A22" s="120" t="s">
        <v>2</v>
      </c>
      <c r="B22" s="120">
        <v>83.3</v>
      </c>
      <c r="C22" s="120">
        <v>58.3</v>
      </c>
      <c r="D22" s="120">
        <v>58.3</v>
      </c>
      <c r="E22" s="120">
        <v>12</v>
      </c>
    </row>
    <row r="23" spans="1:5" x14ac:dyDescent="0.25">
      <c r="A23" s="120" t="s">
        <v>3</v>
      </c>
      <c r="B23" s="120">
        <v>70.3</v>
      </c>
      <c r="C23" s="120">
        <v>55.6</v>
      </c>
      <c r="D23" s="120">
        <v>44.4</v>
      </c>
      <c r="E23" s="120">
        <v>64</v>
      </c>
    </row>
    <row r="24" spans="1:5" x14ac:dyDescent="0.25">
      <c r="A24" s="120" t="s">
        <v>4</v>
      </c>
      <c r="B24" s="120">
        <v>87.5</v>
      </c>
      <c r="C24" s="120">
        <v>87.5</v>
      </c>
      <c r="D24" s="120">
        <v>43.8</v>
      </c>
      <c r="E24" s="120">
        <v>16</v>
      </c>
    </row>
    <row r="25" spans="1:5" x14ac:dyDescent="0.25">
      <c r="A25" s="120" t="s">
        <v>47</v>
      </c>
      <c r="B25" s="120">
        <v>57.9</v>
      </c>
      <c r="C25" s="120">
        <v>42.1</v>
      </c>
      <c r="D25" s="120">
        <v>36.799999999999997</v>
      </c>
      <c r="E25" s="120">
        <v>19</v>
      </c>
    </row>
    <row r="26" spans="1:5" x14ac:dyDescent="0.25">
      <c r="A26" s="120" t="s">
        <v>5</v>
      </c>
      <c r="B26" s="120">
        <v>75.900000000000006</v>
      </c>
      <c r="C26" s="120">
        <v>51.7</v>
      </c>
      <c r="D26" s="120">
        <v>48.3</v>
      </c>
      <c r="E26" s="120">
        <v>29</v>
      </c>
    </row>
    <row r="27" spans="1:5" x14ac:dyDescent="0.25">
      <c r="A27" s="120" t="s">
        <v>49</v>
      </c>
      <c r="B27" s="120">
        <v>85.7</v>
      </c>
      <c r="C27" s="120">
        <v>85.7</v>
      </c>
      <c r="D27" s="120">
        <v>64.3</v>
      </c>
      <c r="E27" s="120">
        <v>14</v>
      </c>
    </row>
    <row r="28" spans="1:5" x14ac:dyDescent="0.25">
      <c r="A28" s="120" t="s">
        <v>50</v>
      </c>
      <c r="B28" s="120">
        <v>68.400000000000006</v>
      </c>
      <c r="C28" s="120">
        <v>36.799999999999997</v>
      </c>
      <c r="D28" s="120">
        <v>42.1</v>
      </c>
      <c r="E28" s="120">
        <v>19</v>
      </c>
    </row>
    <row r="29" spans="1:5" x14ac:dyDescent="0.25">
      <c r="A29" s="120" t="s">
        <v>22</v>
      </c>
      <c r="B29" s="120">
        <v>75</v>
      </c>
      <c r="C29" s="120">
        <v>58.3</v>
      </c>
      <c r="D29" s="120">
        <v>30.4</v>
      </c>
      <c r="E29" s="120">
        <v>24</v>
      </c>
    </row>
    <row r="30" spans="1:5" x14ac:dyDescent="0.25">
      <c r="A30" s="120" t="s">
        <v>51</v>
      </c>
      <c r="B30" s="120">
        <v>58.3</v>
      </c>
      <c r="C30" s="120">
        <v>41.7</v>
      </c>
      <c r="D30" s="120">
        <v>50</v>
      </c>
      <c r="E30" s="120">
        <v>12</v>
      </c>
    </row>
    <row r="31" spans="1:5" x14ac:dyDescent="0.25">
      <c r="A31" s="120" t="s">
        <v>71</v>
      </c>
      <c r="B31" s="120">
        <v>77.8</v>
      </c>
      <c r="C31" s="120">
        <v>81.5</v>
      </c>
      <c r="D31" s="120">
        <v>59.3</v>
      </c>
      <c r="E31" s="120">
        <v>28</v>
      </c>
    </row>
    <row r="32" spans="1:5" x14ac:dyDescent="0.25">
      <c r="A32" s="120" t="s">
        <v>6</v>
      </c>
      <c r="B32" s="120">
        <v>72.2</v>
      </c>
      <c r="C32" s="120">
        <v>63.9</v>
      </c>
      <c r="D32" s="120">
        <v>48.6</v>
      </c>
      <c r="E32" s="120">
        <v>37</v>
      </c>
    </row>
    <row r="33" spans="1:5" x14ac:dyDescent="0.25">
      <c r="A33" s="120" t="s">
        <v>72</v>
      </c>
      <c r="B33" s="120">
        <v>32.4</v>
      </c>
      <c r="C33" s="120">
        <v>29.4</v>
      </c>
      <c r="D33" s="120">
        <v>26.5</v>
      </c>
      <c r="E33" s="120">
        <v>34</v>
      </c>
    </row>
    <row r="34" spans="1:5" x14ac:dyDescent="0.25">
      <c r="A34" s="120" t="s">
        <v>7</v>
      </c>
      <c r="B34" s="120">
        <v>70.8</v>
      </c>
      <c r="C34" s="120">
        <v>37.5</v>
      </c>
      <c r="D34" s="120">
        <v>29.2</v>
      </c>
      <c r="E34" s="120">
        <v>24</v>
      </c>
    </row>
    <row r="35" spans="1:5" x14ac:dyDescent="0.25">
      <c r="A35" s="120" t="s">
        <v>8</v>
      </c>
      <c r="B35" s="120">
        <v>72</v>
      </c>
      <c r="C35" s="120">
        <v>72</v>
      </c>
      <c r="D35" s="120">
        <v>64</v>
      </c>
      <c r="E35" s="120">
        <v>25</v>
      </c>
    </row>
    <row r="36" spans="1:5" x14ac:dyDescent="0.25">
      <c r="A36" s="120" t="s">
        <v>9</v>
      </c>
      <c r="B36" s="120">
        <v>48.6</v>
      </c>
      <c r="C36" s="120">
        <v>29.7</v>
      </c>
      <c r="D36" s="120">
        <v>27</v>
      </c>
      <c r="E36" s="120">
        <v>37</v>
      </c>
    </row>
    <row r="37" spans="1:5" x14ac:dyDescent="0.25">
      <c r="A37" s="120" t="s">
        <v>55</v>
      </c>
      <c r="B37" s="120">
        <v>77.8</v>
      </c>
      <c r="C37" s="120">
        <v>66.7</v>
      </c>
      <c r="D37" s="120">
        <v>34.6</v>
      </c>
      <c r="E37" s="120">
        <v>27</v>
      </c>
    </row>
    <row r="38" spans="1:5" x14ac:dyDescent="0.25">
      <c r="A38" s="120" t="s">
        <v>73</v>
      </c>
      <c r="B38" s="120">
        <v>68.8</v>
      </c>
      <c r="C38" s="120">
        <v>50</v>
      </c>
      <c r="D38" s="120">
        <v>25.8</v>
      </c>
      <c r="E38" s="120">
        <v>32</v>
      </c>
    </row>
    <row r="39" spans="1:5" x14ac:dyDescent="0.25">
      <c r="A39" s="120" t="s">
        <v>10</v>
      </c>
      <c r="B39" s="120">
        <v>29.4</v>
      </c>
      <c r="C39" s="120">
        <v>29.4</v>
      </c>
      <c r="D39" s="120">
        <v>23.5</v>
      </c>
      <c r="E39" s="120">
        <v>17</v>
      </c>
    </row>
    <row r="40" spans="1:5" x14ac:dyDescent="0.25">
      <c r="A40" s="120" t="s">
        <v>57</v>
      </c>
      <c r="B40" s="120">
        <v>64.3</v>
      </c>
      <c r="C40" s="120">
        <v>50</v>
      </c>
      <c r="D40" s="120">
        <v>50</v>
      </c>
      <c r="E40" s="120">
        <v>14</v>
      </c>
    </row>
    <row r="41" spans="1:5" x14ac:dyDescent="0.25">
      <c r="A41" s="120" t="s">
        <v>11</v>
      </c>
      <c r="B41" s="120">
        <v>85.3</v>
      </c>
      <c r="C41" s="120">
        <v>55.9</v>
      </c>
      <c r="D41" s="120">
        <v>67.599999999999994</v>
      </c>
      <c r="E41" s="120">
        <v>34</v>
      </c>
    </row>
    <row r="42" spans="1:5" x14ac:dyDescent="0.25">
      <c r="A42" s="120" t="s">
        <v>59</v>
      </c>
      <c r="B42" s="120">
        <v>80</v>
      </c>
      <c r="C42" s="120">
        <v>80</v>
      </c>
      <c r="D42" s="120">
        <v>60</v>
      </c>
      <c r="E42" s="120">
        <v>10</v>
      </c>
    </row>
    <row r="43" spans="1:5" x14ac:dyDescent="0.25">
      <c r="A43" s="120" t="s">
        <v>60</v>
      </c>
      <c r="B43" s="120">
        <v>63.6</v>
      </c>
      <c r="C43" s="120">
        <v>27.3</v>
      </c>
      <c r="D43" s="120">
        <v>27.3</v>
      </c>
      <c r="E43" s="120">
        <v>11</v>
      </c>
    </row>
    <row r="44" spans="1:5" x14ac:dyDescent="0.25">
      <c r="A44" s="120" t="s">
        <v>61</v>
      </c>
      <c r="B44" s="120">
        <v>61.1</v>
      </c>
      <c r="C44" s="120">
        <v>33.299999999999997</v>
      </c>
      <c r="D44" s="120">
        <v>33.299999999999997</v>
      </c>
      <c r="E44" s="120">
        <v>18</v>
      </c>
    </row>
    <row r="45" spans="1:5" x14ac:dyDescent="0.25">
      <c r="A45" s="120" t="s">
        <v>12</v>
      </c>
      <c r="B45" s="120">
        <v>70</v>
      </c>
      <c r="C45" s="120">
        <v>60</v>
      </c>
      <c r="D45" s="120">
        <v>60</v>
      </c>
      <c r="E45" s="120">
        <v>10</v>
      </c>
    </row>
    <row r="46" spans="1:5" x14ac:dyDescent="0.25">
      <c r="A46" s="120" t="s">
        <v>23</v>
      </c>
      <c r="B46" s="120">
        <v>56.7</v>
      </c>
      <c r="C46" s="120">
        <v>36.700000000000003</v>
      </c>
      <c r="D46" s="120">
        <v>40</v>
      </c>
      <c r="E46" s="120">
        <v>31</v>
      </c>
    </row>
    <row r="47" spans="1:5" x14ac:dyDescent="0.25">
      <c r="A47" s="120" t="s">
        <v>63</v>
      </c>
      <c r="B47" s="120">
        <v>57.1</v>
      </c>
      <c r="C47" s="120">
        <v>50</v>
      </c>
      <c r="D47" s="120">
        <v>28.6</v>
      </c>
      <c r="E47" s="120">
        <v>14</v>
      </c>
    </row>
    <row r="48" spans="1:5" x14ac:dyDescent="0.25">
      <c r="A48" s="120" t="s">
        <v>64</v>
      </c>
      <c r="B48" s="120">
        <v>85</v>
      </c>
      <c r="C48" s="120">
        <v>20</v>
      </c>
      <c r="D48" s="120">
        <v>20</v>
      </c>
      <c r="E48" s="120">
        <v>20</v>
      </c>
    </row>
    <row r="49" spans="1:5" x14ac:dyDescent="0.25">
      <c r="A49" s="120" t="s">
        <v>13</v>
      </c>
      <c r="B49" s="120">
        <v>65.5</v>
      </c>
      <c r="C49" s="120">
        <v>37.9</v>
      </c>
      <c r="D49" s="120">
        <v>20.7</v>
      </c>
      <c r="E49" s="120">
        <v>30</v>
      </c>
    </row>
    <row r="50" spans="1:5" x14ac:dyDescent="0.25">
      <c r="A50" s="120" t="s">
        <v>14</v>
      </c>
      <c r="B50" s="120">
        <v>55.2</v>
      </c>
      <c r="C50" s="120">
        <v>24.1</v>
      </c>
      <c r="D50" s="120">
        <v>34.5</v>
      </c>
      <c r="E50" s="120">
        <v>29</v>
      </c>
    </row>
    <row r="51" spans="1:5" x14ac:dyDescent="0.25">
      <c r="A51" s="120" t="s">
        <v>66</v>
      </c>
      <c r="B51" s="120">
        <v>78.599999999999994</v>
      </c>
      <c r="C51" s="120">
        <v>42.9</v>
      </c>
      <c r="D51" s="120">
        <v>42.9</v>
      </c>
      <c r="E51" s="120">
        <v>14</v>
      </c>
    </row>
    <row r="52" spans="1:5" x14ac:dyDescent="0.25">
      <c r="A52" s="120" t="s">
        <v>67</v>
      </c>
      <c r="B52" s="120">
        <v>64.7</v>
      </c>
      <c r="C52" s="120">
        <v>52.9</v>
      </c>
      <c r="D52" s="120">
        <v>52.9</v>
      </c>
      <c r="E52" s="120">
        <v>17</v>
      </c>
    </row>
    <row r="53" spans="1:5" x14ac:dyDescent="0.25">
      <c r="A53" s="120" t="s">
        <v>68</v>
      </c>
      <c r="B53" s="120">
        <v>83.9</v>
      </c>
      <c r="C53" s="120">
        <v>54.8</v>
      </c>
      <c r="D53" s="120">
        <v>41.9</v>
      </c>
      <c r="E53" s="120">
        <v>31</v>
      </c>
    </row>
    <row r="54" spans="1:5" x14ac:dyDescent="0.25">
      <c r="A54" s="120" t="s">
        <v>15</v>
      </c>
      <c r="B54" s="120">
        <v>84.2</v>
      </c>
      <c r="C54" s="120">
        <v>50</v>
      </c>
      <c r="D54" s="120">
        <v>61.1</v>
      </c>
      <c r="E54" s="120">
        <v>19</v>
      </c>
    </row>
    <row r="55" spans="1:5" x14ac:dyDescent="0.25">
      <c r="A55" s="120" t="s">
        <v>16</v>
      </c>
      <c r="B55" s="120">
        <v>79.099999999999994</v>
      </c>
      <c r="C55" s="120">
        <v>60.5</v>
      </c>
      <c r="D55" s="120">
        <v>44.2</v>
      </c>
      <c r="E55" s="120">
        <v>43</v>
      </c>
    </row>
    <row r="56" spans="1:5" x14ac:dyDescent="0.25">
      <c r="A56" s="120" t="s">
        <v>70</v>
      </c>
      <c r="B56" s="120">
        <v>81.7</v>
      </c>
      <c r="C56" s="120">
        <v>55</v>
      </c>
      <c r="D56" s="120">
        <v>56.7</v>
      </c>
      <c r="E56" s="120">
        <v>61</v>
      </c>
    </row>
    <row r="57" spans="1:5" x14ac:dyDescent="0.25">
      <c r="A57" s="120" t="s">
        <v>17</v>
      </c>
      <c r="B57" s="120">
        <v>71.400000000000006</v>
      </c>
      <c r="C57" s="120">
        <v>57.1</v>
      </c>
      <c r="D57" s="120">
        <v>57.1</v>
      </c>
      <c r="E57" s="120">
        <v>7</v>
      </c>
    </row>
    <row r="58" spans="1:5" x14ac:dyDescent="0.25">
      <c r="A58" s="120" t="s">
        <v>24</v>
      </c>
      <c r="B58" s="120">
        <v>57.1</v>
      </c>
      <c r="C58" s="120">
        <v>33.299999999999997</v>
      </c>
      <c r="D58" s="120">
        <v>28.6</v>
      </c>
      <c r="E58" s="120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opLeftCell="N19" workbookViewId="0">
      <selection activeCell="Y47" sqref="Y47"/>
    </sheetView>
  </sheetViews>
  <sheetFormatPr defaultColWidth="9.2109375" defaultRowHeight="13.5" x14ac:dyDescent="0.25"/>
  <cols>
    <col min="1" max="4" width="16.28515625" style="153" customWidth="1"/>
    <col min="5" max="6" width="10.78515625" style="153" customWidth="1"/>
    <col min="7" max="16384" width="9.2109375" style="153"/>
  </cols>
  <sheetData>
    <row r="1" spans="1:21" x14ac:dyDescent="0.25">
      <c r="A1" s="195" t="s">
        <v>217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21" x14ac:dyDescent="0.25">
      <c r="A2" s="196" t="s">
        <v>218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21" x14ac:dyDescent="0.25">
      <c r="A3" s="196" t="s">
        <v>219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21" x14ac:dyDescent="0.25">
      <c r="A4" s="196" t="s">
        <v>220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spans="1:21" x14ac:dyDescent="0.25">
      <c r="A5" s="196" t="s">
        <v>221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21" x14ac:dyDescent="0.25">
      <c r="A6" s="155"/>
      <c r="B6" s="155"/>
      <c r="C6" s="155"/>
      <c r="D6" s="155"/>
      <c r="E6" s="155"/>
      <c r="F6" s="155"/>
      <c r="G6" s="155"/>
    </row>
    <row r="7" spans="1:21" ht="54" x14ac:dyDescent="0.25">
      <c r="A7" s="119"/>
      <c r="B7" s="119"/>
      <c r="C7" s="119"/>
      <c r="D7" s="119"/>
      <c r="E7" s="160" t="s">
        <v>222</v>
      </c>
      <c r="F7" s="155" t="s">
        <v>145</v>
      </c>
      <c r="I7" s="193"/>
      <c r="J7" s="194"/>
      <c r="K7" s="194"/>
      <c r="L7" s="194"/>
      <c r="M7" s="194"/>
      <c r="N7" s="194"/>
      <c r="O7" s="194"/>
      <c r="P7" s="194"/>
      <c r="Q7" s="194"/>
      <c r="R7" s="194"/>
      <c r="S7" s="194"/>
    </row>
    <row r="8" spans="1:21" x14ac:dyDescent="0.25">
      <c r="A8" s="156" t="s">
        <v>223</v>
      </c>
      <c r="B8" s="156"/>
      <c r="C8" s="156"/>
      <c r="D8" s="156"/>
      <c r="E8" s="156">
        <v>82.2</v>
      </c>
      <c r="F8" s="155">
        <v>981</v>
      </c>
      <c r="K8" s="154"/>
      <c r="L8" s="154"/>
    </row>
    <row r="9" spans="1:21" x14ac:dyDescent="0.25">
      <c r="A9" s="162" t="s">
        <v>224</v>
      </c>
      <c r="B9" s="162"/>
      <c r="C9" s="162"/>
      <c r="D9" s="162"/>
      <c r="E9" s="162">
        <v>45.1</v>
      </c>
      <c r="F9" s="155">
        <v>981</v>
      </c>
      <c r="L9" s="154"/>
      <c r="M9" s="154"/>
      <c r="N9" s="154"/>
      <c r="O9" s="154"/>
      <c r="P9" s="154"/>
      <c r="Q9" s="154"/>
      <c r="R9" s="154"/>
      <c r="S9" s="154"/>
      <c r="T9" s="154"/>
      <c r="U9" s="154"/>
    </row>
    <row r="10" spans="1:21" x14ac:dyDescent="0.25">
      <c r="A10" s="156" t="s">
        <v>225</v>
      </c>
      <c r="B10" s="156"/>
      <c r="C10" s="156"/>
      <c r="D10" s="156"/>
      <c r="E10" s="156">
        <v>36.6</v>
      </c>
      <c r="F10" s="155">
        <v>981</v>
      </c>
    </row>
    <row r="11" spans="1:21" x14ac:dyDescent="0.25">
      <c r="A11" s="156" t="s">
        <v>226</v>
      </c>
      <c r="B11" s="156"/>
      <c r="C11" s="156"/>
      <c r="D11" s="156"/>
      <c r="E11" s="156">
        <v>44.6</v>
      </c>
      <c r="F11" s="155">
        <v>981</v>
      </c>
    </row>
    <row r="12" spans="1:21" x14ac:dyDescent="0.25">
      <c r="A12" s="157" t="s">
        <v>227</v>
      </c>
      <c r="B12" s="157"/>
      <c r="C12" s="157"/>
      <c r="D12" s="157"/>
      <c r="E12" s="163">
        <v>11.6</v>
      </c>
      <c r="F12" s="155">
        <v>981</v>
      </c>
    </row>
    <row r="13" spans="1:21" x14ac:dyDescent="0.25">
      <c r="A13" s="157" t="s">
        <v>228</v>
      </c>
      <c r="B13" s="157"/>
      <c r="C13" s="157"/>
      <c r="D13" s="157"/>
      <c r="E13" s="157">
        <v>33.6</v>
      </c>
      <c r="F13" s="155">
        <v>981</v>
      </c>
    </row>
    <row r="14" spans="1:21" x14ac:dyDescent="0.25">
      <c r="A14" s="157" t="s">
        <v>229</v>
      </c>
      <c r="B14" s="157"/>
      <c r="C14" s="157"/>
      <c r="D14" s="157"/>
      <c r="E14" s="157">
        <v>40.9</v>
      </c>
      <c r="F14" s="155">
        <v>981</v>
      </c>
    </row>
    <row r="15" spans="1:21" x14ac:dyDescent="0.25">
      <c r="A15" s="157" t="s">
        <v>230</v>
      </c>
      <c r="B15" s="157"/>
      <c r="C15" s="157"/>
      <c r="D15" s="157"/>
      <c r="E15" s="163">
        <v>32.4</v>
      </c>
      <c r="F15" s="155">
        <v>981</v>
      </c>
    </row>
    <row r="16" spans="1:21" x14ac:dyDescent="0.25">
      <c r="A16" s="157" t="s">
        <v>231</v>
      </c>
      <c r="B16" s="157"/>
      <c r="C16" s="157"/>
      <c r="D16" s="157"/>
      <c r="E16" s="161">
        <v>62</v>
      </c>
      <c r="F16" s="155">
        <v>981</v>
      </c>
    </row>
    <row r="17" spans="1:8" x14ac:dyDescent="0.25">
      <c r="A17" s="157" t="s">
        <v>232</v>
      </c>
      <c r="B17" s="157"/>
      <c r="C17" s="157"/>
      <c r="D17" s="157"/>
      <c r="E17" s="161">
        <v>24.9</v>
      </c>
      <c r="F17" s="155">
        <v>981</v>
      </c>
    </row>
    <row r="18" spans="1:8" x14ac:dyDescent="0.25">
      <c r="A18" s="157" t="s">
        <v>233</v>
      </c>
      <c r="B18" s="157"/>
      <c r="C18" s="157"/>
      <c r="D18" s="157"/>
      <c r="E18" s="162">
        <v>73.099999999999994</v>
      </c>
      <c r="F18" s="158">
        <v>981</v>
      </c>
      <c r="H18" s="154"/>
    </row>
    <row r="19" spans="1:8" x14ac:dyDescent="0.25">
      <c r="A19" s="157" t="s">
        <v>234</v>
      </c>
      <c r="B19" s="157"/>
      <c r="C19" s="157"/>
      <c r="D19" s="157"/>
      <c r="E19" s="161">
        <v>77</v>
      </c>
      <c r="F19" s="158">
        <v>981</v>
      </c>
    </row>
    <row r="20" spans="1:8" x14ac:dyDescent="0.25">
      <c r="A20" s="157" t="s">
        <v>235</v>
      </c>
      <c r="B20" s="157"/>
      <c r="C20" s="157"/>
      <c r="D20" s="157"/>
      <c r="E20" s="161">
        <v>49.9</v>
      </c>
      <c r="F20" s="158">
        <v>981</v>
      </c>
    </row>
    <row r="21" spans="1:8" x14ac:dyDescent="0.25">
      <c r="A21" s="157" t="s">
        <v>236</v>
      </c>
      <c r="B21" s="157"/>
      <c r="C21" s="157"/>
      <c r="D21" s="157"/>
      <c r="E21" s="161">
        <v>81</v>
      </c>
      <c r="F21" s="158">
        <v>981</v>
      </c>
    </row>
    <row r="22" spans="1:8" x14ac:dyDescent="0.25">
      <c r="A22" s="157" t="s">
        <v>237</v>
      </c>
      <c r="B22" s="157"/>
      <c r="C22" s="157"/>
      <c r="D22" s="157"/>
      <c r="E22" s="161">
        <v>81.5</v>
      </c>
      <c r="F22" s="158">
        <v>981</v>
      </c>
    </row>
    <row r="23" spans="1:8" x14ac:dyDescent="0.25">
      <c r="A23" s="157" t="s">
        <v>238</v>
      </c>
      <c r="B23" s="157"/>
      <c r="C23" s="157"/>
      <c r="D23" s="157"/>
      <c r="E23" s="161">
        <v>22.9</v>
      </c>
      <c r="F23" s="158">
        <v>981</v>
      </c>
    </row>
    <row r="24" spans="1:8" x14ac:dyDescent="0.25">
      <c r="A24" s="157" t="s">
        <v>239</v>
      </c>
      <c r="B24" s="157"/>
      <c r="C24" s="157"/>
      <c r="D24" s="157"/>
      <c r="E24" s="161">
        <v>22.8</v>
      </c>
      <c r="F24" s="158">
        <v>981</v>
      </c>
    </row>
    <row r="25" spans="1:8" x14ac:dyDescent="0.25">
      <c r="A25" s="157" t="s">
        <v>240</v>
      </c>
      <c r="B25" s="157"/>
      <c r="C25" s="157"/>
      <c r="D25" s="157"/>
      <c r="E25" s="161">
        <v>90</v>
      </c>
      <c r="F25" s="158">
        <v>981</v>
      </c>
    </row>
    <row r="26" spans="1:8" x14ac:dyDescent="0.25">
      <c r="A26" s="157" t="s">
        <v>241</v>
      </c>
      <c r="B26" s="157"/>
      <c r="C26" s="157"/>
      <c r="D26" s="157"/>
      <c r="E26" s="161">
        <v>25.6</v>
      </c>
      <c r="F26" s="158">
        <v>981</v>
      </c>
    </row>
    <row r="27" spans="1:8" x14ac:dyDescent="0.25">
      <c r="A27" s="157" t="s">
        <v>242</v>
      </c>
      <c r="B27" s="157"/>
      <c r="C27" s="157"/>
      <c r="D27" s="157"/>
      <c r="E27" s="161">
        <v>71.099999999999994</v>
      </c>
      <c r="F27" s="158">
        <v>981</v>
      </c>
    </row>
    <row r="28" spans="1:8" x14ac:dyDescent="0.25">
      <c r="A28" s="157" t="s">
        <v>243</v>
      </c>
      <c r="B28" s="157"/>
      <c r="C28" s="157"/>
      <c r="D28" s="157"/>
      <c r="E28" s="161">
        <v>36.4</v>
      </c>
      <c r="F28" s="158">
        <v>981</v>
      </c>
    </row>
    <row r="29" spans="1:8" x14ac:dyDescent="0.25">
      <c r="A29" s="157" t="s">
        <v>244</v>
      </c>
      <c r="B29" s="157"/>
      <c r="C29" s="157"/>
      <c r="D29" s="157"/>
      <c r="E29" s="161">
        <v>60.9</v>
      </c>
      <c r="F29" s="158">
        <v>981</v>
      </c>
    </row>
    <row r="30" spans="1:8" x14ac:dyDescent="0.25">
      <c r="A30" s="157" t="s">
        <v>245</v>
      </c>
      <c r="B30" s="157"/>
      <c r="C30" s="157"/>
      <c r="D30" s="157"/>
      <c r="E30" s="156">
        <v>48.2</v>
      </c>
      <c r="F30" s="158">
        <v>981</v>
      </c>
    </row>
    <row r="31" spans="1:8" x14ac:dyDescent="0.25">
      <c r="A31" s="156"/>
      <c r="B31" s="156"/>
      <c r="C31" s="156"/>
      <c r="D31" s="156"/>
      <c r="E31" s="156"/>
      <c r="F31" s="156"/>
      <c r="G31" s="155"/>
    </row>
    <row r="32" spans="1:8" x14ac:dyDescent="0.25">
      <c r="A32" s="194"/>
      <c r="B32" s="194"/>
      <c r="C32" s="194"/>
      <c r="D32" s="194"/>
    </row>
    <row r="35" spans="1:25" x14ac:dyDescent="0.25">
      <c r="A35" s="153" t="s">
        <v>344</v>
      </c>
      <c r="B35" s="154" t="s">
        <v>425</v>
      </c>
      <c r="C35" s="154" t="s">
        <v>426</v>
      </c>
      <c r="D35" s="154" t="s">
        <v>427</v>
      </c>
      <c r="E35" s="154" t="s">
        <v>428</v>
      </c>
      <c r="F35" s="154" t="s">
        <v>429</v>
      </c>
      <c r="G35" s="154" t="s">
        <v>430</v>
      </c>
      <c r="H35" s="154" t="s">
        <v>431</v>
      </c>
      <c r="I35" s="154" t="s">
        <v>432</v>
      </c>
      <c r="J35" s="154" t="s">
        <v>433</v>
      </c>
      <c r="K35" s="154" t="s">
        <v>434</v>
      </c>
      <c r="L35" s="154" t="s">
        <v>435</v>
      </c>
      <c r="M35" s="154" t="s">
        <v>436</v>
      </c>
      <c r="N35" s="154" t="s">
        <v>437</v>
      </c>
      <c r="O35" s="154" t="s">
        <v>438</v>
      </c>
      <c r="P35" s="154" t="s">
        <v>439</v>
      </c>
      <c r="Q35" s="154" t="s">
        <v>440</v>
      </c>
      <c r="R35" s="154" t="s">
        <v>441</v>
      </c>
      <c r="S35" s="154" t="s">
        <v>442</v>
      </c>
      <c r="T35" s="154" t="s">
        <v>443</v>
      </c>
      <c r="U35" s="154" t="s">
        <v>444</v>
      </c>
      <c r="V35" s="154" t="s">
        <v>445</v>
      </c>
      <c r="W35" s="154" t="s">
        <v>446</v>
      </c>
      <c r="X35" s="154" t="s">
        <v>447</v>
      </c>
      <c r="Y35" s="154" t="s">
        <v>145</v>
      </c>
    </row>
    <row r="36" spans="1:25" x14ac:dyDescent="0.25">
      <c r="A36" s="153" t="s">
        <v>115</v>
      </c>
      <c r="B36" s="153">
        <v>73</v>
      </c>
      <c r="C36" s="153">
        <v>49.6</v>
      </c>
      <c r="D36" s="153">
        <v>27.8</v>
      </c>
      <c r="E36" s="153">
        <v>52.2</v>
      </c>
      <c r="F36" s="153">
        <v>7.8</v>
      </c>
      <c r="G36" s="153">
        <v>31.3</v>
      </c>
      <c r="H36" s="153">
        <v>17.399999999999999</v>
      </c>
      <c r="I36" s="153">
        <v>50.4</v>
      </c>
      <c r="J36" s="153">
        <v>60</v>
      </c>
      <c r="K36" s="153">
        <v>18.3</v>
      </c>
      <c r="L36" s="153">
        <v>33</v>
      </c>
      <c r="M36" s="153">
        <v>20.9</v>
      </c>
      <c r="N36" s="153">
        <v>28.7</v>
      </c>
      <c r="O36" s="153">
        <v>20</v>
      </c>
      <c r="P36" s="153">
        <v>35.700000000000003</v>
      </c>
      <c r="Q36" s="153">
        <v>13.9</v>
      </c>
      <c r="R36" s="153">
        <v>7</v>
      </c>
      <c r="S36" s="153">
        <v>43.5</v>
      </c>
      <c r="T36" s="153">
        <v>29.6</v>
      </c>
      <c r="U36" s="153">
        <v>48.7</v>
      </c>
      <c r="V36" s="153">
        <v>11.3</v>
      </c>
      <c r="W36" s="153">
        <v>26.1</v>
      </c>
      <c r="X36" s="153">
        <v>23.5</v>
      </c>
      <c r="Y36" s="153">
        <v>115</v>
      </c>
    </row>
    <row r="37" spans="1:25" x14ac:dyDescent="0.25">
      <c r="A37" s="153" t="s">
        <v>116</v>
      </c>
      <c r="B37" s="153">
        <v>75.2</v>
      </c>
      <c r="C37" s="153">
        <v>52.3</v>
      </c>
      <c r="D37" s="153">
        <v>33.9</v>
      </c>
      <c r="E37" s="153">
        <v>54.1</v>
      </c>
      <c r="F37" s="153">
        <v>12.8</v>
      </c>
      <c r="G37" s="153">
        <v>33</v>
      </c>
      <c r="H37" s="153">
        <v>22.9</v>
      </c>
      <c r="I37" s="153">
        <v>36.700000000000003</v>
      </c>
      <c r="J37" s="153">
        <v>63.3</v>
      </c>
      <c r="K37" s="153">
        <v>19.3</v>
      </c>
      <c r="L37" s="153">
        <v>31.2</v>
      </c>
      <c r="M37" s="153">
        <v>27.5</v>
      </c>
      <c r="N37" s="153">
        <v>22</v>
      </c>
      <c r="O37" s="153">
        <v>39.4</v>
      </c>
      <c r="P37" s="153">
        <v>40.4</v>
      </c>
      <c r="Q37" s="153">
        <v>9.1999999999999993</v>
      </c>
      <c r="R37" s="153">
        <v>9.1999999999999993</v>
      </c>
      <c r="S37" s="153">
        <v>36.700000000000003</v>
      </c>
      <c r="T37" s="153">
        <v>28.4</v>
      </c>
      <c r="U37" s="153">
        <v>37.6</v>
      </c>
      <c r="V37" s="153">
        <v>10.1</v>
      </c>
      <c r="W37" s="153">
        <v>32.1</v>
      </c>
      <c r="X37" s="153">
        <v>30.3</v>
      </c>
      <c r="Y37" s="153">
        <v>109</v>
      </c>
    </row>
    <row r="38" spans="1:25" x14ac:dyDescent="0.25">
      <c r="A38" s="153" t="s">
        <v>117</v>
      </c>
      <c r="B38" s="153">
        <v>84.8</v>
      </c>
      <c r="C38" s="153">
        <v>35.700000000000003</v>
      </c>
      <c r="D38" s="153">
        <v>50.9</v>
      </c>
      <c r="E38" s="153">
        <v>44.4</v>
      </c>
      <c r="F38" s="153">
        <v>12.9</v>
      </c>
      <c r="G38" s="153">
        <v>36.299999999999997</v>
      </c>
      <c r="H38" s="153">
        <v>18.100000000000001</v>
      </c>
      <c r="I38" s="153">
        <v>39.200000000000003</v>
      </c>
      <c r="J38" s="153">
        <v>62.6</v>
      </c>
      <c r="K38" s="153">
        <v>31.6</v>
      </c>
      <c r="L38" s="153">
        <v>29.2</v>
      </c>
      <c r="M38" s="153">
        <v>33.299999999999997</v>
      </c>
      <c r="N38" s="153">
        <v>22.2</v>
      </c>
      <c r="O38" s="153">
        <v>37.4</v>
      </c>
      <c r="P38" s="153">
        <v>38.6</v>
      </c>
      <c r="Q38" s="153">
        <v>9.4</v>
      </c>
      <c r="R38" s="153">
        <v>9.4</v>
      </c>
      <c r="S38" s="153">
        <v>38.6</v>
      </c>
      <c r="T38" s="153">
        <v>26.9</v>
      </c>
      <c r="U38" s="153">
        <v>39.799999999999997</v>
      </c>
      <c r="V38" s="153">
        <v>9.9</v>
      </c>
      <c r="W38" s="153">
        <v>35.700000000000003</v>
      </c>
      <c r="X38" s="153">
        <v>26.9</v>
      </c>
      <c r="Y38" s="153">
        <v>171</v>
      </c>
    </row>
    <row r="39" spans="1:25" x14ac:dyDescent="0.25">
      <c r="A39" s="153" t="s">
        <v>118</v>
      </c>
      <c r="B39" s="153">
        <v>85.9</v>
      </c>
      <c r="C39" s="153">
        <v>37.1</v>
      </c>
      <c r="D39" s="153">
        <v>39</v>
      </c>
      <c r="E39" s="153">
        <v>43.9</v>
      </c>
      <c r="F39" s="153">
        <v>9.3000000000000007</v>
      </c>
      <c r="G39" s="153">
        <v>28.8</v>
      </c>
      <c r="H39" s="153">
        <v>17.600000000000001</v>
      </c>
      <c r="I39" s="153">
        <v>34.1</v>
      </c>
      <c r="J39" s="153">
        <v>65.900000000000006</v>
      </c>
      <c r="K39" s="153">
        <v>28.8</v>
      </c>
      <c r="L39" s="153">
        <v>46.8</v>
      </c>
      <c r="M39" s="153">
        <v>30.7</v>
      </c>
      <c r="N39" s="153">
        <v>16.600000000000001</v>
      </c>
      <c r="O39" s="153">
        <v>30.2</v>
      </c>
      <c r="P39" s="153">
        <v>31.7</v>
      </c>
      <c r="Q39" s="153">
        <v>17.100000000000001</v>
      </c>
      <c r="R39" s="153">
        <v>8.8000000000000007</v>
      </c>
      <c r="S39" s="153">
        <v>41.5</v>
      </c>
      <c r="T39" s="153">
        <v>22.4</v>
      </c>
      <c r="U39" s="153">
        <v>40</v>
      </c>
      <c r="V39" s="153">
        <v>14.1</v>
      </c>
      <c r="W39" s="153">
        <v>40.5</v>
      </c>
      <c r="X39" s="153">
        <v>25.9</v>
      </c>
      <c r="Y39" s="153">
        <v>205</v>
      </c>
    </row>
    <row r="40" spans="1:25" x14ac:dyDescent="0.25">
      <c r="A40" s="153" t="s">
        <v>119</v>
      </c>
      <c r="B40" s="153">
        <v>75.400000000000006</v>
      </c>
      <c r="C40" s="153">
        <v>35</v>
      </c>
      <c r="D40" s="153">
        <v>37.700000000000003</v>
      </c>
      <c r="E40" s="153">
        <v>45.9</v>
      </c>
      <c r="F40" s="153">
        <v>12</v>
      </c>
      <c r="G40" s="153">
        <v>35.5</v>
      </c>
      <c r="H40" s="153">
        <v>21.9</v>
      </c>
      <c r="I40" s="153">
        <v>31.7</v>
      </c>
      <c r="J40" s="153">
        <v>62.8</v>
      </c>
      <c r="K40" s="153">
        <v>22.4</v>
      </c>
      <c r="L40" s="153">
        <v>39.9</v>
      </c>
      <c r="M40" s="153">
        <v>38.299999999999997</v>
      </c>
      <c r="N40" s="153">
        <v>17.5</v>
      </c>
      <c r="O40" s="153">
        <v>45.9</v>
      </c>
      <c r="P40" s="153">
        <v>38.799999999999997</v>
      </c>
      <c r="Q40" s="153">
        <v>12.6</v>
      </c>
      <c r="R40" s="153">
        <v>13.1</v>
      </c>
      <c r="S40" s="153">
        <v>39.299999999999997</v>
      </c>
      <c r="T40" s="153">
        <v>26.8</v>
      </c>
      <c r="U40" s="153">
        <v>32.200000000000003</v>
      </c>
      <c r="V40" s="153">
        <v>16.399999999999999</v>
      </c>
      <c r="W40" s="153">
        <v>33.9</v>
      </c>
      <c r="X40" s="153">
        <v>33.9</v>
      </c>
      <c r="Y40" s="153">
        <v>183</v>
      </c>
    </row>
    <row r="41" spans="1:25" x14ac:dyDescent="0.25">
      <c r="A41" s="153" t="s">
        <v>120</v>
      </c>
      <c r="B41" s="153">
        <v>91.4</v>
      </c>
      <c r="C41" s="153">
        <v>64.099999999999994</v>
      </c>
      <c r="D41" s="153">
        <v>27.3</v>
      </c>
      <c r="E41" s="153">
        <v>34.799999999999997</v>
      </c>
      <c r="F41" s="153">
        <v>14.1</v>
      </c>
      <c r="G41" s="153">
        <v>36.4</v>
      </c>
      <c r="H41" s="153">
        <v>18.7</v>
      </c>
      <c r="I41" s="153">
        <v>12.6</v>
      </c>
      <c r="J41" s="153">
        <v>57.1</v>
      </c>
      <c r="K41" s="153">
        <v>24.2</v>
      </c>
      <c r="L41" s="153">
        <v>60.6</v>
      </c>
      <c r="M41" s="153">
        <v>45.5</v>
      </c>
      <c r="N41" s="153">
        <v>20.7</v>
      </c>
      <c r="O41" s="153">
        <v>48.5</v>
      </c>
      <c r="P41" s="153">
        <v>41.9</v>
      </c>
      <c r="Q41" s="153">
        <v>12.1</v>
      </c>
      <c r="R41" s="153">
        <v>11.6</v>
      </c>
      <c r="S41" s="153">
        <v>27.8</v>
      </c>
      <c r="T41" s="153">
        <v>22.7</v>
      </c>
      <c r="U41" s="153">
        <v>18.2</v>
      </c>
      <c r="V41" s="153">
        <v>12.6</v>
      </c>
      <c r="W41" s="153">
        <v>31.3</v>
      </c>
      <c r="X41" s="153">
        <v>18.2</v>
      </c>
      <c r="Y41" s="153">
        <v>198</v>
      </c>
    </row>
    <row r="45" spans="1:25" x14ac:dyDescent="0.25">
      <c r="A45" s="153" t="s">
        <v>344</v>
      </c>
      <c r="B45" s="154" t="s">
        <v>425</v>
      </c>
      <c r="C45" s="154" t="s">
        <v>426</v>
      </c>
      <c r="D45" s="154" t="s">
        <v>427</v>
      </c>
      <c r="E45" s="154" t="s">
        <v>428</v>
      </c>
      <c r="F45" s="154" t="s">
        <v>429</v>
      </c>
      <c r="G45" s="154" t="s">
        <v>430</v>
      </c>
      <c r="H45" s="154" t="s">
        <v>431</v>
      </c>
      <c r="I45" s="154" t="s">
        <v>432</v>
      </c>
      <c r="J45" s="154" t="s">
        <v>433</v>
      </c>
      <c r="K45" s="154" t="s">
        <v>434</v>
      </c>
      <c r="L45" s="154" t="s">
        <v>435</v>
      </c>
      <c r="M45" s="154" t="s">
        <v>436</v>
      </c>
      <c r="N45" s="154" t="s">
        <v>448</v>
      </c>
      <c r="O45" s="154" t="s">
        <v>438</v>
      </c>
      <c r="P45" s="154" t="s">
        <v>439</v>
      </c>
      <c r="Q45" s="154" t="s">
        <v>440</v>
      </c>
      <c r="R45" s="154" t="s">
        <v>441</v>
      </c>
      <c r="S45" s="154" t="s">
        <v>442</v>
      </c>
      <c r="T45" s="154" t="s">
        <v>443</v>
      </c>
      <c r="U45" s="154" t="s">
        <v>444</v>
      </c>
      <c r="V45" s="154" t="s">
        <v>445</v>
      </c>
      <c r="W45" s="154" t="s">
        <v>446</v>
      </c>
      <c r="X45" s="154" t="s">
        <v>447</v>
      </c>
      <c r="Y45" s="154" t="s">
        <v>145</v>
      </c>
    </row>
    <row r="46" spans="1:25" x14ac:dyDescent="0.25">
      <c r="A46" s="153" t="s">
        <v>43</v>
      </c>
      <c r="B46" s="153">
        <v>73.3</v>
      </c>
      <c r="C46" s="153">
        <v>40</v>
      </c>
      <c r="D46" s="153">
        <v>20</v>
      </c>
      <c r="E46" s="153">
        <v>46.7</v>
      </c>
      <c r="F46" s="153">
        <v>26.7</v>
      </c>
      <c r="G46" s="153">
        <v>46.7</v>
      </c>
      <c r="H46" s="153">
        <v>6.7</v>
      </c>
      <c r="I46" s="153">
        <v>46.7</v>
      </c>
      <c r="J46" s="153">
        <v>33.299999999999997</v>
      </c>
      <c r="K46" s="153">
        <v>6.7</v>
      </c>
      <c r="L46" s="153">
        <v>40</v>
      </c>
      <c r="M46" s="153">
        <v>33.299999999999997</v>
      </c>
      <c r="N46" s="153">
        <v>33.299999999999997</v>
      </c>
      <c r="O46" s="153">
        <v>6.7</v>
      </c>
      <c r="P46" s="153">
        <v>40</v>
      </c>
      <c r="Q46" s="153">
        <v>20</v>
      </c>
      <c r="R46" s="153">
        <v>20</v>
      </c>
      <c r="S46" s="153">
        <v>53.3</v>
      </c>
      <c r="T46" s="153">
        <v>53.3</v>
      </c>
      <c r="U46" s="153">
        <v>33.299999999999997</v>
      </c>
      <c r="V46" s="153">
        <v>20</v>
      </c>
      <c r="W46" s="153">
        <v>46.7</v>
      </c>
      <c r="X46" s="153">
        <v>46.7</v>
      </c>
      <c r="Y46" s="153">
        <v>15</v>
      </c>
    </row>
    <row r="47" spans="1:25" x14ac:dyDescent="0.25">
      <c r="A47" s="153" t="s">
        <v>44</v>
      </c>
      <c r="B47" s="153">
        <v>89.5</v>
      </c>
      <c r="C47" s="153">
        <v>84.2</v>
      </c>
      <c r="D47" s="153">
        <v>13.2</v>
      </c>
      <c r="E47" s="153">
        <v>21.1</v>
      </c>
      <c r="F47" s="153">
        <v>23.7</v>
      </c>
      <c r="G47" s="153">
        <v>39.5</v>
      </c>
      <c r="H47" s="153">
        <v>13.2</v>
      </c>
      <c r="I47" s="153">
        <v>0</v>
      </c>
      <c r="J47" s="153">
        <v>47.4</v>
      </c>
      <c r="K47" s="153">
        <v>5.3</v>
      </c>
      <c r="L47" s="153">
        <v>52.6</v>
      </c>
      <c r="M47" s="153">
        <v>44.7</v>
      </c>
      <c r="N47" s="153">
        <v>5.3</v>
      </c>
      <c r="O47" s="153">
        <v>39.5</v>
      </c>
      <c r="P47" s="153">
        <v>42.1</v>
      </c>
      <c r="Q47" s="153">
        <v>23.7</v>
      </c>
      <c r="R47" s="153">
        <v>15.8</v>
      </c>
      <c r="S47" s="153">
        <v>13.2</v>
      </c>
      <c r="T47" s="153">
        <v>18.399999999999999</v>
      </c>
      <c r="U47" s="153">
        <v>28.9</v>
      </c>
      <c r="V47" s="153">
        <v>13.2</v>
      </c>
      <c r="W47" s="153">
        <v>42.1</v>
      </c>
      <c r="X47" s="153">
        <v>15.8</v>
      </c>
      <c r="Y47" s="153">
        <v>37</v>
      </c>
    </row>
    <row r="48" spans="1:25" x14ac:dyDescent="0.25">
      <c r="A48" s="153" t="s">
        <v>45</v>
      </c>
      <c r="B48" s="153">
        <v>87.5</v>
      </c>
      <c r="C48" s="153">
        <v>37.5</v>
      </c>
      <c r="D48" s="153">
        <v>29.2</v>
      </c>
      <c r="E48" s="153">
        <v>66.7</v>
      </c>
      <c r="F48" s="153">
        <v>20.8</v>
      </c>
      <c r="G48" s="153">
        <v>29.2</v>
      </c>
      <c r="H48" s="153">
        <v>8.3000000000000007</v>
      </c>
      <c r="I48" s="153">
        <v>33.299999999999997</v>
      </c>
      <c r="J48" s="153">
        <v>58.3</v>
      </c>
      <c r="K48" s="153">
        <v>12.5</v>
      </c>
      <c r="L48" s="153">
        <v>37.5</v>
      </c>
      <c r="M48" s="153">
        <v>16.7</v>
      </c>
      <c r="N48" s="153">
        <v>16.7</v>
      </c>
      <c r="O48" s="153">
        <v>20.8</v>
      </c>
      <c r="P48" s="153">
        <v>62.5</v>
      </c>
      <c r="Q48" s="153">
        <v>16.7</v>
      </c>
      <c r="R48" s="153">
        <v>4.2</v>
      </c>
      <c r="S48" s="153">
        <v>37.5</v>
      </c>
      <c r="T48" s="153">
        <v>16.7</v>
      </c>
      <c r="U48" s="153">
        <v>54.2</v>
      </c>
      <c r="V48" s="153">
        <v>4.2</v>
      </c>
      <c r="W48" s="153">
        <v>50</v>
      </c>
      <c r="X48" s="153">
        <v>37.5</v>
      </c>
      <c r="Y48" s="153">
        <v>24</v>
      </c>
    </row>
    <row r="49" spans="1:25" x14ac:dyDescent="0.25">
      <c r="A49" s="153" t="s">
        <v>2</v>
      </c>
      <c r="B49" s="153">
        <v>75</v>
      </c>
      <c r="C49" s="153">
        <v>16.7</v>
      </c>
      <c r="D49" s="153">
        <v>50</v>
      </c>
      <c r="E49" s="153">
        <v>50</v>
      </c>
      <c r="F49" s="153">
        <v>0</v>
      </c>
      <c r="G49" s="153">
        <v>33.299999999999997</v>
      </c>
      <c r="H49" s="153">
        <v>25</v>
      </c>
      <c r="I49" s="153">
        <v>58.3</v>
      </c>
      <c r="J49" s="153">
        <v>66.7</v>
      </c>
      <c r="K49" s="153">
        <v>25</v>
      </c>
      <c r="L49" s="153">
        <v>33.299999999999997</v>
      </c>
      <c r="M49" s="153">
        <v>16.7</v>
      </c>
      <c r="N49" s="153">
        <v>33.299999999999997</v>
      </c>
      <c r="O49" s="153">
        <v>25</v>
      </c>
      <c r="P49" s="153">
        <v>58.3</v>
      </c>
      <c r="Q49" s="153">
        <v>16.7</v>
      </c>
      <c r="R49" s="153">
        <v>8.3000000000000007</v>
      </c>
      <c r="S49" s="153">
        <v>8.3000000000000007</v>
      </c>
      <c r="T49" s="153">
        <v>41.7</v>
      </c>
      <c r="U49" s="153">
        <v>58.3</v>
      </c>
      <c r="V49" s="153">
        <v>16.7</v>
      </c>
      <c r="W49" s="153">
        <v>25</v>
      </c>
      <c r="X49" s="153">
        <v>25</v>
      </c>
      <c r="Y49" s="153">
        <v>12</v>
      </c>
    </row>
    <row r="50" spans="1:25" x14ac:dyDescent="0.25">
      <c r="A50" s="153" t="s">
        <v>3</v>
      </c>
      <c r="B50" s="153">
        <v>85.9</v>
      </c>
      <c r="C50" s="153">
        <v>42.2</v>
      </c>
      <c r="D50" s="153">
        <v>39.1</v>
      </c>
      <c r="E50" s="153">
        <v>43.8</v>
      </c>
      <c r="F50" s="153">
        <v>7.8</v>
      </c>
      <c r="G50" s="153">
        <v>23.4</v>
      </c>
      <c r="H50" s="153">
        <v>15.6</v>
      </c>
      <c r="I50" s="153">
        <v>40.6</v>
      </c>
      <c r="J50" s="153">
        <v>71.900000000000006</v>
      </c>
      <c r="K50" s="153">
        <v>29.7</v>
      </c>
      <c r="L50" s="153">
        <v>43.8</v>
      </c>
      <c r="M50" s="153">
        <v>37.5</v>
      </c>
      <c r="N50" s="153">
        <v>29.7</v>
      </c>
      <c r="O50" s="153">
        <v>15.6</v>
      </c>
      <c r="P50" s="153">
        <v>35.9</v>
      </c>
      <c r="Q50" s="153">
        <v>9.4</v>
      </c>
      <c r="R50" s="153">
        <v>7.8</v>
      </c>
      <c r="S50" s="153">
        <v>39.1</v>
      </c>
      <c r="T50" s="153">
        <v>23.4</v>
      </c>
      <c r="U50" s="153">
        <v>40.6</v>
      </c>
      <c r="V50" s="153">
        <v>14.1</v>
      </c>
      <c r="W50" s="153">
        <v>28.1</v>
      </c>
      <c r="X50" s="153">
        <v>23.4</v>
      </c>
      <c r="Y50" s="153">
        <v>64</v>
      </c>
    </row>
    <row r="51" spans="1:25" x14ac:dyDescent="0.25">
      <c r="A51" s="153" t="s">
        <v>4</v>
      </c>
      <c r="B51" s="153">
        <v>81.3</v>
      </c>
      <c r="C51" s="153">
        <v>56.3</v>
      </c>
      <c r="D51" s="153">
        <v>37.5</v>
      </c>
      <c r="E51" s="153">
        <v>43.8</v>
      </c>
      <c r="F51" s="153">
        <v>12.5</v>
      </c>
      <c r="G51" s="153">
        <v>12.5</v>
      </c>
      <c r="H51" s="153">
        <v>25</v>
      </c>
      <c r="I51" s="153">
        <v>25</v>
      </c>
      <c r="J51" s="153">
        <v>62.5</v>
      </c>
      <c r="K51" s="153">
        <v>18.8</v>
      </c>
      <c r="L51" s="153">
        <v>62.5</v>
      </c>
      <c r="M51" s="153">
        <v>37.5</v>
      </c>
      <c r="N51" s="153">
        <v>18.8</v>
      </c>
      <c r="O51" s="153">
        <v>37.5</v>
      </c>
      <c r="P51" s="153">
        <v>31.3</v>
      </c>
      <c r="Q51" s="153">
        <v>18.8</v>
      </c>
      <c r="R51" s="153">
        <v>0</v>
      </c>
      <c r="S51" s="153">
        <v>31.3</v>
      </c>
      <c r="T51" s="153">
        <v>25</v>
      </c>
      <c r="U51" s="153">
        <v>25</v>
      </c>
      <c r="V51" s="153">
        <v>18.8</v>
      </c>
      <c r="W51" s="153">
        <v>50</v>
      </c>
      <c r="X51" s="153">
        <v>50</v>
      </c>
      <c r="Y51" s="153">
        <v>16</v>
      </c>
    </row>
    <row r="52" spans="1:25" x14ac:dyDescent="0.25">
      <c r="A52" s="153" t="s">
        <v>47</v>
      </c>
      <c r="B52" s="153">
        <v>78.900000000000006</v>
      </c>
      <c r="C52" s="153">
        <v>84.2</v>
      </c>
      <c r="D52" s="153">
        <v>26.3</v>
      </c>
      <c r="E52" s="153">
        <v>52.6</v>
      </c>
      <c r="F52" s="153">
        <v>5.3</v>
      </c>
      <c r="G52" s="153">
        <v>26.3</v>
      </c>
      <c r="H52" s="153">
        <v>10.5</v>
      </c>
      <c r="I52" s="153">
        <v>21.1</v>
      </c>
      <c r="J52" s="153">
        <v>73.7</v>
      </c>
      <c r="K52" s="153">
        <v>21.1</v>
      </c>
      <c r="L52" s="153">
        <v>63.2</v>
      </c>
      <c r="M52" s="153">
        <v>47.4</v>
      </c>
      <c r="N52" s="153">
        <v>21.1</v>
      </c>
      <c r="O52" s="153">
        <v>47.4</v>
      </c>
      <c r="P52" s="153">
        <v>36.799999999999997</v>
      </c>
      <c r="Q52" s="153">
        <v>0</v>
      </c>
      <c r="R52" s="153">
        <v>15.8</v>
      </c>
      <c r="S52" s="153">
        <v>57.9</v>
      </c>
      <c r="T52" s="153">
        <v>42.1</v>
      </c>
      <c r="U52" s="153">
        <v>15.8</v>
      </c>
      <c r="V52" s="153">
        <v>10.5</v>
      </c>
      <c r="W52" s="153">
        <v>15.8</v>
      </c>
      <c r="X52" s="153">
        <v>36.799999999999997</v>
      </c>
      <c r="Y52" s="153">
        <v>19</v>
      </c>
    </row>
    <row r="53" spans="1:25" x14ac:dyDescent="0.25">
      <c r="A53" s="153" t="s">
        <v>5</v>
      </c>
      <c r="B53" s="153">
        <v>93.1</v>
      </c>
      <c r="C53" s="153">
        <v>34.5</v>
      </c>
      <c r="D53" s="153">
        <v>34.5</v>
      </c>
      <c r="E53" s="153">
        <v>62.1</v>
      </c>
      <c r="F53" s="153">
        <v>6.9</v>
      </c>
      <c r="G53" s="153">
        <v>34.5</v>
      </c>
      <c r="H53" s="153">
        <v>31</v>
      </c>
      <c r="I53" s="153">
        <v>17.2</v>
      </c>
      <c r="J53" s="153">
        <v>69</v>
      </c>
      <c r="K53" s="153">
        <v>20.7</v>
      </c>
      <c r="L53" s="153">
        <v>37.9</v>
      </c>
      <c r="M53" s="153">
        <v>44.8</v>
      </c>
      <c r="N53" s="153">
        <v>34.5</v>
      </c>
      <c r="O53" s="153">
        <v>37.9</v>
      </c>
      <c r="P53" s="153">
        <v>41.4</v>
      </c>
      <c r="Q53" s="153">
        <v>17.2</v>
      </c>
      <c r="R53" s="153">
        <v>6.9</v>
      </c>
      <c r="S53" s="153">
        <v>37.9</v>
      </c>
      <c r="T53" s="153">
        <v>37.9</v>
      </c>
      <c r="U53" s="153">
        <v>13.8</v>
      </c>
      <c r="V53" s="153">
        <v>10.3</v>
      </c>
      <c r="W53" s="153">
        <v>44.8</v>
      </c>
      <c r="X53" s="153">
        <v>24.1</v>
      </c>
      <c r="Y53" s="153">
        <v>29</v>
      </c>
    </row>
    <row r="54" spans="1:25" x14ac:dyDescent="0.25">
      <c r="A54" s="153" t="s">
        <v>49</v>
      </c>
      <c r="B54" s="153">
        <v>85.7</v>
      </c>
      <c r="C54" s="153">
        <v>14.3</v>
      </c>
      <c r="D54" s="153">
        <v>57.1</v>
      </c>
      <c r="E54" s="153">
        <v>64.3</v>
      </c>
      <c r="F54" s="153">
        <v>7.1</v>
      </c>
      <c r="G54" s="153">
        <v>35.700000000000003</v>
      </c>
      <c r="H54" s="153">
        <v>35.700000000000003</v>
      </c>
      <c r="I54" s="153">
        <v>64.3</v>
      </c>
      <c r="J54" s="153">
        <v>71.400000000000006</v>
      </c>
      <c r="K54" s="153">
        <v>35.700000000000003</v>
      </c>
      <c r="L54" s="153">
        <v>7.1</v>
      </c>
      <c r="M54" s="153">
        <v>14.3</v>
      </c>
      <c r="N54" s="153">
        <v>14.3</v>
      </c>
      <c r="O54" s="153">
        <v>28.6</v>
      </c>
      <c r="P54" s="153">
        <v>21.4</v>
      </c>
      <c r="Q54" s="153">
        <v>0</v>
      </c>
      <c r="R54" s="153">
        <v>14.3</v>
      </c>
      <c r="S54" s="153">
        <v>57.1</v>
      </c>
      <c r="T54" s="153">
        <v>21.4</v>
      </c>
      <c r="U54" s="153">
        <v>57.1</v>
      </c>
      <c r="V54" s="153">
        <v>7.1</v>
      </c>
      <c r="W54" s="153">
        <v>21.4</v>
      </c>
      <c r="X54" s="153">
        <v>14.3</v>
      </c>
      <c r="Y54" s="153">
        <v>14</v>
      </c>
    </row>
    <row r="55" spans="1:25" x14ac:dyDescent="0.25">
      <c r="A55" s="153" t="s">
        <v>50</v>
      </c>
      <c r="B55" s="153">
        <v>57.9</v>
      </c>
      <c r="C55" s="153">
        <v>78.900000000000006</v>
      </c>
      <c r="D55" s="153">
        <v>10.5</v>
      </c>
      <c r="E55" s="153">
        <v>42.1</v>
      </c>
      <c r="F55" s="153">
        <v>0</v>
      </c>
      <c r="G55" s="153">
        <v>42.1</v>
      </c>
      <c r="H55" s="153">
        <v>21.1</v>
      </c>
      <c r="I55" s="153">
        <v>47.4</v>
      </c>
      <c r="J55" s="153">
        <v>63.2</v>
      </c>
      <c r="K55" s="153">
        <v>15.8</v>
      </c>
      <c r="L55" s="153">
        <v>42.1</v>
      </c>
      <c r="M55" s="153">
        <v>15.8</v>
      </c>
      <c r="N55" s="153">
        <v>47.4</v>
      </c>
      <c r="O55" s="153">
        <v>21.1</v>
      </c>
      <c r="P55" s="153">
        <v>26.3</v>
      </c>
      <c r="Q55" s="153">
        <v>5.3</v>
      </c>
      <c r="R55" s="153">
        <v>10.5</v>
      </c>
      <c r="S55" s="153">
        <v>63.2</v>
      </c>
      <c r="T55" s="153">
        <v>31.6</v>
      </c>
      <c r="U55" s="153">
        <v>52.6</v>
      </c>
      <c r="V55" s="153">
        <v>15.8</v>
      </c>
      <c r="W55" s="153">
        <v>5.3</v>
      </c>
      <c r="X55" s="153">
        <v>5.3</v>
      </c>
      <c r="Y55" s="153">
        <v>19</v>
      </c>
    </row>
    <row r="56" spans="1:25" x14ac:dyDescent="0.25">
      <c r="A56" s="153" t="s">
        <v>22</v>
      </c>
      <c r="B56" s="153">
        <v>70.8</v>
      </c>
      <c r="C56" s="153">
        <v>33.299999999999997</v>
      </c>
      <c r="D56" s="153">
        <v>16.7</v>
      </c>
      <c r="E56" s="153">
        <v>66.7</v>
      </c>
      <c r="F56" s="153">
        <v>29.2</v>
      </c>
      <c r="G56" s="153">
        <v>25</v>
      </c>
      <c r="H56" s="153">
        <v>41.7</v>
      </c>
      <c r="I56" s="153">
        <v>37.5</v>
      </c>
      <c r="J56" s="153">
        <v>50</v>
      </c>
      <c r="K56" s="153">
        <v>16.7</v>
      </c>
      <c r="L56" s="153">
        <v>16.7</v>
      </c>
      <c r="M56" s="153">
        <v>29.2</v>
      </c>
      <c r="N56" s="153">
        <v>33.299999999999997</v>
      </c>
      <c r="O56" s="153">
        <v>33.299999999999997</v>
      </c>
      <c r="P56" s="153">
        <v>45.8</v>
      </c>
      <c r="Q56" s="153">
        <v>8.3000000000000007</v>
      </c>
      <c r="R56" s="153">
        <v>12.5</v>
      </c>
      <c r="S56" s="153">
        <v>54.2</v>
      </c>
      <c r="T56" s="153">
        <v>41.7</v>
      </c>
      <c r="U56" s="153">
        <v>25</v>
      </c>
      <c r="V56" s="153">
        <v>29.2</v>
      </c>
      <c r="W56" s="153">
        <v>33.299999999999997</v>
      </c>
      <c r="X56" s="153">
        <v>29.2</v>
      </c>
      <c r="Y56" s="153">
        <v>24</v>
      </c>
    </row>
    <row r="57" spans="1:25" x14ac:dyDescent="0.25">
      <c r="A57" s="153" t="s">
        <v>51</v>
      </c>
      <c r="B57" s="153">
        <v>91.7</v>
      </c>
      <c r="C57" s="153">
        <v>16.7</v>
      </c>
      <c r="D57" s="153">
        <v>50</v>
      </c>
      <c r="E57" s="153">
        <v>58.3</v>
      </c>
      <c r="F57" s="153">
        <v>8.3000000000000007</v>
      </c>
      <c r="G57" s="153">
        <v>16.7</v>
      </c>
      <c r="H57" s="153">
        <v>41.7</v>
      </c>
      <c r="I57" s="153">
        <v>50</v>
      </c>
      <c r="J57" s="153">
        <v>83.3</v>
      </c>
      <c r="K57" s="153">
        <v>25</v>
      </c>
      <c r="L57" s="153">
        <v>41.7</v>
      </c>
      <c r="M57" s="153">
        <v>16.7</v>
      </c>
      <c r="N57" s="153">
        <v>16.7</v>
      </c>
      <c r="O57" s="153">
        <v>50</v>
      </c>
      <c r="P57" s="153">
        <v>16.7</v>
      </c>
      <c r="Q57" s="153">
        <v>8.3000000000000007</v>
      </c>
      <c r="R57" s="153">
        <v>16.7</v>
      </c>
      <c r="S57" s="153">
        <v>16.7</v>
      </c>
      <c r="T57" s="153">
        <v>16.7</v>
      </c>
      <c r="U57" s="153">
        <v>50</v>
      </c>
      <c r="V57" s="153">
        <v>8.3000000000000007</v>
      </c>
      <c r="W57" s="153">
        <v>25</v>
      </c>
      <c r="X57" s="153">
        <v>41.7</v>
      </c>
      <c r="Y57" s="153">
        <v>12</v>
      </c>
    </row>
    <row r="58" spans="1:25" x14ac:dyDescent="0.25">
      <c r="A58" s="153" t="s">
        <v>71</v>
      </c>
      <c r="B58" s="153">
        <v>82.1</v>
      </c>
      <c r="C58" s="153">
        <v>42.9</v>
      </c>
      <c r="D58" s="153">
        <v>50</v>
      </c>
      <c r="E58" s="153">
        <v>50</v>
      </c>
      <c r="F58" s="153">
        <v>14.3</v>
      </c>
      <c r="G58" s="153">
        <v>28.6</v>
      </c>
      <c r="H58" s="153">
        <v>10.7</v>
      </c>
      <c r="I58" s="153">
        <v>35.700000000000003</v>
      </c>
      <c r="J58" s="153">
        <v>64.3</v>
      </c>
      <c r="K58" s="153">
        <v>28.6</v>
      </c>
      <c r="L58" s="153">
        <v>25</v>
      </c>
      <c r="M58" s="153">
        <v>32.1</v>
      </c>
      <c r="N58" s="153">
        <v>10.7</v>
      </c>
      <c r="O58" s="153">
        <v>67.900000000000006</v>
      </c>
      <c r="P58" s="153">
        <v>17.899999999999999</v>
      </c>
      <c r="Q58" s="153">
        <v>32.1</v>
      </c>
      <c r="R58" s="153">
        <v>7.1</v>
      </c>
      <c r="S58" s="153">
        <v>39.299999999999997</v>
      </c>
      <c r="T58" s="153">
        <v>17.899999999999999</v>
      </c>
      <c r="U58" s="153">
        <v>32.1</v>
      </c>
      <c r="V58" s="153">
        <v>7.1</v>
      </c>
      <c r="W58" s="153">
        <v>53.6</v>
      </c>
      <c r="X58" s="153">
        <v>35.700000000000003</v>
      </c>
      <c r="Y58" s="153">
        <v>28</v>
      </c>
    </row>
    <row r="59" spans="1:25" x14ac:dyDescent="0.25">
      <c r="A59" s="153" t="s">
        <v>6</v>
      </c>
      <c r="B59" s="153">
        <v>67.599999999999994</v>
      </c>
      <c r="C59" s="153">
        <v>27</v>
      </c>
      <c r="D59" s="153">
        <v>32.4</v>
      </c>
      <c r="E59" s="153">
        <v>62.2</v>
      </c>
      <c r="F59" s="153">
        <v>10.8</v>
      </c>
      <c r="G59" s="153">
        <v>40.5</v>
      </c>
      <c r="H59" s="153">
        <v>24.3</v>
      </c>
      <c r="I59" s="153">
        <v>45.9</v>
      </c>
      <c r="J59" s="153">
        <v>67.599999999999994</v>
      </c>
      <c r="K59" s="153">
        <v>27</v>
      </c>
      <c r="L59" s="153">
        <v>27</v>
      </c>
      <c r="M59" s="153">
        <v>37.799999999999997</v>
      </c>
      <c r="N59" s="153">
        <v>27</v>
      </c>
      <c r="O59" s="153">
        <v>51.4</v>
      </c>
      <c r="P59" s="153">
        <v>43.2</v>
      </c>
      <c r="Q59" s="153">
        <v>8.1</v>
      </c>
      <c r="R59" s="153">
        <v>13.5</v>
      </c>
      <c r="S59" s="153">
        <v>32.4</v>
      </c>
      <c r="T59" s="153">
        <v>29.7</v>
      </c>
      <c r="U59" s="153">
        <v>48.6</v>
      </c>
      <c r="V59" s="153">
        <v>10.8</v>
      </c>
      <c r="W59" s="153">
        <v>13.5</v>
      </c>
      <c r="X59" s="153">
        <v>35.1</v>
      </c>
      <c r="Y59" s="153">
        <v>37</v>
      </c>
    </row>
    <row r="60" spans="1:25" x14ac:dyDescent="0.25">
      <c r="A60" s="153" t="s">
        <v>72</v>
      </c>
      <c r="B60" s="153">
        <v>88.2</v>
      </c>
      <c r="C60" s="153">
        <v>55.9</v>
      </c>
      <c r="D60" s="153">
        <v>50</v>
      </c>
      <c r="E60" s="153">
        <v>58.8</v>
      </c>
      <c r="F60" s="153">
        <v>14.7</v>
      </c>
      <c r="G60" s="153">
        <v>32.4</v>
      </c>
      <c r="H60" s="153">
        <v>11.8</v>
      </c>
      <c r="I60" s="153">
        <v>38.200000000000003</v>
      </c>
      <c r="J60" s="153">
        <v>67.599999999999994</v>
      </c>
      <c r="K60" s="153">
        <v>52.9</v>
      </c>
      <c r="L60" s="153">
        <v>20.6</v>
      </c>
      <c r="M60" s="153">
        <v>38.200000000000003</v>
      </c>
      <c r="N60" s="153">
        <v>20.6</v>
      </c>
      <c r="O60" s="153">
        <v>47.1</v>
      </c>
      <c r="P60" s="153">
        <v>58.8</v>
      </c>
      <c r="Q60" s="153">
        <v>14.7</v>
      </c>
      <c r="R60" s="153">
        <v>8.8000000000000007</v>
      </c>
      <c r="S60" s="153">
        <v>41.2</v>
      </c>
      <c r="T60" s="153">
        <v>20.6</v>
      </c>
      <c r="U60" s="153">
        <v>32.4</v>
      </c>
      <c r="V60" s="153">
        <v>5.9</v>
      </c>
      <c r="W60" s="153">
        <v>41.2</v>
      </c>
      <c r="X60" s="153">
        <v>23.5</v>
      </c>
      <c r="Y60" s="153">
        <v>34</v>
      </c>
    </row>
    <row r="61" spans="1:25" x14ac:dyDescent="0.25">
      <c r="A61" s="153" t="s">
        <v>7</v>
      </c>
      <c r="B61" s="153">
        <v>87.5</v>
      </c>
      <c r="C61" s="153">
        <v>12.5</v>
      </c>
      <c r="D61" s="153">
        <v>54.2</v>
      </c>
      <c r="E61" s="153">
        <v>58.3</v>
      </c>
      <c r="F61" s="153">
        <v>12.5</v>
      </c>
      <c r="G61" s="153">
        <v>37.5</v>
      </c>
      <c r="H61" s="153">
        <v>16.7</v>
      </c>
      <c r="I61" s="153">
        <v>37.5</v>
      </c>
      <c r="J61" s="153">
        <v>75</v>
      </c>
      <c r="K61" s="153">
        <v>33.299999999999997</v>
      </c>
      <c r="L61" s="153">
        <v>20.8</v>
      </c>
      <c r="M61" s="153">
        <v>45.8</v>
      </c>
      <c r="N61" s="153">
        <v>20.8</v>
      </c>
      <c r="O61" s="153">
        <v>58.3</v>
      </c>
      <c r="P61" s="153">
        <v>33.299999999999997</v>
      </c>
      <c r="Q61" s="153">
        <v>8.3000000000000007</v>
      </c>
      <c r="R61" s="153">
        <v>12.5</v>
      </c>
      <c r="S61" s="153">
        <v>41.7</v>
      </c>
      <c r="T61" s="153">
        <v>16.7</v>
      </c>
      <c r="U61" s="153">
        <v>33.299999999999997</v>
      </c>
      <c r="V61" s="153">
        <v>12.5</v>
      </c>
      <c r="W61" s="153">
        <v>33.299999999999997</v>
      </c>
      <c r="X61" s="153">
        <v>20.8</v>
      </c>
      <c r="Y61" s="153">
        <v>24</v>
      </c>
    </row>
    <row r="62" spans="1:25" x14ac:dyDescent="0.25">
      <c r="A62" s="153" t="s">
        <v>8</v>
      </c>
      <c r="B62" s="153">
        <v>80</v>
      </c>
      <c r="C62" s="153">
        <v>40</v>
      </c>
      <c r="D62" s="153">
        <v>48</v>
      </c>
      <c r="E62" s="153">
        <v>28</v>
      </c>
      <c r="F62" s="153">
        <v>8</v>
      </c>
      <c r="G62" s="153">
        <v>32</v>
      </c>
      <c r="H62" s="153">
        <v>20</v>
      </c>
      <c r="I62" s="153">
        <v>28</v>
      </c>
      <c r="J62" s="153">
        <v>60</v>
      </c>
      <c r="K62" s="153">
        <v>28</v>
      </c>
      <c r="L62" s="153">
        <v>36</v>
      </c>
      <c r="M62" s="153">
        <v>40</v>
      </c>
      <c r="N62" s="153">
        <v>0</v>
      </c>
      <c r="O62" s="153">
        <v>32</v>
      </c>
      <c r="P62" s="153">
        <v>32</v>
      </c>
      <c r="Q62" s="153">
        <v>12</v>
      </c>
      <c r="R62" s="153">
        <v>12</v>
      </c>
      <c r="S62" s="153">
        <v>40</v>
      </c>
      <c r="T62" s="153">
        <v>12</v>
      </c>
      <c r="U62" s="153">
        <v>24</v>
      </c>
      <c r="V62" s="153">
        <v>8</v>
      </c>
      <c r="W62" s="153">
        <v>32</v>
      </c>
      <c r="X62" s="153">
        <v>24</v>
      </c>
      <c r="Y62" s="153">
        <v>25</v>
      </c>
    </row>
    <row r="63" spans="1:25" x14ac:dyDescent="0.25">
      <c r="A63" s="153" t="s">
        <v>9</v>
      </c>
      <c r="B63" s="153">
        <v>91.9</v>
      </c>
      <c r="C63" s="153">
        <v>27</v>
      </c>
      <c r="D63" s="153">
        <v>54.1</v>
      </c>
      <c r="E63" s="153">
        <v>51.4</v>
      </c>
      <c r="F63" s="153">
        <v>8.1</v>
      </c>
      <c r="G63" s="153">
        <v>27</v>
      </c>
      <c r="H63" s="153">
        <v>8.1</v>
      </c>
      <c r="I63" s="153">
        <v>21.6</v>
      </c>
      <c r="J63" s="153">
        <v>67.599999999999994</v>
      </c>
      <c r="K63" s="153">
        <v>32.4</v>
      </c>
      <c r="L63" s="153">
        <v>56.8</v>
      </c>
      <c r="M63" s="153">
        <v>27</v>
      </c>
      <c r="N63" s="153">
        <v>13.5</v>
      </c>
      <c r="O63" s="153">
        <v>21.6</v>
      </c>
      <c r="P63" s="153">
        <v>29.7</v>
      </c>
      <c r="Q63" s="153">
        <v>16.2</v>
      </c>
      <c r="R63" s="153">
        <v>5.4</v>
      </c>
      <c r="S63" s="153">
        <v>48.6</v>
      </c>
      <c r="T63" s="153">
        <v>21.6</v>
      </c>
      <c r="U63" s="153">
        <v>32.4</v>
      </c>
      <c r="V63" s="153">
        <v>21.6</v>
      </c>
      <c r="W63" s="153">
        <v>51.4</v>
      </c>
      <c r="X63" s="153">
        <v>32.4</v>
      </c>
      <c r="Y63" s="153">
        <v>37</v>
      </c>
    </row>
    <row r="64" spans="1:25" x14ac:dyDescent="0.25">
      <c r="A64" s="153" t="s">
        <v>55</v>
      </c>
      <c r="B64" s="153">
        <v>92.6</v>
      </c>
      <c r="C64" s="153">
        <v>48.1</v>
      </c>
      <c r="D64" s="153">
        <v>29.6</v>
      </c>
      <c r="E64" s="153">
        <v>40.700000000000003</v>
      </c>
      <c r="F64" s="153">
        <v>3.7</v>
      </c>
      <c r="G64" s="153">
        <v>29.6</v>
      </c>
      <c r="H64" s="153">
        <v>11.1</v>
      </c>
      <c r="I64" s="153">
        <v>59.3</v>
      </c>
      <c r="J64" s="153">
        <v>48.1</v>
      </c>
      <c r="K64" s="153">
        <v>18.5</v>
      </c>
      <c r="L64" s="153">
        <v>40.700000000000003</v>
      </c>
      <c r="M64" s="153">
        <v>18.5</v>
      </c>
      <c r="N64" s="153">
        <v>14.8</v>
      </c>
      <c r="O64" s="153">
        <v>14.8</v>
      </c>
      <c r="P64" s="153">
        <v>48.1</v>
      </c>
      <c r="Q64" s="153">
        <v>7.4</v>
      </c>
      <c r="R64" s="153">
        <v>7.4</v>
      </c>
      <c r="S64" s="153">
        <v>51.9</v>
      </c>
      <c r="T64" s="153">
        <v>40.700000000000003</v>
      </c>
      <c r="U64" s="153">
        <v>29.6</v>
      </c>
      <c r="V64" s="153">
        <v>3.7</v>
      </c>
      <c r="W64" s="153">
        <v>40.700000000000003</v>
      </c>
      <c r="X64" s="153">
        <v>37</v>
      </c>
      <c r="Y64" s="153">
        <v>27</v>
      </c>
    </row>
    <row r="65" spans="1:25" x14ac:dyDescent="0.25">
      <c r="A65" s="153" t="s">
        <v>73</v>
      </c>
      <c r="B65" s="153">
        <v>75</v>
      </c>
      <c r="C65" s="153">
        <v>28.1</v>
      </c>
      <c r="D65" s="153">
        <v>43.8</v>
      </c>
      <c r="E65" s="153">
        <v>56.3</v>
      </c>
      <c r="F65" s="153">
        <v>6.3</v>
      </c>
      <c r="G65" s="153">
        <v>31.3</v>
      </c>
      <c r="H65" s="153">
        <v>15.6</v>
      </c>
      <c r="I65" s="153">
        <v>31.3</v>
      </c>
      <c r="J65" s="153">
        <v>71.900000000000006</v>
      </c>
      <c r="K65" s="153">
        <v>28.1</v>
      </c>
      <c r="L65" s="153">
        <v>34.4</v>
      </c>
      <c r="M65" s="153">
        <v>37.5</v>
      </c>
      <c r="N65" s="153">
        <v>15.6</v>
      </c>
      <c r="O65" s="153">
        <v>56.3</v>
      </c>
      <c r="P65" s="153">
        <v>37.5</v>
      </c>
      <c r="Q65" s="153">
        <v>12.5</v>
      </c>
      <c r="R65" s="153">
        <v>15.6</v>
      </c>
      <c r="S65" s="153">
        <v>31.3</v>
      </c>
      <c r="T65" s="153">
        <v>21.9</v>
      </c>
      <c r="U65" s="153">
        <v>21.9</v>
      </c>
      <c r="V65" s="153">
        <v>15.6</v>
      </c>
      <c r="W65" s="153">
        <v>34.4</v>
      </c>
      <c r="X65" s="153">
        <v>40.6</v>
      </c>
      <c r="Y65" s="153">
        <v>32</v>
      </c>
    </row>
    <row r="66" spans="1:25" x14ac:dyDescent="0.25">
      <c r="A66" s="153" t="s">
        <v>10</v>
      </c>
      <c r="B66" s="153">
        <v>70.599999999999994</v>
      </c>
      <c r="C66" s="153">
        <v>35.299999999999997</v>
      </c>
      <c r="D66" s="153">
        <v>47.1</v>
      </c>
      <c r="E66" s="153">
        <v>23.5</v>
      </c>
      <c r="F66" s="153">
        <v>23.5</v>
      </c>
      <c r="G66" s="153">
        <v>35.299999999999997</v>
      </c>
      <c r="H66" s="153">
        <v>11.8</v>
      </c>
      <c r="I66" s="153">
        <v>29.4</v>
      </c>
      <c r="J66" s="153">
        <v>52.9</v>
      </c>
      <c r="K66" s="153">
        <v>17.600000000000001</v>
      </c>
      <c r="L66" s="153">
        <v>23.5</v>
      </c>
      <c r="M66" s="153">
        <v>23.5</v>
      </c>
      <c r="N66" s="153">
        <v>11.8</v>
      </c>
      <c r="O66" s="153">
        <v>23.5</v>
      </c>
      <c r="P66" s="153">
        <v>29.4</v>
      </c>
      <c r="Q66" s="153">
        <v>11.8</v>
      </c>
      <c r="R66" s="153">
        <v>11.8</v>
      </c>
      <c r="S66" s="153">
        <v>29.4</v>
      </c>
      <c r="T66" s="153">
        <v>23.5</v>
      </c>
      <c r="U66" s="153">
        <v>82.4</v>
      </c>
      <c r="V66" s="153">
        <v>5.9</v>
      </c>
      <c r="W66" s="153">
        <v>35.299999999999997</v>
      </c>
      <c r="X66" s="153">
        <v>41.2</v>
      </c>
      <c r="Y66" s="153">
        <v>17</v>
      </c>
    </row>
    <row r="67" spans="1:25" x14ac:dyDescent="0.25">
      <c r="A67" s="153" t="s">
        <v>57</v>
      </c>
      <c r="B67" s="153">
        <v>50</v>
      </c>
      <c r="C67" s="153">
        <v>28.6</v>
      </c>
      <c r="D67" s="153">
        <v>71.400000000000006</v>
      </c>
      <c r="E67" s="153">
        <v>28.6</v>
      </c>
      <c r="F67" s="153">
        <v>7.1</v>
      </c>
      <c r="G67" s="153">
        <v>21.4</v>
      </c>
      <c r="H67" s="153">
        <v>14.3</v>
      </c>
      <c r="I67" s="153">
        <v>42.9</v>
      </c>
      <c r="J67" s="153">
        <v>78.599999999999994</v>
      </c>
      <c r="K67" s="153">
        <v>35.700000000000003</v>
      </c>
      <c r="L67" s="153">
        <v>21.4</v>
      </c>
      <c r="M67" s="153">
        <v>85.7</v>
      </c>
      <c r="N67" s="153">
        <v>28.6</v>
      </c>
      <c r="O67" s="153">
        <v>50</v>
      </c>
      <c r="P67" s="153">
        <v>35.700000000000003</v>
      </c>
      <c r="Q67" s="153">
        <v>21.4</v>
      </c>
      <c r="R67" s="153">
        <v>7.1</v>
      </c>
      <c r="S67" s="153">
        <v>28.6</v>
      </c>
      <c r="T67" s="153">
        <v>35.700000000000003</v>
      </c>
      <c r="U67" s="153">
        <v>50</v>
      </c>
      <c r="V67" s="153">
        <v>7.1</v>
      </c>
      <c r="W67" s="153">
        <v>28.6</v>
      </c>
      <c r="X67" s="153">
        <v>14.3</v>
      </c>
      <c r="Y67" s="153">
        <v>14</v>
      </c>
    </row>
    <row r="68" spans="1:25" x14ac:dyDescent="0.25">
      <c r="A68" s="153" t="s">
        <v>11</v>
      </c>
      <c r="B68" s="153">
        <v>97.1</v>
      </c>
      <c r="C68" s="153">
        <v>55.9</v>
      </c>
      <c r="D68" s="153">
        <v>32.4</v>
      </c>
      <c r="E68" s="153">
        <v>52.9</v>
      </c>
      <c r="F68" s="153">
        <v>20.6</v>
      </c>
      <c r="G68" s="153">
        <v>35.299999999999997</v>
      </c>
      <c r="H68" s="153">
        <v>17.600000000000001</v>
      </c>
      <c r="I68" s="153">
        <v>23.5</v>
      </c>
      <c r="J68" s="153">
        <v>61.8</v>
      </c>
      <c r="K68" s="153">
        <v>38.200000000000003</v>
      </c>
      <c r="L68" s="153">
        <v>55.9</v>
      </c>
      <c r="M68" s="153">
        <v>58.8</v>
      </c>
      <c r="N68" s="153">
        <v>35.299999999999997</v>
      </c>
      <c r="O68" s="153">
        <v>52.9</v>
      </c>
      <c r="P68" s="153">
        <v>32.4</v>
      </c>
      <c r="Q68" s="153">
        <v>11.8</v>
      </c>
      <c r="R68" s="153">
        <v>17.600000000000001</v>
      </c>
      <c r="S68" s="153">
        <v>32.4</v>
      </c>
      <c r="T68" s="153">
        <v>14.7</v>
      </c>
      <c r="U68" s="153">
        <v>14.7</v>
      </c>
      <c r="V68" s="153">
        <v>8.8000000000000007</v>
      </c>
      <c r="W68" s="153">
        <v>32.4</v>
      </c>
      <c r="X68" s="153">
        <v>23.5</v>
      </c>
      <c r="Y68" s="153">
        <v>34</v>
      </c>
    </row>
    <row r="69" spans="1:25" x14ac:dyDescent="0.25">
      <c r="A69" s="153" t="s">
        <v>59</v>
      </c>
      <c r="B69" s="153">
        <v>70</v>
      </c>
      <c r="C69" s="153">
        <v>20</v>
      </c>
      <c r="D69" s="153">
        <v>30</v>
      </c>
      <c r="E69" s="153">
        <v>60</v>
      </c>
      <c r="F69" s="153">
        <v>0</v>
      </c>
      <c r="G69" s="153">
        <v>30</v>
      </c>
      <c r="H69" s="153">
        <v>20</v>
      </c>
      <c r="I69" s="153">
        <v>30</v>
      </c>
      <c r="J69" s="153">
        <v>100</v>
      </c>
      <c r="K69" s="153">
        <v>40</v>
      </c>
      <c r="L69" s="153">
        <v>10</v>
      </c>
      <c r="M69" s="153">
        <v>10</v>
      </c>
      <c r="N69" s="153">
        <v>20</v>
      </c>
      <c r="O69" s="153">
        <v>30</v>
      </c>
      <c r="P69" s="153">
        <v>50</v>
      </c>
      <c r="Q69" s="153">
        <v>10</v>
      </c>
      <c r="R69" s="153">
        <v>0</v>
      </c>
      <c r="S69" s="153">
        <v>40</v>
      </c>
      <c r="T69" s="153">
        <v>20</v>
      </c>
      <c r="U69" s="153">
        <v>40</v>
      </c>
      <c r="V69" s="153">
        <v>0</v>
      </c>
      <c r="W69" s="153">
        <v>30</v>
      </c>
      <c r="X69" s="153">
        <v>30</v>
      </c>
      <c r="Y69" s="153">
        <v>10</v>
      </c>
    </row>
    <row r="70" spans="1:25" x14ac:dyDescent="0.25">
      <c r="A70" s="153" t="s">
        <v>60</v>
      </c>
      <c r="B70" s="153">
        <v>81.8</v>
      </c>
      <c r="C70" s="153">
        <v>27.3</v>
      </c>
      <c r="D70" s="153">
        <v>45.5</v>
      </c>
      <c r="E70" s="153">
        <v>45.5</v>
      </c>
      <c r="F70" s="153">
        <v>0</v>
      </c>
      <c r="G70" s="153">
        <v>45.5</v>
      </c>
      <c r="H70" s="153">
        <v>27.3</v>
      </c>
      <c r="I70" s="153">
        <v>54.5</v>
      </c>
      <c r="J70" s="153">
        <v>72.7</v>
      </c>
      <c r="K70" s="153">
        <v>27.3</v>
      </c>
      <c r="L70" s="153">
        <v>63.6</v>
      </c>
      <c r="M70" s="153">
        <v>36.4</v>
      </c>
      <c r="N70" s="153">
        <v>27.3</v>
      </c>
      <c r="O70" s="153">
        <v>63.6</v>
      </c>
      <c r="P70" s="153">
        <v>18.2</v>
      </c>
      <c r="Q70" s="153">
        <v>18.2</v>
      </c>
      <c r="R70" s="153">
        <v>18.2</v>
      </c>
      <c r="S70" s="153">
        <v>36.4</v>
      </c>
      <c r="T70" s="153">
        <v>36.4</v>
      </c>
      <c r="U70" s="153">
        <v>72.7</v>
      </c>
      <c r="V70" s="153">
        <v>9.1</v>
      </c>
      <c r="W70" s="153">
        <v>27.3</v>
      </c>
      <c r="X70" s="153">
        <v>27.3</v>
      </c>
      <c r="Y70" s="153">
        <v>11</v>
      </c>
    </row>
    <row r="71" spans="1:25" x14ac:dyDescent="0.25">
      <c r="A71" s="153" t="s">
        <v>61</v>
      </c>
      <c r="B71" s="153">
        <v>94.4</v>
      </c>
      <c r="C71" s="153">
        <v>55.6</v>
      </c>
      <c r="D71" s="153">
        <v>38.9</v>
      </c>
      <c r="E71" s="153">
        <v>66.7</v>
      </c>
      <c r="F71" s="153">
        <v>11.1</v>
      </c>
      <c r="G71" s="153">
        <v>22.2</v>
      </c>
      <c r="H71" s="153">
        <v>11.1</v>
      </c>
      <c r="I71" s="153">
        <v>83.3</v>
      </c>
      <c r="J71" s="153">
        <v>55.6</v>
      </c>
      <c r="K71" s="153">
        <v>22.2</v>
      </c>
      <c r="L71" s="153">
        <v>50</v>
      </c>
      <c r="M71" s="153">
        <v>27.8</v>
      </c>
      <c r="N71" s="153">
        <v>22.2</v>
      </c>
      <c r="O71" s="153">
        <v>11.1</v>
      </c>
      <c r="P71" s="153">
        <v>33.299999999999997</v>
      </c>
      <c r="Q71" s="153">
        <v>5.6</v>
      </c>
      <c r="R71" s="153">
        <v>11.1</v>
      </c>
      <c r="S71" s="153">
        <v>33.299999999999997</v>
      </c>
      <c r="T71" s="153">
        <v>22.2</v>
      </c>
      <c r="U71" s="153">
        <v>66.7</v>
      </c>
      <c r="V71" s="153">
        <v>16.7</v>
      </c>
      <c r="W71" s="153">
        <v>16.7</v>
      </c>
      <c r="X71" s="153">
        <v>16.7</v>
      </c>
      <c r="Y71" s="153">
        <v>18</v>
      </c>
    </row>
    <row r="72" spans="1:25" x14ac:dyDescent="0.25">
      <c r="A72" s="153" t="s">
        <v>12</v>
      </c>
      <c r="B72" s="153">
        <v>70</v>
      </c>
      <c r="C72" s="153">
        <v>70</v>
      </c>
      <c r="D72" s="153">
        <v>40</v>
      </c>
      <c r="E72" s="153">
        <v>50</v>
      </c>
      <c r="F72" s="153">
        <v>10</v>
      </c>
      <c r="G72" s="153">
        <v>40</v>
      </c>
      <c r="H72" s="153">
        <v>0</v>
      </c>
      <c r="I72" s="153">
        <v>40</v>
      </c>
      <c r="J72" s="153">
        <v>90</v>
      </c>
      <c r="K72" s="153">
        <v>30</v>
      </c>
      <c r="L72" s="153">
        <v>0</v>
      </c>
      <c r="M72" s="153">
        <v>40</v>
      </c>
      <c r="N72" s="153">
        <v>10</v>
      </c>
      <c r="O72" s="153">
        <v>70</v>
      </c>
      <c r="P72" s="153">
        <v>30</v>
      </c>
      <c r="Q72" s="153">
        <v>0</v>
      </c>
      <c r="R72" s="153">
        <v>10</v>
      </c>
      <c r="S72" s="153">
        <v>0</v>
      </c>
      <c r="T72" s="153">
        <v>20</v>
      </c>
      <c r="U72" s="153">
        <v>30</v>
      </c>
      <c r="V72" s="153">
        <v>0</v>
      </c>
      <c r="W72" s="153">
        <v>20</v>
      </c>
      <c r="X72" s="153">
        <v>10</v>
      </c>
      <c r="Y72" s="153">
        <v>10</v>
      </c>
    </row>
    <row r="73" spans="1:25" x14ac:dyDescent="0.25">
      <c r="A73" s="153" t="s">
        <v>23</v>
      </c>
      <c r="B73" s="153">
        <v>87.1</v>
      </c>
      <c r="C73" s="153">
        <v>19.399999999999999</v>
      </c>
      <c r="D73" s="153">
        <v>19.399999999999999</v>
      </c>
      <c r="E73" s="153">
        <v>35.5</v>
      </c>
      <c r="F73" s="153">
        <v>3.2</v>
      </c>
      <c r="G73" s="153">
        <v>25.8</v>
      </c>
      <c r="H73" s="153">
        <v>32.299999999999997</v>
      </c>
      <c r="I73" s="153">
        <v>25.8</v>
      </c>
      <c r="J73" s="153">
        <v>61.3</v>
      </c>
      <c r="K73" s="153">
        <v>9.6999999999999993</v>
      </c>
      <c r="L73" s="153">
        <v>64.5</v>
      </c>
      <c r="M73" s="153">
        <v>9.6999999999999993</v>
      </c>
      <c r="N73" s="153">
        <v>3.2</v>
      </c>
      <c r="O73" s="153">
        <v>22.6</v>
      </c>
      <c r="P73" s="153">
        <v>22.6</v>
      </c>
      <c r="Q73" s="153">
        <v>22.6</v>
      </c>
      <c r="R73" s="153">
        <v>6.5</v>
      </c>
      <c r="S73" s="153">
        <v>29</v>
      </c>
      <c r="T73" s="153">
        <v>12.9</v>
      </c>
      <c r="U73" s="153">
        <v>45.2</v>
      </c>
      <c r="V73" s="153">
        <v>3.2</v>
      </c>
      <c r="W73" s="153">
        <v>45.2</v>
      </c>
      <c r="X73" s="153">
        <v>19.399999999999999</v>
      </c>
      <c r="Y73" s="153">
        <v>31</v>
      </c>
    </row>
    <row r="74" spans="1:25" x14ac:dyDescent="0.25">
      <c r="A74" s="153" t="s">
        <v>63</v>
      </c>
      <c r="B74" s="153">
        <v>100</v>
      </c>
      <c r="C74" s="153">
        <v>78.599999999999994</v>
      </c>
      <c r="D74" s="153">
        <v>35.700000000000003</v>
      </c>
      <c r="E74" s="153">
        <v>21.4</v>
      </c>
      <c r="F74" s="153">
        <v>14.3</v>
      </c>
      <c r="G74" s="153">
        <v>14.3</v>
      </c>
      <c r="H74" s="153">
        <v>7.1</v>
      </c>
      <c r="I74" s="153">
        <v>28.6</v>
      </c>
      <c r="J74" s="153">
        <v>64.3</v>
      </c>
      <c r="K74" s="153">
        <v>28.6</v>
      </c>
      <c r="L74" s="153">
        <v>50</v>
      </c>
      <c r="M74" s="153">
        <v>50</v>
      </c>
      <c r="N74" s="153">
        <v>14.3</v>
      </c>
      <c r="O74" s="153">
        <v>35.700000000000003</v>
      </c>
      <c r="P74" s="153">
        <v>50</v>
      </c>
      <c r="Q74" s="153">
        <v>14.3</v>
      </c>
      <c r="R74" s="153">
        <v>14.3</v>
      </c>
      <c r="S74" s="153">
        <v>42.9</v>
      </c>
      <c r="T74" s="153">
        <v>14.3</v>
      </c>
      <c r="U74" s="153">
        <v>28.6</v>
      </c>
      <c r="V74" s="153">
        <v>7.1</v>
      </c>
      <c r="W74" s="153">
        <v>21.4</v>
      </c>
      <c r="X74" s="153">
        <v>28.6</v>
      </c>
      <c r="Y74" s="153">
        <v>14</v>
      </c>
    </row>
    <row r="75" spans="1:25" x14ac:dyDescent="0.25">
      <c r="A75" s="153" t="s">
        <v>64</v>
      </c>
      <c r="B75" s="153">
        <v>85</v>
      </c>
      <c r="C75" s="153">
        <v>75</v>
      </c>
      <c r="D75" s="153">
        <v>20</v>
      </c>
      <c r="E75" s="153">
        <v>60</v>
      </c>
      <c r="F75" s="153">
        <v>5</v>
      </c>
      <c r="G75" s="153">
        <v>35</v>
      </c>
      <c r="H75" s="153">
        <v>25</v>
      </c>
      <c r="I75" s="153">
        <v>40</v>
      </c>
      <c r="J75" s="153">
        <v>60</v>
      </c>
      <c r="K75" s="153">
        <v>10</v>
      </c>
      <c r="L75" s="153">
        <v>30</v>
      </c>
      <c r="M75" s="153">
        <v>25</v>
      </c>
      <c r="N75" s="153">
        <v>25</v>
      </c>
      <c r="O75" s="153">
        <v>35</v>
      </c>
      <c r="P75" s="153">
        <v>25</v>
      </c>
      <c r="Q75" s="153">
        <v>5</v>
      </c>
      <c r="R75" s="153">
        <v>0</v>
      </c>
      <c r="S75" s="153">
        <v>30</v>
      </c>
      <c r="T75" s="153">
        <v>10</v>
      </c>
      <c r="U75" s="153">
        <v>60</v>
      </c>
      <c r="V75" s="153">
        <v>5</v>
      </c>
      <c r="W75" s="153">
        <v>20</v>
      </c>
      <c r="X75" s="153">
        <v>20</v>
      </c>
      <c r="Y75" s="153">
        <v>20</v>
      </c>
    </row>
    <row r="76" spans="1:25" x14ac:dyDescent="0.25">
      <c r="A76" s="153" t="s">
        <v>13</v>
      </c>
      <c r="B76" s="153">
        <v>73.3</v>
      </c>
      <c r="C76" s="153">
        <v>16.7</v>
      </c>
      <c r="D76" s="153">
        <v>36.700000000000003</v>
      </c>
      <c r="E76" s="153">
        <v>43.3</v>
      </c>
      <c r="F76" s="153">
        <v>6.7</v>
      </c>
      <c r="G76" s="153">
        <v>46.7</v>
      </c>
      <c r="H76" s="153">
        <v>10</v>
      </c>
      <c r="I76" s="153">
        <v>33.299999999999997</v>
      </c>
      <c r="J76" s="153">
        <v>66.7</v>
      </c>
      <c r="K76" s="153">
        <v>16.7</v>
      </c>
      <c r="L76" s="153">
        <v>53.3</v>
      </c>
      <c r="M76" s="153">
        <v>26.7</v>
      </c>
      <c r="N76" s="153">
        <v>20</v>
      </c>
      <c r="O76" s="153">
        <v>30</v>
      </c>
      <c r="P76" s="153">
        <v>23.3</v>
      </c>
      <c r="Q76" s="153">
        <v>13.3</v>
      </c>
      <c r="R76" s="153">
        <v>20</v>
      </c>
      <c r="S76" s="153">
        <v>43.3</v>
      </c>
      <c r="T76" s="153">
        <v>43.3</v>
      </c>
      <c r="U76" s="153">
        <v>26.7</v>
      </c>
      <c r="V76" s="153">
        <v>6.7</v>
      </c>
      <c r="W76" s="153">
        <v>36.700000000000003</v>
      </c>
      <c r="X76" s="153">
        <v>23.3</v>
      </c>
      <c r="Y76" s="153">
        <v>30</v>
      </c>
    </row>
    <row r="77" spans="1:25" x14ac:dyDescent="0.25">
      <c r="A77" s="153" t="s">
        <v>14</v>
      </c>
      <c r="B77" s="153">
        <v>93.1</v>
      </c>
      <c r="C77" s="153">
        <v>41.4</v>
      </c>
      <c r="D77" s="153">
        <v>58.6</v>
      </c>
      <c r="E77" s="153">
        <v>24.1</v>
      </c>
      <c r="F77" s="153">
        <v>20.7</v>
      </c>
      <c r="G77" s="153">
        <v>62.1</v>
      </c>
      <c r="H77" s="153">
        <v>20.7</v>
      </c>
      <c r="I77" s="153">
        <v>10.3</v>
      </c>
      <c r="J77" s="153">
        <v>44.8</v>
      </c>
      <c r="K77" s="153">
        <v>24.1</v>
      </c>
      <c r="L77" s="153">
        <v>48.3</v>
      </c>
      <c r="M77" s="153">
        <v>27.6</v>
      </c>
      <c r="N77" s="153">
        <v>41.4</v>
      </c>
      <c r="O77" s="153">
        <v>31</v>
      </c>
      <c r="P77" s="153">
        <v>34.5</v>
      </c>
      <c r="Q77" s="153">
        <v>3.4</v>
      </c>
      <c r="R77" s="153">
        <v>3.4</v>
      </c>
      <c r="S77" s="153">
        <v>31</v>
      </c>
      <c r="T77" s="153">
        <v>34.5</v>
      </c>
      <c r="U77" s="153">
        <v>20.7</v>
      </c>
      <c r="V77" s="153">
        <v>24.1</v>
      </c>
      <c r="W77" s="153">
        <v>41.4</v>
      </c>
      <c r="X77" s="153">
        <v>24.1</v>
      </c>
      <c r="Y77" s="153">
        <v>29</v>
      </c>
    </row>
    <row r="78" spans="1:25" x14ac:dyDescent="0.25">
      <c r="A78" s="153" t="s">
        <v>66</v>
      </c>
      <c r="B78" s="153">
        <v>64.3</v>
      </c>
      <c r="C78" s="153">
        <v>21.4</v>
      </c>
      <c r="D78" s="153">
        <v>21.4</v>
      </c>
      <c r="E78" s="153">
        <v>42.9</v>
      </c>
      <c r="F78" s="153">
        <v>14.3</v>
      </c>
      <c r="G78" s="153">
        <v>14.3</v>
      </c>
      <c r="H78" s="153">
        <v>21.4</v>
      </c>
      <c r="I78" s="153">
        <v>50</v>
      </c>
      <c r="J78" s="153">
        <v>71.400000000000006</v>
      </c>
      <c r="K78" s="153">
        <v>14.3</v>
      </c>
      <c r="L78" s="153">
        <v>28.6</v>
      </c>
      <c r="M78" s="153">
        <v>21.4</v>
      </c>
      <c r="N78" s="153">
        <v>14.3</v>
      </c>
      <c r="O78" s="153">
        <v>14.3</v>
      </c>
      <c r="P78" s="153">
        <v>42.9</v>
      </c>
      <c r="Q78" s="153">
        <v>28.6</v>
      </c>
      <c r="R78" s="153">
        <v>0</v>
      </c>
      <c r="S78" s="153">
        <v>57.1</v>
      </c>
      <c r="T78" s="153">
        <v>28.6</v>
      </c>
      <c r="U78" s="153">
        <v>28.6</v>
      </c>
      <c r="V78" s="153">
        <v>0</v>
      </c>
      <c r="W78" s="153">
        <v>50</v>
      </c>
      <c r="X78" s="153">
        <v>28.6</v>
      </c>
      <c r="Y78" s="153">
        <v>14</v>
      </c>
    </row>
    <row r="79" spans="1:25" x14ac:dyDescent="0.25">
      <c r="A79" s="153" t="s">
        <v>67</v>
      </c>
      <c r="B79" s="153">
        <v>94.1</v>
      </c>
      <c r="C79" s="153">
        <v>64.7</v>
      </c>
      <c r="D79" s="153">
        <v>17.600000000000001</v>
      </c>
      <c r="E79" s="153">
        <v>29.4</v>
      </c>
      <c r="F79" s="153">
        <v>0</v>
      </c>
      <c r="G79" s="153">
        <v>17.600000000000001</v>
      </c>
      <c r="H79" s="153">
        <v>23.5</v>
      </c>
      <c r="I79" s="153">
        <v>5.9</v>
      </c>
      <c r="J79" s="153">
        <v>47.1</v>
      </c>
      <c r="K79" s="153">
        <v>23.5</v>
      </c>
      <c r="L79" s="153">
        <v>88.2</v>
      </c>
      <c r="M79" s="153">
        <v>41.2</v>
      </c>
      <c r="N79" s="153">
        <v>0</v>
      </c>
      <c r="O79" s="153">
        <v>88.2</v>
      </c>
      <c r="P79" s="153">
        <v>35.299999999999997</v>
      </c>
      <c r="Q79" s="153">
        <v>0</v>
      </c>
      <c r="R79" s="153">
        <v>5.9</v>
      </c>
      <c r="S79" s="153">
        <v>17.600000000000001</v>
      </c>
      <c r="T79" s="153">
        <v>11.8</v>
      </c>
      <c r="U79" s="153">
        <v>11.8</v>
      </c>
      <c r="V79" s="153">
        <v>5.9</v>
      </c>
      <c r="W79" s="153">
        <v>17.600000000000001</v>
      </c>
      <c r="X79" s="153">
        <v>11.8</v>
      </c>
      <c r="Y79" s="153">
        <v>17</v>
      </c>
    </row>
    <row r="80" spans="1:25" x14ac:dyDescent="0.25">
      <c r="A80" s="153" t="s">
        <v>68</v>
      </c>
      <c r="B80" s="153">
        <v>74.2</v>
      </c>
      <c r="C80" s="153">
        <v>32.299999999999997</v>
      </c>
      <c r="D80" s="153">
        <v>32.299999999999997</v>
      </c>
      <c r="E80" s="153">
        <v>48.4</v>
      </c>
      <c r="F80" s="153">
        <v>12.9</v>
      </c>
      <c r="G80" s="153">
        <v>51.6</v>
      </c>
      <c r="H80" s="153">
        <v>29</v>
      </c>
      <c r="I80" s="153">
        <v>45.2</v>
      </c>
      <c r="J80" s="153">
        <v>58.1</v>
      </c>
      <c r="K80" s="153">
        <v>41.9</v>
      </c>
      <c r="L80" s="153">
        <v>41.9</v>
      </c>
      <c r="M80" s="153">
        <v>32.299999999999997</v>
      </c>
      <c r="N80" s="153">
        <v>12.9</v>
      </c>
      <c r="O80" s="153">
        <v>41.9</v>
      </c>
      <c r="P80" s="153">
        <v>38.700000000000003</v>
      </c>
      <c r="Q80" s="153">
        <v>16.100000000000001</v>
      </c>
      <c r="R80" s="153">
        <v>16.100000000000001</v>
      </c>
      <c r="S80" s="153">
        <v>51.6</v>
      </c>
      <c r="T80" s="153">
        <v>38.700000000000003</v>
      </c>
      <c r="U80" s="153">
        <v>54.8</v>
      </c>
      <c r="V80" s="153">
        <v>25.8</v>
      </c>
      <c r="W80" s="153">
        <v>45.2</v>
      </c>
      <c r="X80" s="153">
        <v>19.399999999999999</v>
      </c>
      <c r="Y80" s="153">
        <v>31</v>
      </c>
    </row>
    <row r="81" spans="1:25" x14ac:dyDescent="0.25">
      <c r="A81" s="153" t="s">
        <v>15</v>
      </c>
      <c r="B81" s="153">
        <v>84.2</v>
      </c>
      <c r="C81" s="153">
        <v>47.4</v>
      </c>
      <c r="D81" s="153">
        <v>36.799999999999997</v>
      </c>
      <c r="E81" s="153">
        <v>31.6</v>
      </c>
      <c r="F81" s="153">
        <v>10.5</v>
      </c>
      <c r="G81" s="153">
        <v>47.4</v>
      </c>
      <c r="H81" s="153">
        <v>31.6</v>
      </c>
      <c r="I81" s="153">
        <v>26.3</v>
      </c>
      <c r="J81" s="153">
        <v>84.2</v>
      </c>
      <c r="K81" s="153">
        <v>26.3</v>
      </c>
      <c r="L81" s="153">
        <v>73.7</v>
      </c>
      <c r="M81" s="153">
        <v>42.1</v>
      </c>
      <c r="N81" s="153">
        <v>15.8</v>
      </c>
      <c r="O81" s="153">
        <v>63.2</v>
      </c>
      <c r="P81" s="153">
        <v>21.1</v>
      </c>
      <c r="Q81" s="153">
        <v>10.5</v>
      </c>
      <c r="R81" s="153">
        <v>5.3</v>
      </c>
      <c r="S81" s="153">
        <v>31.6</v>
      </c>
      <c r="T81" s="153">
        <v>21.1</v>
      </c>
      <c r="U81" s="153">
        <v>15.8</v>
      </c>
      <c r="V81" s="153">
        <v>10.5</v>
      </c>
      <c r="W81" s="153">
        <v>31.6</v>
      </c>
      <c r="X81" s="153">
        <v>31.6</v>
      </c>
      <c r="Y81" s="153">
        <v>19</v>
      </c>
    </row>
    <row r="82" spans="1:25" x14ac:dyDescent="0.25">
      <c r="A82" s="153" t="s">
        <v>16</v>
      </c>
      <c r="B82" s="153">
        <v>79.099999999999994</v>
      </c>
      <c r="C82" s="153">
        <v>48.8</v>
      </c>
      <c r="D82" s="153">
        <v>32.6</v>
      </c>
      <c r="E82" s="153">
        <v>37.200000000000003</v>
      </c>
      <c r="F82" s="153">
        <v>23.3</v>
      </c>
      <c r="G82" s="153">
        <v>37.200000000000003</v>
      </c>
      <c r="H82" s="153">
        <v>32.6</v>
      </c>
      <c r="I82" s="153">
        <v>23.3</v>
      </c>
      <c r="J82" s="153">
        <v>51.2</v>
      </c>
      <c r="K82" s="153">
        <v>16.3</v>
      </c>
      <c r="L82" s="153">
        <v>39.5</v>
      </c>
      <c r="M82" s="153">
        <v>46.5</v>
      </c>
      <c r="N82" s="153">
        <v>18.600000000000001</v>
      </c>
      <c r="O82" s="153">
        <v>55.8</v>
      </c>
      <c r="P82" s="153">
        <v>53.5</v>
      </c>
      <c r="Q82" s="153">
        <v>14</v>
      </c>
      <c r="R82" s="153">
        <v>11.6</v>
      </c>
      <c r="S82" s="153">
        <v>51.2</v>
      </c>
      <c r="T82" s="153">
        <v>25.6</v>
      </c>
      <c r="U82" s="153">
        <v>37.200000000000003</v>
      </c>
      <c r="V82" s="153">
        <v>32.6</v>
      </c>
      <c r="W82" s="153">
        <v>44.2</v>
      </c>
      <c r="X82" s="153">
        <v>34.9</v>
      </c>
      <c r="Y82" s="153">
        <v>43</v>
      </c>
    </row>
    <row r="83" spans="1:25" x14ac:dyDescent="0.25">
      <c r="A83" s="153" t="s">
        <v>70</v>
      </c>
      <c r="B83" s="153">
        <v>90.2</v>
      </c>
      <c r="C83" s="153">
        <v>75.400000000000006</v>
      </c>
      <c r="D83" s="153">
        <v>29.5</v>
      </c>
      <c r="E83" s="153">
        <v>23</v>
      </c>
      <c r="F83" s="153">
        <v>13.1</v>
      </c>
      <c r="G83" s="153">
        <v>37.700000000000003</v>
      </c>
      <c r="H83" s="153">
        <v>11.5</v>
      </c>
      <c r="I83" s="153">
        <v>9.8000000000000007</v>
      </c>
      <c r="J83" s="153">
        <v>49.2</v>
      </c>
      <c r="K83" s="153">
        <v>29.5</v>
      </c>
      <c r="L83" s="153">
        <v>67.2</v>
      </c>
      <c r="M83" s="153">
        <v>41</v>
      </c>
      <c r="N83" s="153">
        <v>23</v>
      </c>
      <c r="O83" s="153">
        <v>41</v>
      </c>
      <c r="P83" s="153">
        <v>55.7</v>
      </c>
      <c r="Q83" s="153">
        <v>6.6</v>
      </c>
      <c r="R83" s="153">
        <v>11.5</v>
      </c>
      <c r="S83" s="153">
        <v>31.1</v>
      </c>
      <c r="T83" s="153">
        <v>26.2</v>
      </c>
      <c r="U83" s="153">
        <v>18</v>
      </c>
      <c r="V83" s="153">
        <v>18</v>
      </c>
      <c r="W83" s="153">
        <v>21.3</v>
      </c>
      <c r="X83" s="153">
        <v>11.5</v>
      </c>
      <c r="Y83" s="153">
        <v>61</v>
      </c>
    </row>
    <row r="84" spans="1:25" x14ac:dyDescent="0.25">
      <c r="A84" s="153" t="s">
        <v>17</v>
      </c>
      <c r="B84" s="153">
        <v>42.9</v>
      </c>
      <c r="C84" s="153">
        <v>57.1</v>
      </c>
      <c r="D84" s="153">
        <v>57.1</v>
      </c>
      <c r="E84" s="153">
        <v>42.9</v>
      </c>
      <c r="F84" s="153">
        <v>0</v>
      </c>
      <c r="G84" s="153">
        <v>14.3</v>
      </c>
      <c r="H84" s="153">
        <v>0</v>
      </c>
      <c r="I84" s="153">
        <v>28.6</v>
      </c>
      <c r="J84" s="153">
        <v>28.6</v>
      </c>
      <c r="K84" s="153">
        <v>28.6</v>
      </c>
      <c r="L84" s="153">
        <v>0</v>
      </c>
      <c r="M84" s="153">
        <v>0</v>
      </c>
      <c r="N84" s="153">
        <v>28.6</v>
      </c>
      <c r="O84" s="153">
        <v>14.3</v>
      </c>
      <c r="P84" s="153">
        <v>14.3</v>
      </c>
      <c r="Q84" s="153">
        <v>42.9</v>
      </c>
      <c r="R84" s="153">
        <v>0</v>
      </c>
      <c r="S84" s="153">
        <v>71.400000000000006</v>
      </c>
      <c r="T84" s="153">
        <v>42.9</v>
      </c>
      <c r="U84" s="153">
        <v>28.6</v>
      </c>
      <c r="V84" s="153">
        <v>14.3</v>
      </c>
      <c r="W84" s="153">
        <v>28.6</v>
      </c>
      <c r="X84" s="153">
        <v>28.6</v>
      </c>
      <c r="Y84" s="153">
        <v>7</v>
      </c>
    </row>
    <row r="85" spans="1:25" x14ac:dyDescent="0.25">
      <c r="A85" s="153" t="s">
        <v>24</v>
      </c>
      <c r="B85" s="153">
        <v>61.9</v>
      </c>
      <c r="C85" s="153">
        <v>66.7</v>
      </c>
      <c r="D85" s="153">
        <v>57.1</v>
      </c>
      <c r="E85" s="153">
        <v>33.299999999999997</v>
      </c>
      <c r="F85" s="153">
        <v>0</v>
      </c>
      <c r="G85" s="153">
        <v>42.9</v>
      </c>
      <c r="H85" s="153">
        <v>38.1</v>
      </c>
      <c r="I85" s="153">
        <v>42.9</v>
      </c>
      <c r="J85" s="153">
        <v>57.1</v>
      </c>
      <c r="K85" s="153">
        <v>19</v>
      </c>
      <c r="L85" s="153">
        <v>9.5</v>
      </c>
      <c r="M85" s="153">
        <v>9.5</v>
      </c>
      <c r="N85" s="153">
        <v>19</v>
      </c>
      <c r="O85" s="153">
        <v>33.299999999999997</v>
      </c>
      <c r="P85" s="153">
        <v>28.6</v>
      </c>
      <c r="Q85" s="153">
        <v>9.5</v>
      </c>
      <c r="R85" s="153">
        <v>0</v>
      </c>
      <c r="S85" s="153">
        <v>14.3</v>
      </c>
      <c r="T85" s="153">
        <v>14.3</v>
      </c>
      <c r="U85" s="153">
        <v>38.1</v>
      </c>
      <c r="V85" s="153">
        <v>0</v>
      </c>
      <c r="W85" s="153">
        <v>33.299999999999997</v>
      </c>
      <c r="X85" s="153">
        <v>28.6</v>
      </c>
      <c r="Y85" s="153">
        <v>21</v>
      </c>
    </row>
    <row r="88" spans="1:25" x14ac:dyDescent="0.25">
      <c r="B88" s="129">
        <f>MAX(E8:E30)</f>
        <v>90</v>
      </c>
      <c r="C88" s="153">
        <f>LARGE(E8:$E$30,2)</f>
        <v>82.2</v>
      </c>
      <c r="D88" s="159">
        <f>LARGE(E9:$E$30,3)</f>
        <v>81</v>
      </c>
      <c r="E88" s="159">
        <f>LARGE(E10:$E$30,4)</f>
        <v>77</v>
      </c>
      <c r="F88" s="159">
        <f>LARGE(E11:$E$30,5)</f>
        <v>73.099999999999994</v>
      </c>
      <c r="G88" s="159">
        <f>LARGE(E12:$E$30,6)</f>
        <v>71.099999999999994</v>
      </c>
      <c r="H88" s="129">
        <f>LARGE(E13:$E$30,7)</f>
        <v>62</v>
      </c>
    </row>
    <row r="95" spans="1:25" x14ac:dyDescent="0.25">
      <c r="B95" s="159"/>
    </row>
    <row r="96" spans="1:25" x14ac:dyDescent="0.25">
      <c r="B96" s="159"/>
    </row>
  </sheetData>
  <mergeCells count="7">
    <mergeCell ref="A32:D32"/>
    <mergeCell ref="I7:S7"/>
    <mergeCell ref="A1:R1"/>
    <mergeCell ref="A2:R2"/>
    <mergeCell ref="A3:R3"/>
    <mergeCell ref="A4:R4"/>
    <mergeCell ref="A5:K5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H25" sqref="H25"/>
    </sheetView>
  </sheetViews>
  <sheetFormatPr defaultColWidth="8.78515625" defaultRowHeight="13.5" x14ac:dyDescent="0.25"/>
  <cols>
    <col min="1" max="1" width="9.640625" style="120" customWidth="1"/>
    <col min="2" max="16384" width="8.78515625" style="120"/>
  </cols>
  <sheetData>
    <row r="1" spans="1:23" x14ac:dyDescent="0.25">
      <c r="A1" s="119" t="s">
        <v>295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3" x14ac:dyDescent="0.25">
      <c r="A2" s="124" t="s">
        <v>296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3" x14ac:dyDescent="0.25">
      <c r="A3" s="124" t="s">
        <v>297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3"/>
      <c r="T3" s="123"/>
    </row>
    <row r="4" spans="1:23" x14ac:dyDescent="0.25">
      <c r="A4" s="124" t="s">
        <v>298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23" x14ac:dyDescent="0.25">
      <c r="M5" s="121"/>
      <c r="N5" s="121"/>
    </row>
    <row r="6" spans="1:23" x14ac:dyDescent="0.25">
      <c r="A6" s="119"/>
      <c r="B6" s="119"/>
      <c r="C6" s="119"/>
      <c r="D6" s="119"/>
      <c r="E6" s="119"/>
      <c r="G6" s="121" t="s">
        <v>249</v>
      </c>
      <c r="H6" s="121" t="s">
        <v>145</v>
      </c>
      <c r="W6" s="121"/>
    </row>
    <row r="7" spans="1:23" x14ac:dyDescent="0.25">
      <c r="A7" s="124" t="s">
        <v>305</v>
      </c>
      <c r="B7" s="124"/>
      <c r="C7" s="124"/>
      <c r="D7" s="124"/>
      <c r="E7" s="124"/>
      <c r="F7" s="124"/>
      <c r="G7" s="120">
        <v>63.6</v>
      </c>
      <c r="H7" s="120">
        <v>973</v>
      </c>
    </row>
    <row r="8" spans="1:23" x14ac:dyDescent="0.25">
      <c r="A8" s="124" t="s">
        <v>306</v>
      </c>
      <c r="B8" s="124"/>
      <c r="C8" s="124"/>
      <c r="D8" s="124"/>
      <c r="E8" s="124"/>
      <c r="F8" s="124"/>
      <c r="G8" s="120">
        <v>94.1</v>
      </c>
      <c r="H8" s="120">
        <v>973</v>
      </c>
    </row>
    <row r="9" spans="1:23" x14ac:dyDescent="0.25">
      <c r="A9" s="124" t="s">
        <v>307</v>
      </c>
      <c r="B9" s="124"/>
      <c r="C9" s="124"/>
      <c r="D9" s="124"/>
      <c r="E9" s="124"/>
      <c r="F9" s="124"/>
      <c r="G9" s="129">
        <v>55</v>
      </c>
      <c r="H9" s="120">
        <v>968</v>
      </c>
    </row>
    <row r="10" spans="1:23" x14ac:dyDescent="0.25">
      <c r="A10" s="125" t="s">
        <v>308</v>
      </c>
      <c r="B10" s="125"/>
      <c r="C10" s="125"/>
      <c r="D10" s="125"/>
      <c r="E10" s="125"/>
      <c r="F10" s="125"/>
      <c r="G10" s="120">
        <v>83.2</v>
      </c>
      <c r="H10" s="120">
        <v>969</v>
      </c>
    </row>
    <row r="11" spans="1:23" x14ac:dyDescent="0.25">
      <c r="A11" s="125" t="s">
        <v>309</v>
      </c>
      <c r="B11" s="125"/>
      <c r="C11" s="125"/>
      <c r="D11" s="125"/>
      <c r="E11" s="125"/>
      <c r="F11" s="125"/>
      <c r="G11" s="120">
        <v>64.2</v>
      </c>
      <c r="H11" s="120">
        <v>966</v>
      </c>
    </row>
    <row r="12" spans="1:23" x14ac:dyDescent="0.25">
      <c r="A12" s="125" t="s">
        <v>310</v>
      </c>
      <c r="B12" s="125"/>
      <c r="C12" s="125"/>
      <c r="D12" s="125"/>
      <c r="E12" s="125"/>
      <c r="F12" s="125"/>
      <c r="G12" s="129">
        <v>35</v>
      </c>
      <c r="H12" s="120">
        <v>974</v>
      </c>
    </row>
    <row r="13" spans="1:23" x14ac:dyDescent="0.25">
      <c r="A13" s="125"/>
      <c r="B13" s="125"/>
      <c r="C13" s="125"/>
      <c r="D13" s="125"/>
      <c r="E13" s="125"/>
      <c r="F13" s="125"/>
    </row>
    <row r="15" spans="1:23" x14ac:dyDescent="0.25">
      <c r="A15" s="120" t="s">
        <v>344</v>
      </c>
      <c r="B15" s="121" t="s">
        <v>299</v>
      </c>
      <c r="C15" s="121" t="s">
        <v>300</v>
      </c>
      <c r="D15" s="121" t="s">
        <v>301</v>
      </c>
      <c r="E15" s="121" t="s">
        <v>302</v>
      </c>
      <c r="F15" s="121" t="s">
        <v>303</v>
      </c>
      <c r="G15" s="121" t="s">
        <v>304</v>
      </c>
      <c r="H15" s="121" t="s">
        <v>145</v>
      </c>
      <c r="I15" s="121"/>
      <c r="J15" s="121"/>
    </row>
    <row r="16" spans="1:23" x14ac:dyDescent="0.25">
      <c r="A16" s="153" t="s">
        <v>115</v>
      </c>
      <c r="B16" s="120">
        <v>72.2</v>
      </c>
      <c r="C16" s="120">
        <v>93</v>
      </c>
      <c r="D16" s="120">
        <v>49.6</v>
      </c>
      <c r="E16" s="120">
        <v>81.599999999999994</v>
      </c>
      <c r="F16" s="120">
        <v>49.6</v>
      </c>
      <c r="G16" s="120">
        <v>40</v>
      </c>
      <c r="H16" s="120">
        <v>115</v>
      </c>
    </row>
    <row r="17" spans="1:8" x14ac:dyDescent="0.25">
      <c r="A17" s="153" t="s">
        <v>116</v>
      </c>
      <c r="B17" s="120">
        <v>59.3</v>
      </c>
      <c r="C17" s="120">
        <v>94.4</v>
      </c>
      <c r="D17" s="120">
        <v>50</v>
      </c>
      <c r="E17" s="120">
        <v>82.4</v>
      </c>
      <c r="F17" s="120">
        <v>60.7</v>
      </c>
      <c r="G17" s="120">
        <v>37.6</v>
      </c>
      <c r="H17" s="120">
        <v>109</v>
      </c>
    </row>
    <row r="18" spans="1:8" x14ac:dyDescent="0.25">
      <c r="A18" s="153" t="s">
        <v>117</v>
      </c>
      <c r="B18" s="120">
        <v>69</v>
      </c>
      <c r="C18" s="120">
        <v>95.9</v>
      </c>
      <c r="D18" s="120">
        <v>59.6</v>
      </c>
      <c r="E18" s="120">
        <v>78.8</v>
      </c>
      <c r="F18" s="120">
        <v>59.1</v>
      </c>
      <c r="G18" s="120">
        <v>40.9</v>
      </c>
      <c r="H18" s="120">
        <v>171</v>
      </c>
    </row>
    <row r="19" spans="1:8" x14ac:dyDescent="0.25">
      <c r="A19" s="153" t="s">
        <v>118</v>
      </c>
      <c r="B19" s="120">
        <v>59.8</v>
      </c>
      <c r="C19" s="120">
        <v>95.6</v>
      </c>
      <c r="D19" s="120">
        <v>58.7</v>
      </c>
      <c r="E19" s="120">
        <v>84.7</v>
      </c>
      <c r="F19" s="120">
        <v>61.5</v>
      </c>
      <c r="G19" s="120">
        <v>25.5</v>
      </c>
      <c r="H19" s="120">
        <v>205</v>
      </c>
    </row>
    <row r="20" spans="1:8" x14ac:dyDescent="0.25">
      <c r="A20" s="153" t="s">
        <v>119</v>
      </c>
      <c r="B20" s="120">
        <v>62.6</v>
      </c>
      <c r="C20" s="120">
        <v>95</v>
      </c>
      <c r="D20" s="120">
        <v>42.5</v>
      </c>
      <c r="E20" s="120">
        <v>78.8</v>
      </c>
      <c r="F20" s="120">
        <v>66.099999999999994</v>
      </c>
      <c r="G20" s="120">
        <v>29.6</v>
      </c>
      <c r="H20" s="120">
        <v>183</v>
      </c>
    </row>
    <row r="21" spans="1:8" x14ac:dyDescent="0.25">
      <c r="A21" s="153" t="s">
        <v>120</v>
      </c>
      <c r="B21" s="120">
        <v>61.2</v>
      </c>
      <c r="C21" s="120">
        <v>90.8</v>
      </c>
      <c r="D21" s="120">
        <v>64.3</v>
      </c>
      <c r="E21" s="120">
        <v>91.3</v>
      </c>
      <c r="F21" s="120">
        <v>80.099999999999994</v>
      </c>
      <c r="G21" s="120">
        <v>40.299999999999997</v>
      </c>
      <c r="H21" s="120">
        <v>198</v>
      </c>
    </row>
    <row r="23" spans="1:8" x14ac:dyDescent="0.25">
      <c r="A23" s="121" t="s">
        <v>344</v>
      </c>
      <c r="B23" s="121" t="s">
        <v>299</v>
      </c>
      <c r="C23" s="121" t="s">
        <v>300</v>
      </c>
      <c r="D23" s="121" t="s">
        <v>301</v>
      </c>
      <c r="E23" s="121" t="s">
        <v>302</v>
      </c>
      <c r="F23" s="121" t="s">
        <v>303</v>
      </c>
      <c r="G23" s="121" t="s">
        <v>304</v>
      </c>
      <c r="H23" s="121" t="s">
        <v>145</v>
      </c>
    </row>
    <row r="24" spans="1:8" x14ac:dyDescent="0.25">
      <c r="A24" s="120" t="s">
        <v>43</v>
      </c>
      <c r="B24" s="120">
        <v>73.3</v>
      </c>
      <c r="C24" s="120">
        <v>100</v>
      </c>
      <c r="D24" s="120">
        <v>46.7</v>
      </c>
      <c r="E24" s="120">
        <v>40</v>
      </c>
      <c r="F24" s="120">
        <v>13.3</v>
      </c>
      <c r="G24" s="120">
        <v>20</v>
      </c>
      <c r="H24" s="120">
        <v>15</v>
      </c>
    </row>
    <row r="25" spans="1:8" x14ac:dyDescent="0.25">
      <c r="A25" s="120" t="s">
        <v>44</v>
      </c>
      <c r="B25" s="120">
        <v>60.5</v>
      </c>
      <c r="C25" s="120">
        <v>86.8</v>
      </c>
      <c r="D25" s="120">
        <v>55.3</v>
      </c>
      <c r="E25" s="120">
        <v>100</v>
      </c>
      <c r="F25" s="120">
        <v>86.8</v>
      </c>
      <c r="G25" s="120">
        <v>28.9</v>
      </c>
      <c r="H25" s="120">
        <v>37</v>
      </c>
    </row>
    <row r="26" spans="1:8" x14ac:dyDescent="0.25">
      <c r="A26" s="120" t="s">
        <v>45</v>
      </c>
      <c r="B26" s="120">
        <v>65.2</v>
      </c>
      <c r="C26" s="120">
        <v>87</v>
      </c>
      <c r="D26" s="120">
        <v>52.2</v>
      </c>
      <c r="E26" s="120">
        <v>91.3</v>
      </c>
      <c r="F26" s="120">
        <v>78.3</v>
      </c>
      <c r="G26" s="120">
        <v>33.299999999999997</v>
      </c>
      <c r="H26" s="120">
        <v>24</v>
      </c>
    </row>
    <row r="27" spans="1:8" x14ac:dyDescent="0.25">
      <c r="A27" s="120" t="s">
        <v>2</v>
      </c>
      <c r="B27" s="120">
        <v>58.3</v>
      </c>
      <c r="C27" s="120">
        <v>83.3</v>
      </c>
      <c r="D27" s="120">
        <v>33.299999999999997</v>
      </c>
      <c r="E27" s="120">
        <v>100</v>
      </c>
      <c r="F27" s="120">
        <v>58.3</v>
      </c>
      <c r="G27" s="120">
        <v>41.7</v>
      </c>
      <c r="H27" s="120">
        <v>12</v>
      </c>
    </row>
    <row r="28" spans="1:8" x14ac:dyDescent="0.25">
      <c r="A28" s="120" t="s">
        <v>3</v>
      </c>
      <c r="B28" s="120">
        <v>70.3</v>
      </c>
      <c r="C28" s="120">
        <v>93.8</v>
      </c>
      <c r="D28" s="120">
        <v>63.5</v>
      </c>
      <c r="E28" s="120">
        <v>80.599999999999994</v>
      </c>
      <c r="F28" s="120">
        <v>63.9</v>
      </c>
      <c r="G28" s="120">
        <v>23.4</v>
      </c>
      <c r="H28" s="120">
        <v>64</v>
      </c>
    </row>
    <row r="29" spans="1:8" x14ac:dyDescent="0.25">
      <c r="A29" s="120" t="s">
        <v>4</v>
      </c>
      <c r="B29" s="120">
        <v>53.3</v>
      </c>
      <c r="C29" s="120">
        <v>93.3</v>
      </c>
      <c r="D29" s="120">
        <v>46.7</v>
      </c>
      <c r="E29" s="120">
        <v>80</v>
      </c>
      <c r="F29" s="120">
        <v>66.7</v>
      </c>
      <c r="G29" s="120">
        <v>20</v>
      </c>
      <c r="H29" s="120">
        <v>16</v>
      </c>
    </row>
    <row r="30" spans="1:8" x14ac:dyDescent="0.25">
      <c r="A30" s="120" t="s">
        <v>47</v>
      </c>
      <c r="B30" s="120">
        <v>42.1</v>
      </c>
      <c r="C30" s="120">
        <v>100</v>
      </c>
      <c r="D30" s="120">
        <v>57.9</v>
      </c>
      <c r="E30" s="120">
        <v>84.2</v>
      </c>
      <c r="F30" s="120">
        <v>72.2</v>
      </c>
      <c r="G30" s="120">
        <v>42.1</v>
      </c>
      <c r="H30" s="120">
        <v>19</v>
      </c>
    </row>
    <row r="31" spans="1:8" x14ac:dyDescent="0.25">
      <c r="A31" s="120" t="s">
        <v>5</v>
      </c>
      <c r="B31" s="120">
        <v>55.2</v>
      </c>
      <c r="C31" s="120">
        <v>86.2</v>
      </c>
      <c r="D31" s="120">
        <v>86.2</v>
      </c>
      <c r="E31" s="120">
        <v>86.2</v>
      </c>
      <c r="F31" s="120">
        <v>86.2</v>
      </c>
      <c r="G31" s="120">
        <v>34.5</v>
      </c>
      <c r="H31" s="120">
        <v>29</v>
      </c>
    </row>
    <row r="32" spans="1:8" x14ac:dyDescent="0.25">
      <c r="A32" s="120" t="s">
        <v>49</v>
      </c>
      <c r="B32" s="120">
        <v>78.599999999999994</v>
      </c>
      <c r="C32" s="120">
        <v>100</v>
      </c>
      <c r="D32" s="120">
        <v>64.3</v>
      </c>
      <c r="E32" s="120">
        <v>64.3</v>
      </c>
      <c r="F32" s="120">
        <v>42.9</v>
      </c>
      <c r="G32" s="120">
        <v>71.400000000000006</v>
      </c>
      <c r="H32" s="120">
        <v>14</v>
      </c>
    </row>
    <row r="33" spans="1:8" x14ac:dyDescent="0.25">
      <c r="A33" s="120" t="s">
        <v>50</v>
      </c>
      <c r="B33" s="120">
        <v>78.900000000000006</v>
      </c>
      <c r="C33" s="120">
        <v>94.7</v>
      </c>
      <c r="D33" s="120">
        <v>78.900000000000006</v>
      </c>
      <c r="E33" s="120">
        <v>94.7</v>
      </c>
      <c r="F33" s="120">
        <v>57.9</v>
      </c>
      <c r="G33" s="120">
        <v>47.4</v>
      </c>
      <c r="H33" s="120">
        <v>19</v>
      </c>
    </row>
    <row r="34" spans="1:8" x14ac:dyDescent="0.25">
      <c r="A34" s="120" t="s">
        <v>22</v>
      </c>
      <c r="B34" s="120">
        <v>70.8</v>
      </c>
      <c r="C34" s="120">
        <v>87.5</v>
      </c>
      <c r="D34" s="120">
        <v>41.7</v>
      </c>
      <c r="E34" s="120">
        <v>70.8</v>
      </c>
      <c r="F34" s="120">
        <v>58.3</v>
      </c>
      <c r="G34" s="120">
        <v>25</v>
      </c>
      <c r="H34" s="120">
        <v>24</v>
      </c>
    </row>
    <row r="35" spans="1:8" x14ac:dyDescent="0.25">
      <c r="A35" s="120" t="s">
        <v>51</v>
      </c>
      <c r="B35" s="120">
        <v>58.3</v>
      </c>
      <c r="C35" s="120">
        <v>83.3</v>
      </c>
      <c r="D35" s="120">
        <v>66.7</v>
      </c>
      <c r="E35" s="120">
        <v>91.7</v>
      </c>
      <c r="F35" s="120">
        <v>66.7</v>
      </c>
      <c r="G35" s="120">
        <v>50</v>
      </c>
      <c r="H35" s="120">
        <v>12</v>
      </c>
    </row>
    <row r="36" spans="1:8" x14ac:dyDescent="0.25">
      <c r="A36" s="120" t="s">
        <v>71</v>
      </c>
      <c r="B36" s="120">
        <v>42.9</v>
      </c>
      <c r="C36" s="120">
        <v>96.4</v>
      </c>
      <c r="D36" s="120">
        <v>42.9</v>
      </c>
      <c r="E36" s="120">
        <v>89.3</v>
      </c>
      <c r="F36" s="120">
        <v>53.6</v>
      </c>
      <c r="G36" s="120">
        <v>17.899999999999999</v>
      </c>
      <c r="H36" s="120">
        <v>28</v>
      </c>
    </row>
    <row r="37" spans="1:8" x14ac:dyDescent="0.25">
      <c r="A37" s="120" t="s">
        <v>6</v>
      </c>
      <c r="B37" s="120">
        <v>75</v>
      </c>
      <c r="C37" s="120">
        <v>94.4</v>
      </c>
      <c r="D37" s="120">
        <v>38.9</v>
      </c>
      <c r="E37" s="120">
        <v>75</v>
      </c>
      <c r="F37" s="120">
        <v>57.1</v>
      </c>
      <c r="G37" s="120">
        <v>25</v>
      </c>
      <c r="H37" s="120">
        <v>37</v>
      </c>
    </row>
    <row r="38" spans="1:8" x14ac:dyDescent="0.25">
      <c r="A38" s="120" t="s">
        <v>72</v>
      </c>
      <c r="B38" s="120">
        <v>67.599999999999994</v>
      </c>
      <c r="C38" s="120">
        <v>94.1</v>
      </c>
      <c r="D38" s="120">
        <v>44.1</v>
      </c>
      <c r="E38" s="120">
        <v>76.5</v>
      </c>
      <c r="F38" s="120">
        <v>61.8</v>
      </c>
      <c r="G38" s="120">
        <v>29.4</v>
      </c>
      <c r="H38" s="120">
        <v>34</v>
      </c>
    </row>
    <row r="39" spans="1:8" x14ac:dyDescent="0.25">
      <c r="A39" s="120" t="s">
        <v>7</v>
      </c>
      <c r="B39" s="120">
        <v>75</v>
      </c>
      <c r="C39" s="120">
        <v>91.7</v>
      </c>
      <c r="D39" s="120">
        <v>75</v>
      </c>
      <c r="E39" s="120">
        <v>79.2</v>
      </c>
      <c r="F39" s="120">
        <v>62.5</v>
      </c>
      <c r="G39" s="120">
        <v>37.5</v>
      </c>
      <c r="H39" s="120">
        <v>24</v>
      </c>
    </row>
    <row r="40" spans="1:8" x14ac:dyDescent="0.25">
      <c r="A40" s="120" t="s">
        <v>8</v>
      </c>
      <c r="B40" s="120">
        <v>64</v>
      </c>
      <c r="C40" s="120">
        <v>96</v>
      </c>
      <c r="D40" s="120">
        <v>52</v>
      </c>
      <c r="E40" s="120">
        <v>80</v>
      </c>
      <c r="F40" s="120">
        <v>80</v>
      </c>
      <c r="G40" s="120">
        <v>32</v>
      </c>
      <c r="H40" s="120">
        <v>25</v>
      </c>
    </row>
    <row r="41" spans="1:8" x14ac:dyDescent="0.25">
      <c r="A41" s="120" t="s">
        <v>9</v>
      </c>
      <c r="B41" s="120">
        <v>62.2</v>
      </c>
      <c r="C41" s="120">
        <v>97.3</v>
      </c>
      <c r="D41" s="120">
        <v>58.3</v>
      </c>
      <c r="E41" s="120">
        <v>94.6</v>
      </c>
      <c r="F41" s="120">
        <v>73</v>
      </c>
      <c r="G41" s="120">
        <v>24.3</v>
      </c>
      <c r="H41" s="120">
        <v>37</v>
      </c>
    </row>
    <row r="42" spans="1:8" x14ac:dyDescent="0.25">
      <c r="A42" s="120" t="s">
        <v>55</v>
      </c>
      <c r="B42" s="120">
        <v>70.400000000000006</v>
      </c>
      <c r="C42" s="120">
        <v>96.3</v>
      </c>
      <c r="D42" s="120">
        <v>59.3</v>
      </c>
      <c r="E42" s="120">
        <v>74.099999999999994</v>
      </c>
      <c r="F42" s="120">
        <v>51.9</v>
      </c>
      <c r="G42" s="120">
        <v>44.4</v>
      </c>
      <c r="H42" s="120">
        <v>27</v>
      </c>
    </row>
    <row r="43" spans="1:8" x14ac:dyDescent="0.25">
      <c r="A43" s="120" t="s">
        <v>73</v>
      </c>
      <c r="B43" s="120">
        <v>46.9</v>
      </c>
      <c r="C43" s="120">
        <v>90.6</v>
      </c>
      <c r="D43" s="120">
        <v>28.1</v>
      </c>
      <c r="E43" s="120">
        <v>84.4</v>
      </c>
      <c r="F43" s="120">
        <v>68.8</v>
      </c>
      <c r="G43" s="120">
        <v>34.4</v>
      </c>
      <c r="H43" s="120">
        <v>32</v>
      </c>
    </row>
    <row r="44" spans="1:8" x14ac:dyDescent="0.25">
      <c r="A44" s="120" t="s">
        <v>10</v>
      </c>
      <c r="B44" s="120">
        <v>41.2</v>
      </c>
      <c r="C44" s="120">
        <v>100</v>
      </c>
      <c r="D44" s="120">
        <v>41.2</v>
      </c>
      <c r="E44" s="120">
        <v>70.599999999999994</v>
      </c>
      <c r="F44" s="120">
        <v>58.8</v>
      </c>
      <c r="G44" s="120">
        <v>23.5</v>
      </c>
      <c r="H44" s="120">
        <v>17</v>
      </c>
    </row>
    <row r="45" spans="1:8" x14ac:dyDescent="0.25">
      <c r="A45" s="120" t="s">
        <v>57</v>
      </c>
      <c r="B45" s="120">
        <v>71.400000000000006</v>
      </c>
      <c r="C45" s="120">
        <v>100</v>
      </c>
      <c r="D45" s="120">
        <v>64.3</v>
      </c>
      <c r="E45" s="120">
        <v>78.599999999999994</v>
      </c>
      <c r="F45" s="120">
        <v>57.1</v>
      </c>
      <c r="G45" s="120">
        <v>57.1</v>
      </c>
      <c r="H45" s="120">
        <v>14</v>
      </c>
    </row>
    <row r="46" spans="1:8" x14ac:dyDescent="0.25">
      <c r="A46" s="120" t="s">
        <v>11</v>
      </c>
      <c r="B46" s="120">
        <v>61.8</v>
      </c>
      <c r="C46" s="120">
        <v>100</v>
      </c>
      <c r="D46" s="120">
        <v>58.8</v>
      </c>
      <c r="E46" s="120">
        <v>88.2</v>
      </c>
      <c r="F46" s="120">
        <v>58.8</v>
      </c>
      <c r="G46" s="120">
        <v>50</v>
      </c>
      <c r="H46" s="120">
        <v>34</v>
      </c>
    </row>
    <row r="47" spans="1:8" x14ac:dyDescent="0.25">
      <c r="A47" s="120" t="s">
        <v>59</v>
      </c>
      <c r="B47" s="120">
        <v>50</v>
      </c>
      <c r="C47" s="120">
        <v>100</v>
      </c>
      <c r="D47" s="120">
        <v>11.1</v>
      </c>
      <c r="E47" s="120">
        <v>90</v>
      </c>
      <c r="F47" s="120">
        <v>60</v>
      </c>
      <c r="G47" s="120">
        <v>40</v>
      </c>
      <c r="H47" s="120">
        <v>10</v>
      </c>
    </row>
    <row r="48" spans="1:8" x14ac:dyDescent="0.25">
      <c r="A48" s="120" t="s">
        <v>60</v>
      </c>
      <c r="B48" s="120">
        <v>45.5</v>
      </c>
      <c r="C48" s="120">
        <v>100</v>
      </c>
      <c r="D48" s="120">
        <v>63.6</v>
      </c>
      <c r="E48" s="120">
        <v>81.8</v>
      </c>
      <c r="F48" s="120">
        <v>54.5</v>
      </c>
      <c r="G48" s="120">
        <v>36.4</v>
      </c>
      <c r="H48" s="120">
        <v>11</v>
      </c>
    </row>
    <row r="49" spans="1:8" x14ac:dyDescent="0.25">
      <c r="A49" s="120" t="s">
        <v>61</v>
      </c>
      <c r="B49" s="120">
        <v>77.8</v>
      </c>
      <c r="C49" s="120">
        <v>94.4</v>
      </c>
      <c r="D49" s="120">
        <v>55.6</v>
      </c>
      <c r="E49" s="120">
        <v>76.5</v>
      </c>
      <c r="F49" s="120">
        <v>61.1</v>
      </c>
      <c r="G49" s="120">
        <v>61.1</v>
      </c>
      <c r="H49" s="120">
        <v>18</v>
      </c>
    </row>
    <row r="50" spans="1:8" x14ac:dyDescent="0.25">
      <c r="A50" s="120" t="s">
        <v>12</v>
      </c>
      <c r="B50" s="120">
        <v>50</v>
      </c>
      <c r="C50" s="120">
        <v>100</v>
      </c>
      <c r="D50" s="120">
        <v>30</v>
      </c>
      <c r="E50" s="120">
        <v>80</v>
      </c>
      <c r="F50" s="120">
        <v>50</v>
      </c>
      <c r="G50" s="120">
        <v>40</v>
      </c>
      <c r="H50" s="120">
        <v>10</v>
      </c>
    </row>
    <row r="51" spans="1:8" x14ac:dyDescent="0.25">
      <c r="A51" s="120" t="s">
        <v>23</v>
      </c>
      <c r="B51" s="120">
        <v>56.7</v>
      </c>
      <c r="C51" s="120">
        <v>96.7</v>
      </c>
      <c r="D51" s="120">
        <v>56.7</v>
      </c>
      <c r="E51" s="120">
        <v>86.7</v>
      </c>
      <c r="F51" s="120">
        <v>55.2</v>
      </c>
      <c r="G51" s="120">
        <v>40</v>
      </c>
      <c r="H51" s="120">
        <v>31</v>
      </c>
    </row>
    <row r="52" spans="1:8" x14ac:dyDescent="0.25">
      <c r="A52" s="120" t="s">
        <v>63</v>
      </c>
      <c r="B52" s="120">
        <v>42.9</v>
      </c>
      <c r="C52" s="120">
        <v>100</v>
      </c>
      <c r="D52" s="120">
        <v>61.5</v>
      </c>
      <c r="E52" s="120">
        <v>78.599999999999994</v>
      </c>
      <c r="F52" s="120">
        <v>50</v>
      </c>
      <c r="G52" s="120">
        <v>35.700000000000003</v>
      </c>
      <c r="H52" s="120">
        <v>14</v>
      </c>
    </row>
    <row r="53" spans="1:8" x14ac:dyDescent="0.25">
      <c r="A53" s="120" t="s">
        <v>64</v>
      </c>
      <c r="B53" s="120">
        <v>85</v>
      </c>
      <c r="C53" s="120">
        <v>95</v>
      </c>
      <c r="D53" s="120">
        <v>50</v>
      </c>
      <c r="E53" s="120">
        <v>85</v>
      </c>
      <c r="F53" s="120">
        <v>35</v>
      </c>
      <c r="G53" s="120">
        <v>35</v>
      </c>
      <c r="H53" s="120">
        <v>20</v>
      </c>
    </row>
    <row r="54" spans="1:8" x14ac:dyDescent="0.25">
      <c r="A54" s="120" t="s">
        <v>13</v>
      </c>
      <c r="B54" s="120">
        <v>46.7</v>
      </c>
      <c r="C54" s="120">
        <v>93.3</v>
      </c>
      <c r="D54" s="120">
        <v>43.3</v>
      </c>
      <c r="E54" s="120">
        <v>76.7</v>
      </c>
      <c r="F54" s="120">
        <v>65.5</v>
      </c>
      <c r="G54" s="120">
        <v>43.3</v>
      </c>
      <c r="H54" s="120">
        <v>30</v>
      </c>
    </row>
    <row r="55" spans="1:8" x14ac:dyDescent="0.25">
      <c r="A55" s="120" t="s">
        <v>14</v>
      </c>
      <c r="B55" s="120">
        <v>79.3</v>
      </c>
      <c r="C55" s="120">
        <v>100</v>
      </c>
      <c r="D55" s="120">
        <v>69</v>
      </c>
      <c r="E55" s="120">
        <v>92.9</v>
      </c>
      <c r="F55" s="120">
        <v>65.5</v>
      </c>
      <c r="G55" s="120">
        <v>37.9</v>
      </c>
      <c r="H55" s="120">
        <v>29</v>
      </c>
    </row>
    <row r="56" spans="1:8" x14ac:dyDescent="0.25">
      <c r="A56" s="120" t="s">
        <v>66</v>
      </c>
      <c r="B56" s="120">
        <v>57.1</v>
      </c>
      <c r="C56" s="120">
        <v>78.599999999999994</v>
      </c>
      <c r="D56" s="120">
        <v>50</v>
      </c>
      <c r="E56" s="120">
        <v>92.9</v>
      </c>
      <c r="F56" s="120">
        <v>78.599999999999994</v>
      </c>
      <c r="G56" s="120">
        <v>28.6</v>
      </c>
      <c r="H56" s="120">
        <v>14</v>
      </c>
    </row>
    <row r="57" spans="1:8" x14ac:dyDescent="0.25">
      <c r="A57" s="120" t="s">
        <v>67</v>
      </c>
      <c r="B57" s="120">
        <v>62.5</v>
      </c>
      <c r="C57" s="120">
        <v>93.8</v>
      </c>
      <c r="D57" s="120">
        <v>62.5</v>
      </c>
      <c r="E57" s="120">
        <v>87.5</v>
      </c>
      <c r="F57" s="120">
        <v>75</v>
      </c>
      <c r="G57" s="120">
        <v>37.5</v>
      </c>
      <c r="H57" s="120">
        <v>17</v>
      </c>
    </row>
    <row r="58" spans="1:8" x14ac:dyDescent="0.25">
      <c r="A58" s="120" t="s">
        <v>68</v>
      </c>
      <c r="B58" s="120">
        <v>61.3</v>
      </c>
      <c r="C58" s="120">
        <v>93.5</v>
      </c>
      <c r="D58" s="120">
        <v>64.5</v>
      </c>
      <c r="E58" s="120">
        <v>77.400000000000006</v>
      </c>
      <c r="F58" s="120">
        <v>61.3</v>
      </c>
      <c r="G58" s="120">
        <v>19.399999999999999</v>
      </c>
      <c r="H58" s="120">
        <v>31</v>
      </c>
    </row>
    <row r="59" spans="1:8" x14ac:dyDescent="0.25">
      <c r="A59" s="120" t="s">
        <v>15</v>
      </c>
      <c r="B59" s="120">
        <v>50</v>
      </c>
      <c r="C59" s="120">
        <v>83.3</v>
      </c>
      <c r="D59" s="120">
        <v>50</v>
      </c>
      <c r="E59" s="120">
        <v>94.4</v>
      </c>
      <c r="F59" s="120">
        <v>83.3</v>
      </c>
      <c r="G59" s="120">
        <v>44.4</v>
      </c>
      <c r="H59" s="120">
        <v>19</v>
      </c>
    </row>
    <row r="60" spans="1:8" x14ac:dyDescent="0.25">
      <c r="A60" s="120" t="s">
        <v>16</v>
      </c>
      <c r="B60" s="120">
        <v>78</v>
      </c>
      <c r="C60" s="120">
        <v>100</v>
      </c>
      <c r="D60" s="120">
        <v>48.8</v>
      </c>
      <c r="E60" s="120">
        <v>78</v>
      </c>
      <c r="F60" s="120">
        <v>63.4</v>
      </c>
      <c r="G60" s="120">
        <v>22</v>
      </c>
      <c r="H60" s="120">
        <v>43</v>
      </c>
    </row>
    <row r="61" spans="1:8" x14ac:dyDescent="0.25">
      <c r="A61" s="120" t="s">
        <v>70</v>
      </c>
      <c r="B61" s="120">
        <v>67.2</v>
      </c>
      <c r="C61" s="120">
        <v>91.8</v>
      </c>
      <c r="D61" s="120">
        <v>67.2</v>
      </c>
      <c r="E61" s="120">
        <v>90.2</v>
      </c>
      <c r="F61" s="120">
        <v>85.2</v>
      </c>
      <c r="G61" s="120">
        <v>44.3</v>
      </c>
      <c r="H61" s="120">
        <v>61</v>
      </c>
    </row>
    <row r="62" spans="1:8" x14ac:dyDescent="0.25">
      <c r="A62" s="120" t="s">
        <v>17</v>
      </c>
      <c r="B62" s="120">
        <v>85.7</v>
      </c>
      <c r="C62" s="120">
        <v>100</v>
      </c>
      <c r="D62" s="120">
        <v>33.299999999999997</v>
      </c>
      <c r="E62" s="120">
        <v>71.400000000000006</v>
      </c>
      <c r="F62" s="120">
        <v>28.6</v>
      </c>
      <c r="G62" s="120">
        <v>42.9</v>
      </c>
      <c r="H62" s="120">
        <v>7</v>
      </c>
    </row>
    <row r="63" spans="1:8" x14ac:dyDescent="0.25">
      <c r="A63" s="120" t="s">
        <v>24</v>
      </c>
      <c r="B63" s="120">
        <v>66.7</v>
      </c>
      <c r="C63" s="120">
        <v>100</v>
      </c>
      <c r="D63" s="120">
        <v>52.4</v>
      </c>
      <c r="E63" s="120">
        <v>85.7</v>
      </c>
      <c r="F63" s="120">
        <v>42.9</v>
      </c>
      <c r="G63" s="120">
        <v>52.4</v>
      </c>
      <c r="H63" s="120">
        <v>21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workbookViewId="0">
      <selection activeCell="G22" sqref="G22"/>
    </sheetView>
  </sheetViews>
  <sheetFormatPr defaultColWidth="8.78515625" defaultRowHeight="13.5" x14ac:dyDescent="0.25"/>
  <cols>
    <col min="1" max="1" width="9.640625" style="120" customWidth="1"/>
    <col min="2" max="4" width="8.78515625" style="120"/>
    <col min="5" max="8" width="9.640625" style="120" customWidth="1"/>
    <col min="9" max="16384" width="8.78515625" style="120"/>
  </cols>
  <sheetData>
    <row r="1" spans="1:32" x14ac:dyDescent="0.25">
      <c r="A1" s="165" t="s">
        <v>414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32" x14ac:dyDescent="0.25">
      <c r="A2" s="124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32" x14ac:dyDescent="0.25">
      <c r="A3" s="124" t="s">
        <v>311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32" x14ac:dyDescent="0.25"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</row>
    <row r="5" spans="1:32" x14ac:dyDescent="0.25">
      <c r="E5" s="119"/>
      <c r="F5" s="119"/>
      <c r="G5" s="119" t="s">
        <v>312</v>
      </c>
      <c r="H5" s="119"/>
      <c r="I5" s="120" t="s">
        <v>145</v>
      </c>
      <c r="T5" s="121"/>
      <c r="U5" s="121"/>
      <c r="V5" s="121"/>
      <c r="W5" s="121"/>
      <c r="X5" s="121"/>
      <c r="Y5" s="121"/>
      <c r="Z5" s="121"/>
      <c r="AA5" s="121"/>
      <c r="AB5" s="121" t="s">
        <v>145</v>
      </c>
      <c r="AC5" s="121"/>
      <c r="AD5" s="121"/>
      <c r="AE5" s="121"/>
      <c r="AF5" s="121"/>
    </row>
    <row r="6" spans="1:32" x14ac:dyDescent="0.25">
      <c r="A6" s="124" t="s">
        <v>318</v>
      </c>
      <c r="B6" s="124"/>
      <c r="C6" s="124"/>
      <c r="D6" s="124"/>
      <c r="E6" s="124"/>
      <c r="F6" s="124"/>
      <c r="G6" s="124">
        <v>50.1</v>
      </c>
      <c r="H6" s="124"/>
      <c r="I6" s="120">
        <v>973</v>
      </c>
    </row>
    <row r="7" spans="1:32" x14ac:dyDescent="0.25">
      <c r="A7" s="124" t="s">
        <v>319</v>
      </c>
      <c r="B7" s="124"/>
      <c r="C7" s="124"/>
      <c r="D7" s="124"/>
      <c r="E7" s="124"/>
      <c r="F7" s="124"/>
      <c r="G7" s="124">
        <v>60.5</v>
      </c>
      <c r="H7" s="124"/>
      <c r="I7" s="120">
        <v>971</v>
      </c>
    </row>
    <row r="8" spans="1:32" x14ac:dyDescent="0.25">
      <c r="A8" s="124" t="s">
        <v>320</v>
      </c>
      <c r="B8" s="124"/>
      <c r="C8" s="124"/>
      <c r="D8" s="124"/>
      <c r="E8" s="124"/>
      <c r="F8" s="124"/>
      <c r="G8" s="124">
        <v>37.299999999999997</v>
      </c>
      <c r="H8" s="124"/>
      <c r="I8" s="120">
        <v>970</v>
      </c>
    </row>
    <row r="9" spans="1:32" x14ac:dyDescent="0.25">
      <c r="A9" s="125" t="s">
        <v>321</v>
      </c>
      <c r="B9" s="125"/>
      <c r="C9" s="125"/>
      <c r="D9" s="125"/>
      <c r="E9" s="125"/>
      <c r="F9" s="125"/>
      <c r="G9" s="125">
        <v>48.7</v>
      </c>
      <c r="H9" s="125"/>
      <c r="I9" s="120">
        <v>968</v>
      </c>
    </row>
    <row r="10" spans="1:32" x14ac:dyDescent="0.25">
      <c r="A10" s="125" t="s">
        <v>322</v>
      </c>
      <c r="B10" s="125"/>
      <c r="C10" s="125"/>
      <c r="D10" s="125"/>
      <c r="E10" s="125"/>
      <c r="F10" s="125"/>
      <c r="G10" s="125">
        <v>50.8</v>
      </c>
      <c r="H10" s="125"/>
      <c r="I10" s="120">
        <v>969</v>
      </c>
    </row>
    <row r="12" spans="1:32" x14ac:dyDescent="0.25">
      <c r="A12" s="121" t="s">
        <v>344</v>
      </c>
      <c r="B12" s="121" t="s">
        <v>313</v>
      </c>
      <c r="C12" s="121" t="s">
        <v>314</v>
      </c>
      <c r="D12" s="121" t="s">
        <v>315</v>
      </c>
      <c r="E12" s="121" t="s">
        <v>316</v>
      </c>
      <c r="F12" s="121" t="s">
        <v>317</v>
      </c>
      <c r="G12" s="121" t="s">
        <v>145</v>
      </c>
      <c r="H12" s="121"/>
      <c r="I12" s="121"/>
      <c r="J12" s="121"/>
      <c r="K12" s="121"/>
      <c r="L12" s="121"/>
    </row>
    <row r="13" spans="1:32" x14ac:dyDescent="0.25">
      <c r="A13" s="153" t="s">
        <v>115</v>
      </c>
      <c r="B13" s="120">
        <v>60.9</v>
      </c>
      <c r="C13" s="120">
        <v>69.599999999999994</v>
      </c>
      <c r="D13" s="120">
        <v>30.4</v>
      </c>
      <c r="E13" s="120">
        <v>39.5</v>
      </c>
      <c r="F13" s="120">
        <v>55.7</v>
      </c>
      <c r="G13" s="120">
        <v>115</v>
      </c>
    </row>
    <row r="14" spans="1:32" x14ac:dyDescent="0.25">
      <c r="A14" s="153" t="s">
        <v>116</v>
      </c>
      <c r="B14" s="120">
        <v>58.7</v>
      </c>
      <c r="C14" s="120">
        <v>60.2</v>
      </c>
      <c r="D14" s="120">
        <v>35.200000000000003</v>
      </c>
      <c r="E14" s="120">
        <v>40.4</v>
      </c>
      <c r="F14" s="120">
        <v>59.3</v>
      </c>
      <c r="G14" s="120">
        <v>109</v>
      </c>
    </row>
    <row r="15" spans="1:32" x14ac:dyDescent="0.25">
      <c r="A15" s="153" t="s">
        <v>117</v>
      </c>
      <c r="B15" s="120">
        <v>67.3</v>
      </c>
      <c r="C15" s="120">
        <v>66.7</v>
      </c>
      <c r="D15" s="120">
        <v>44.4</v>
      </c>
      <c r="E15" s="120">
        <v>64.7</v>
      </c>
      <c r="F15" s="120">
        <v>54.4</v>
      </c>
      <c r="G15" s="120">
        <v>171</v>
      </c>
    </row>
    <row r="16" spans="1:32" x14ac:dyDescent="0.25">
      <c r="A16" s="153" t="s">
        <v>118</v>
      </c>
      <c r="B16" s="120">
        <v>46.1</v>
      </c>
      <c r="C16" s="120">
        <v>60.3</v>
      </c>
      <c r="D16" s="120">
        <v>38.200000000000003</v>
      </c>
      <c r="E16" s="120">
        <v>46.8</v>
      </c>
      <c r="F16" s="120">
        <v>49.8</v>
      </c>
      <c r="G16" s="120">
        <v>205</v>
      </c>
    </row>
    <row r="17" spans="1:7" x14ac:dyDescent="0.25">
      <c r="A17" s="153" t="s">
        <v>119</v>
      </c>
      <c r="B17" s="120">
        <v>31.8</v>
      </c>
      <c r="C17" s="120">
        <v>42.5</v>
      </c>
      <c r="D17" s="120">
        <v>27</v>
      </c>
      <c r="E17" s="120">
        <v>39.1</v>
      </c>
      <c r="F17" s="120">
        <v>42.5</v>
      </c>
      <c r="G17" s="120">
        <v>183</v>
      </c>
    </row>
    <row r="18" spans="1:7" x14ac:dyDescent="0.25">
      <c r="A18" s="153" t="s">
        <v>120</v>
      </c>
      <c r="B18" s="120">
        <v>45.1</v>
      </c>
      <c r="C18" s="120">
        <v>67</v>
      </c>
      <c r="D18" s="120">
        <v>44.8</v>
      </c>
      <c r="E18" s="120">
        <v>55.4</v>
      </c>
      <c r="F18" s="120">
        <v>48.7</v>
      </c>
      <c r="G18" s="120">
        <v>198</v>
      </c>
    </row>
    <row r="20" spans="1:7" x14ac:dyDescent="0.25">
      <c r="A20" s="120" t="s">
        <v>344</v>
      </c>
      <c r="B20" s="121" t="s">
        <v>313</v>
      </c>
      <c r="C20" s="121" t="s">
        <v>314</v>
      </c>
      <c r="D20" s="121" t="s">
        <v>315</v>
      </c>
      <c r="E20" s="121" t="s">
        <v>316</v>
      </c>
      <c r="F20" s="121" t="s">
        <v>317</v>
      </c>
      <c r="G20" s="121" t="s">
        <v>145</v>
      </c>
    </row>
    <row r="21" spans="1:7" x14ac:dyDescent="0.25">
      <c r="A21" s="120" t="s">
        <v>43</v>
      </c>
      <c r="B21" s="120">
        <v>46.7</v>
      </c>
      <c r="C21" s="120">
        <v>40</v>
      </c>
      <c r="D21" s="120">
        <v>0</v>
      </c>
      <c r="E21" s="120">
        <v>26.7</v>
      </c>
      <c r="F21" s="120">
        <v>80</v>
      </c>
      <c r="G21" s="120">
        <v>15</v>
      </c>
    </row>
    <row r="22" spans="1:7" x14ac:dyDescent="0.25">
      <c r="A22" s="120" t="s">
        <v>44</v>
      </c>
      <c r="B22" s="120">
        <v>63.2</v>
      </c>
      <c r="C22" s="120">
        <v>55.3</v>
      </c>
      <c r="D22" s="120">
        <v>31.6</v>
      </c>
      <c r="E22" s="120">
        <v>56.8</v>
      </c>
      <c r="F22" s="120">
        <v>47.2</v>
      </c>
      <c r="G22" s="120">
        <v>37</v>
      </c>
    </row>
    <row r="23" spans="1:7" x14ac:dyDescent="0.25">
      <c r="A23" s="120" t="s">
        <v>45</v>
      </c>
      <c r="B23" s="120">
        <v>58.3</v>
      </c>
      <c r="C23" s="120">
        <v>62.5</v>
      </c>
      <c r="D23" s="120">
        <v>54.2</v>
      </c>
      <c r="E23" s="120">
        <v>50</v>
      </c>
      <c r="F23" s="120">
        <v>50</v>
      </c>
      <c r="G23" s="120">
        <v>24</v>
      </c>
    </row>
    <row r="24" spans="1:7" x14ac:dyDescent="0.25">
      <c r="A24" s="120" t="s">
        <v>2</v>
      </c>
      <c r="B24" s="120">
        <v>58.3</v>
      </c>
      <c r="C24" s="120">
        <v>25</v>
      </c>
      <c r="D24" s="120">
        <v>0</v>
      </c>
      <c r="E24" s="120">
        <v>8.3000000000000007</v>
      </c>
      <c r="F24" s="120">
        <v>66.7</v>
      </c>
      <c r="G24" s="120">
        <v>12</v>
      </c>
    </row>
    <row r="25" spans="1:7" x14ac:dyDescent="0.25">
      <c r="A25" s="120" t="s">
        <v>3</v>
      </c>
      <c r="B25" s="120">
        <v>50</v>
      </c>
      <c r="C25" s="120">
        <v>65.599999999999994</v>
      </c>
      <c r="D25" s="120">
        <v>43.8</v>
      </c>
      <c r="E25" s="120">
        <v>45.3</v>
      </c>
      <c r="F25" s="120">
        <v>50.8</v>
      </c>
      <c r="G25" s="120">
        <v>64</v>
      </c>
    </row>
    <row r="26" spans="1:7" x14ac:dyDescent="0.25">
      <c r="A26" s="120" t="s">
        <v>4</v>
      </c>
      <c r="B26" s="120">
        <v>53.3</v>
      </c>
      <c r="C26" s="120">
        <v>60</v>
      </c>
      <c r="D26" s="120">
        <v>46.7</v>
      </c>
      <c r="E26" s="120">
        <v>60</v>
      </c>
      <c r="F26" s="120">
        <v>60</v>
      </c>
      <c r="G26" s="120">
        <v>16</v>
      </c>
    </row>
    <row r="27" spans="1:7" x14ac:dyDescent="0.25">
      <c r="A27" s="120" t="s">
        <v>47</v>
      </c>
      <c r="B27" s="120">
        <v>52.6</v>
      </c>
      <c r="C27" s="120">
        <v>63.2</v>
      </c>
      <c r="D27" s="120">
        <v>15.8</v>
      </c>
      <c r="E27" s="120">
        <v>31.6</v>
      </c>
      <c r="F27" s="120">
        <v>63.2</v>
      </c>
      <c r="G27" s="120">
        <v>19</v>
      </c>
    </row>
    <row r="28" spans="1:7" x14ac:dyDescent="0.25">
      <c r="A28" s="120" t="s">
        <v>5</v>
      </c>
      <c r="B28" s="120">
        <v>51.7</v>
      </c>
      <c r="C28" s="120">
        <v>75.900000000000006</v>
      </c>
      <c r="D28" s="120">
        <v>62.1</v>
      </c>
      <c r="E28" s="120">
        <v>62.1</v>
      </c>
      <c r="F28" s="120">
        <v>58.6</v>
      </c>
      <c r="G28" s="120">
        <v>29</v>
      </c>
    </row>
    <row r="29" spans="1:7" x14ac:dyDescent="0.25">
      <c r="A29" s="120" t="s">
        <v>49</v>
      </c>
      <c r="B29" s="120">
        <v>78.599999999999994</v>
      </c>
      <c r="C29" s="120">
        <v>78.599999999999994</v>
      </c>
      <c r="D29" s="120">
        <v>14.3</v>
      </c>
      <c r="E29" s="120">
        <v>78.599999999999994</v>
      </c>
      <c r="F29" s="120">
        <v>78.599999999999994</v>
      </c>
      <c r="G29" s="120">
        <v>14</v>
      </c>
    </row>
    <row r="30" spans="1:7" x14ac:dyDescent="0.25">
      <c r="A30" s="120" t="s">
        <v>50</v>
      </c>
      <c r="B30" s="120">
        <v>94.7</v>
      </c>
      <c r="C30" s="120">
        <v>100</v>
      </c>
      <c r="D30" s="120">
        <v>78.900000000000006</v>
      </c>
      <c r="E30" s="120">
        <v>88.9</v>
      </c>
      <c r="F30" s="120">
        <v>84.2</v>
      </c>
      <c r="G30" s="120">
        <v>19</v>
      </c>
    </row>
    <row r="31" spans="1:7" x14ac:dyDescent="0.25">
      <c r="A31" s="120" t="s">
        <v>22</v>
      </c>
      <c r="B31" s="120">
        <v>58.3</v>
      </c>
      <c r="C31" s="120">
        <v>54.2</v>
      </c>
      <c r="D31" s="120">
        <v>0</v>
      </c>
      <c r="E31" s="120">
        <v>41.7</v>
      </c>
      <c r="F31" s="120">
        <v>62.5</v>
      </c>
      <c r="G31" s="120">
        <v>24</v>
      </c>
    </row>
    <row r="32" spans="1:7" x14ac:dyDescent="0.25">
      <c r="A32" s="121" t="s">
        <v>51</v>
      </c>
      <c r="B32" s="121">
        <v>33.299999999999997</v>
      </c>
      <c r="C32" s="121">
        <v>75</v>
      </c>
      <c r="D32" s="121">
        <v>25</v>
      </c>
      <c r="E32" s="120">
        <v>66.7</v>
      </c>
      <c r="F32" s="120">
        <v>58.3</v>
      </c>
      <c r="G32" s="120">
        <v>12</v>
      </c>
    </row>
    <row r="33" spans="1:7" x14ac:dyDescent="0.25">
      <c r="A33" s="120" t="s">
        <v>71</v>
      </c>
      <c r="B33" s="120">
        <v>21.4</v>
      </c>
      <c r="C33" s="120">
        <v>57.1</v>
      </c>
      <c r="D33" s="120">
        <v>28.6</v>
      </c>
      <c r="E33" s="120">
        <v>32.1</v>
      </c>
      <c r="F33" s="120">
        <v>46.4</v>
      </c>
      <c r="G33" s="120">
        <v>28</v>
      </c>
    </row>
    <row r="34" spans="1:7" x14ac:dyDescent="0.25">
      <c r="A34" s="121" t="s">
        <v>6</v>
      </c>
      <c r="B34" s="121">
        <v>22.2</v>
      </c>
      <c r="C34" s="121">
        <v>16.7</v>
      </c>
      <c r="D34" s="121">
        <v>5.6</v>
      </c>
      <c r="E34" s="120">
        <v>27.8</v>
      </c>
      <c r="F34" s="120">
        <v>41.7</v>
      </c>
      <c r="G34" s="120">
        <v>37</v>
      </c>
    </row>
    <row r="35" spans="1:7" x14ac:dyDescent="0.25">
      <c r="A35" s="120" t="s">
        <v>72</v>
      </c>
      <c r="B35" s="120">
        <v>58.8</v>
      </c>
      <c r="C35" s="120">
        <v>58.8</v>
      </c>
      <c r="D35" s="120">
        <v>29.4</v>
      </c>
      <c r="E35" s="120">
        <v>58.8</v>
      </c>
      <c r="F35" s="120">
        <v>44.1</v>
      </c>
      <c r="G35" s="120">
        <v>34</v>
      </c>
    </row>
    <row r="36" spans="1:7" x14ac:dyDescent="0.25">
      <c r="A36" s="120" t="s">
        <v>7</v>
      </c>
      <c r="B36" s="120">
        <v>75</v>
      </c>
      <c r="C36" s="120">
        <v>54.2</v>
      </c>
      <c r="D36" s="120">
        <v>8.3000000000000007</v>
      </c>
      <c r="E36" s="120">
        <v>58.3</v>
      </c>
      <c r="F36" s="120">
        <v>58.3</v>
      </c>
      <c r="G36" s="120">
        <v>24</v>
      </c>
    </row>
    <row r="37" spans="1:7" x14ac:dyDescent="0.25">
      <c r="A37" s="120" t="s">
        <v>8</v>
      </c>
      <c r="B37" s="120">
        <v>36</v>
      </c>
      <c r="C37" s="120">
        <v>84</v>
      </c>
      <c r="D37" s="120">
        <v>64</v>
      </c>
      <c r="E37" s="120">
        <v>68</v>
      </c>
      <c r="F37" s="120">
        <v>52</v>
      </c>
      <c r="G37" s="120">
        <v>25</v>
      </c>
    </row>
    <row r="38" spans="1:7" x14ac:dyDescent="0.25">
      <c r="A38" s="120" t="s">
        <v>9</v>
      </c>
      <c r="B38" s="120">
        <v>56.8</v>
      </c>
      <c r="C38" s="120">
        <v>51.4</v>
      </c>
      <c r="D38" s="120">
        <v>43.2</v>
      </c>
      <c r="E38" s="120">
        <v>54.1</v>
      </c>
      <c r="F38" s="120">
        <v>43.2</v>
      </c>
      <c r="G38" s="120">
        <v>37</v>
      </c>
    </row>
    <row r="39" spans="1:7" x14ac:dyDescent="0.25">
      <c r="A39" s="120" t="s">
        <v>55</v>
      </c>
      <c r="B39" s="120">
        <v>85.2</v>
      </c>
      <c r="C39" s="120">
        <v>77.8</v>
      </c>
      <c r="D39" s="120">
        <v>70.400000000000006</v>
      </c>
      <c r="E39" s="120">
        <v>77.8</v>
      </c>
      <c r="F39" s="120">
        <v>51.9</v>
      </c>
      <c r="G39" s="120">
        <v>27</v>
      </c>
    </row>
    <row r="40" spans="1:7" x14ac:dyDescent="0.25">
      <c r="A40" s="120" t="s">
        <v>73</v>
      </c>
      <c r="B40" s="120">
        <v>25</v>
      </c>
      <c r="C40" s="120">
        <v>15.6</v>
      </c>
      <c r="D40" s="120">
        <v>6.3</v>
      </c>
      <c r="E40" s="120">
        <v>15.6</v>
      </c>
      <c r="F40" s="120">
        <v>40.6</v>
      </c>
      <c r="G40" s="120">
        <v>32</v>
      </c>
    </row>
    <row r="41" spans="1:7" x14ac:dyDescent="0.25">
      <c r="A41" s="120" t="s">
        <v>10</v>
      </c>
      <c r="B41" s="120">
        <v>41.2</v>
      </c>
      <c r="C41" s="120">
        <v>29.4</v>
      </c>
      <c r="D41" s="120">
        <v>41.2</v>
      </c>
      <c r="E41" s="120">
        <v>17.600000000000001</v>
      </c>
      <c r="F41" s="120">
        <v>47.1</v>
      </c>
      <c r="G41" s="120">
        <v>17</v>
      </c>
    </row>
    <row r="42" spans="1:7" x14ac:dyDescent="0.25">
      <c r="A42" s="120" t="s">
        <v>57</v>
      </c>
      <c r="B42" s="120">
        <v>78.599999999999994</v>
      </c>
      <c r="C42" s="120">
        <v>85.7</v>
      </c>
      <c r="D42" s="120">
        <v>92.9</v>
      </c>
      <c r="E42" s="120">
        <v>85.7</v>
      </c>
      <c r="F42" s="120">
        <v>64.3</v>
      </c>
      <c r="G42" s="120">
        <v>14</v>
      </c>
    </row>
    <row r="43" spans="1:7" x14ac:dyDescent="0.25">
      <c r="A43" s="120" t="s">
        <v>11</v>
      </c>
      <c r="B43" s="120">
        <v>32.4</v>
      </c>
      <c r="C43" s="120">
        <v>72.7</v>
      </c>
      <c r="D43" s="120">
        <v>26.5</v>
      </c>
      <c r="E43" s="120">
        <v>35.299999999999997</v>
      </c>
      <c r="F43" s="120">
        <v>38.200000000000003</v>
      </c>
      <c r="G43" s="120">
        <v>34</v>
      </c>
    </row>
    <row r="44" spans="1:7" x14ac:dyDescent="0.25">
      <c r="A44" s="120" t="s">
        <v>59</v>
      </c>
      <c r="B44" s="120">
        <v>60</v>
      </c>
      <c r="C44" s="120">
        <v>80</v>
      </c>
      <c r="D44" s="120">
        <v>80</v>
      </c>
      <c r="E44" s="120">
        <v>70</v>
      </c>
      <c r="F44" s="120">
        <v>20</v>
      </c>
      <c r="G44" s="120">
        <v>10</v>
      </c>
    </row>
    <row r="45" spans="1:7" x14ac:dyDescent="0.25">
      <c r="A45" s="120" t="s">
        <v>60</v>
      </c>
      <c r="B45" s="120">
        <v>63.6</v>
      </c>
      <c r="C45" s="120">
        <v>63.6</v>
      </c>
      <c r="D45" s="120">
        <v>54.5</v>
      </c>
      <c r="E45" s="120">
        <v>63.6</v>
      </c>
      <c r="F45" s="120">
        <v>45.5</v>
      </c>
      <c r="G45" s="120">
        <v>11</v>
      </c>
    </row>
    <row r="46" spans="1:7" x14ac:dyDescent="0.25">
      <c r="A46" s="120" t="s">
        <v>61</v>
      </c>
      <c r="B46" s="120">
        <v>50</v>
      </c>
      <c r="C46" s="120">
        <v>66.7</v>
      </c>
      <c r="D46" s="120">
        <v>5.6</v>
      </c>
      <c r="E46" s="120">
        <v>22.2</v>
      </c>
      <c r="F46" s="120">
        <v>66.7</v>
      </c>
      <c r="G46" s="120">
        <v>18</v>
      </c>
    </row>
    <row r="47" spans="1:7" x14ac:dyDescent="0.25">
      <c r="A47" s="120" t="s">
        <v>12</v>
      </c>
      <c r="B47" s="120">
        <v>70</v>
      </c>
      <c r="C47" s="120">
        <v>90</v>
      </c>
      <c r="D47" s="120">
        <v>40</v>
      </c>
      <c r="E47" s="120">
        <v>30</v>
      </c>
      <c r="F47" s="120">
        <v>66.7</v>
      </c>
      <c r="G47" s="120">
        <v>10</v>
      </c>
    </row>
    <row r="48" spans="1:7" x14ac:dyDescent="0.25">
      <c r="A48" s="120" t="s">
        <v>23</v>
      </c>
      <c r="B48" s="120">
        <v>30</v>
      </c>
      <c r="C48" s="120">
        <v>53.3</v>
      </c>
      <c r="D48" s="120">
        <v>43.3</v>
      </c>
      <c r="E48" s="120">
        <v>48.3</v>
      </c>
      <c r="F48" s="120">
        <v>40</v>
      </c>
      <c r="G48" s="120">
        <v>31</v>
      </c>
    </row>
    <row r="49" spans="1:7" x14ac:dyDescent="0.25">
      <c r="A49" s="120" t="s">
        <v>63</v>
      </c>
      <c r="B49" s="120">
        <v>71.400000000000006</v>
      </c>
      <c r="C49" s="120">
        <v>71.400000000000006</v>
      </c>
      <c r="D49" s="120">
        <v>35.700000000000003</v>
      </c>
      <c r="E49" s="120">
        <v>57.1</v>
      </c>
      <c r="F49" s="120">
        <v>57.1</v>
      </c>
      <c r="G49" s="120">
        <v>14</v>
      </c>
    </row>
    <row r="50" spans="1:7" x14ac:dyDescent="0.25">
      <c r="A50" s="120" t="s">
        <v>64</v>
      </c>
      <c r="B50" s="120">
        <v>55</v>
      </c>
      <c r="C50" s="120">
        <v>80</v>
      </c>
      <c r="D50" s="120">
        <v>25</v>
      </c>
      <c r="E50" s="120">
        <v>40</v>
      </c>
      <c r="F50" s="120">
        <v>30</v>
      </c>
      <c r="G50" s="120">
        <v>20</v>
      </c>
    </row>
    <row r="51" spans="1:7" x14ac:dyDescent="0.25">
      <c r="A51" s="120" t="s">
        <v>13</v>
      </c>
      <c r="B51" s="120">
        <v>26.7</v>
      </c>
      <c r="C51" s="120">
        <v>43.3</v>
      </c>
      <c r="D51" s="120">
        <v>27.6</v>
      </c>
      <c r="E51" s="120">
        <v>16.7</v>
      </c>
      <c r="F51" s="120">
        <v>40</v>
      </c>
      <c r="G51" s="120">
        <v>30</v>
      </c>
    </row>
    <row r="52" spans="1:7" x14ac:dyDescent="0.25">
      <c r="A52" s="120" t="s">
        <v>14</v>
      </c>
      <c r="B52" s="120">
        <v>72.400000000000006</v>
      </c>
      <c r="C52" s="120">
        <v>79.3</v>
      </c>
      <c r="D52" s="120">
        <v>69</v>
      </c>
      <c r="E52" s="120">
        <v>75</v>
      </c>
      <c r="F52" s="120">
        <v>51.7</v>
      </c>
      <c r="G52" s="120">
        <v>29</v>
      </c>
    </row>
    <row r="53" spans="1:7" x14ac:dyDescent="0.25">
      <c r="A53" s="120" t="s">
        <v>66</v>
      </c>
      <c r="B53" s="120">
        <v>64.3</v>
      </c>
      <c r="C53" s="120">
        <v>78.599999999999994</v>
      </c>
      <c r="D53" s="120">
        <v>35.700000000000003</v>
      </c>
      <c r="E53" s="120">
        <v>35.700000000000003</v>
      </c>
      <c r="F53" s="120">
        <v>50</v>
      </c>
      <c r="G53" s="120">
        <v>14</v>
      </c>
    </row>
    <row r="54" spans="1:7" x14ac:dyDescent="0.25">
      <c r="A54" s="120" t="s">
        <v>67</v>
      </c>
      <c r="B54" s="120">
        <v>31.3</v>
      </c>
      <c r="C54" s="120">
        <v>43.8</v>
      </c>
      <c r="D54" s="120">
        <v>46.7</v>
      </c>
      <c r="E54" s="120">
        <v>50</v>
      </c>
      <c r="F54" s="120">
        <v>37.5</v>
      </c>
      <c r="G54" s="120">
        <v>17</v>
      </c>
    </row>
    <row r="55" spans="1:7" x14ac:dyDescent="0.25">
      <c r="A55" s="120" t="s">
        <v>68</v>
      </c>
      <c r="B55" s="120">
        <v>51.6</v>
      </c>
      <c r="C55" s="120">
        <v>64.5</v>
      </c>
      <c r="D55" s="120">
        <v>25.8</v>
      </c>
      <c r="E55" s="120">
        <v>48.4</v>
      </c>
      <c r="F55" s="120">
        <v>64.5</v>
      </c>
      <c r="G55" s="120">
        <v>31</v>
      </c>
    </row>
    <row r="56" spans="1:7" x14ac:dyDescent="0.25">
      <c r="A56" s="120" t="s">
        <v>15</v>
      </c>
      <c r="B56" s="120">
        <v>55.6</v>
      </c>
      <c r="C56" s="120">
        <v>66.7</v>
      </c>
      <c r="D56" s="120">
        <v>55.6</v>
      </c>
      <c r="E56" s="120">
        <v>72.2</v>
      </c>
      <c r="F56" s="120">
        <v>50</v>
      </c>
      <c r="G56" s="120">
        <v>19</v>
      </c>
    </row>
    <row r="57" spans="1:7" x14ac:dyDescent="0.25">
      <c r="A57" s="120" t="s">
        <v>16</v>
      </c>
      <c r="B57" s="120">
        <v>39</v>
      </c>
      <c r="C57" s="120">
        <v>53.7</v>
      </c>
      <c r="D57" s="120">
        <v>31.7</v>
      </c>
      <c r="E57" s="120">
        <v>58.5</v>
      </c>
      <c r="F57" s="120">
        <v>34.1</v>
      </c>
      <c r="G57" s="120">
        <v>43</v>
      </c>
    </row>
    <row r="58" spans="1:7" x14ac:dyDescent="0.25">
      <c r="A58" s="120" t="s">
        <v>70</v>
      </c>
      <c r="B58" s="120">
        <v>38.299999999999997</v>
      </c>
      <c r="C58" s="120">
        <v>73.3</v>
      </c>
      <c r="D58" s="120">
        <v>51.7</v>
      </c>
      <c r="E58" s="120">
        <v>59.3</v>
      </c>
      <c r="F58" s="120">
        <v>53.3</v>
      </c>
      <c r="G58" s="120">
        <v>61</v>
      </c>
    </row>
    <row r="59" spans="1:7" x14ac:dyDescent="0.25">
      <c r="A59" s="120" t="s">
        <v>17</v>
      </c>
      <c r="B59" s="120">
        <v>42.9</v>
      </c>
      <c r="C59" s="120">
        <v>71.400000000000006</v>
      </c>
      <c r="D59" s="120">
        <v>14.3</v>
      </c>
      <c r="E59" s="120">
        <v>0</v>
      </c>
      <c r="F59" s="120">
        <v>14.3</v>
      </c>
      <c r="G59" s="120">
        <v>7</v>
      </c>
    </row>
    <row r="60" spans="1:7" x14ac:dyDescent="0.25">
      <c r="A60" s="120" t="s">
        <v>24</v>
      </c>
      <c r="B60" s="120">
        <v>57.1</v>
      </c>
      <c r="C60" s="120">
        <v>45</v>
      </c>
      <c r="D60" s="120">
        <v>60</v>
      </c>
      <c r="E60" s="120">
        <v>28.6</v>
      </c>
      <c r="F60" s="120">
        <v>66.7</v>
      </c>
      <c r="G60" s="120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selection activeCell="A4" sqref="A4"/>
    </sheetView>
  </sheetViews>
  <sheetFormatPr defaultColWidth="8.78515625" defaultRowHeight="13.5" x14ac:dyDescent="0.25"/>
  <cols>
    <col min="1" max="6" width="9.640625" style="120" customWidth="1"/>
    <col min="7" max="16384" width="8.78515625" style="120"/>
  </cols>
  <sheetData>
    <row r="1" spans="1:23" x14ac:dyDescent="0.25">
      <c r="A1" s="119" t="s">
        <v>323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3" x14ac:dyDescent="0.25">
      <c r="A2" s="124" t="s">
        <v>160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3" x14ac:dyDescent="0.25">
      <c r="A3" s="124" t="s">
        <v>324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3"/>
      <c r="T3" s="123"/>
    </row>
    <row r="4" spans="1:23" x14ac:dyDescent="0.25">
      <c r="A4" s="124" t="s">
        <v>325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23" x14ac:dyDescent="0.25">
      <c r="M5" s="121"/>
      <c r="N5" s="121"/>
    </row>
    <row r="6" spans="1:23" x14ac:dyDescent="0.25">
      <c r="A6" s="119"/>
      <c r="B6" s="119"/>
      <c r="C6" s="119"/>
      <c r="D6" s="119"/>
      <c r="E6" s="119"/>
      <c r="G6" s="121" t="s">
        <v>249</v>
      </c>
      <c r="H6" s="121" t="s">
        <v>145</v>
      </c>
      <c r="T6" s="121"/>
      <c r="U6" s="121"/>
      <c r="V6" s="121"/>
      <c r="W6" s="121"/>
    </row>
    <row r="7" spans="1:23" x14ac:dyDescent="0.25">
      <c r="A7" s="124" t="s">
        <v>331</v>
      </c>
      <c r="B7" s="124"/>
      <c r="C7" s="124"/>
      <c r="D7" s="124"/>
      <c r="E7" s="124"/>
      <c r="F7" s="124"/>
      <c r="G7" s="120">
        <v>40.299999999999997</v>
      </c>
      <c r="H7" s="120">
        <v>836</v>
      </c>
    </row>
    <row r="8" spans="1:23" x14ac:dyDescent="0.25">
      <c r="A8" s="124" t="s">
        <v>332</v>
      </c>
      <c r="B8" s="124"/>
      <c r="C8" s="124"/>
      <c r="D8" s="124"/>
      <c r="E8" s="124"/>
      <c r="F8" s="124"/>
      <c r="G8" s="120">
        <v>42.4</v>
      </c>
      <c r="H8" s="120">
        <v>835</v>
      </c>
    </row>
    <row r="9" spans="1:23" x14ac:dyDescent="0.25">
      <c r="A9" s="124" t="s">
        <v>333</v>
      </c>
      <c r="B9" s="124"/>
      <c r="C9" s="124"/>
      <c r="D9" s="124"/>
      <c r="E9" s="124"/>
      <c r="F9" s="124"/>
      <c r="G9" s="129">
        <v>48.4</v>
      </c>
      <c r="H9" s="120">
        <v>836</v>
      </c>
    </row>
    <row r="10" spans="1:23" x14ac:dyDescent="0.25">
      <c r="A10" s="125" t="s">
        <v>334</v>
      </c>
      <c r="B10" s="125"/>
      <c r="C10" s="125"/>
      <c r="D10" s="125"/>
      <c r="E10" s="125"/>
      <c r="F10" s="125"/>
      <c r="G10" s="120">
        <v>58.8</v>
      </c>
      <c r="H10" s="120">
        <v>833</v>
      </c>
    </row>
    <row r="11" spans="1:23" x14ac:dyDescent="0.25">
      <c r="A11" s="125" t="s">
        <v>335</v>
      </c>
      <c r="B11" s="125"/>
      <c r="C11" s="125"/>
      <c r="D11" s="125"/>
      <c r="E11" s="125"/>
      <c r="F11" s="125"/>
      <c r="G11" s="120">
        <v>77.099999999999994</v>
      </c>
      <c r="H11" s="120">
        <v>834</v>
      </c>
    </row>
    <row r="13" spans="1:23" x14ac:dyDescent="0.25">
      <c r="A13" s="120" t="s">
        <v>344</v>
      </c>
      <c r="B13" s="121" t="s">
        <v>326</v>
      </c>
      <c r="C13" s="121" t="s">
        <v>327</v>
      </c>
      <c r="D13" s="121" t="s">
        <v>328</v>
      </c>
      <c r="E13" s="121" t="s">
        <v>329</v>
      </c>
      <c r="F13" s="121" t="s">
        <v>330</v>
      </c>
      <c r="G13" s="121" t="s">
        <v>145</v>
      </c>
      <c r="H13" s="121"/>
      <c r="I13" s="121"/>
      <c r="J13" s="121"/>
    </row>
    <row r="14" spans="1:23" x14ac:dyDescent="0.25">
      <c r="A14" s="153" t="s">
        <v>115</v>
      </c>
      <c r="B14" s="120">
        <v>42.7</v>
      </c>
      <c r="C14" s="120">
        <v>46.3</v>
      </c>
      <c r="D14" s="120">
        <v>56.1</v>
      </c>
      <c r="E14" s="120">
        <v>64.599999999999994</v>
      </c>
      <c r="F14" s="120">
        <v>80.2</v>
      </c>
      <c r="G14" s="120">
        <v>82</v>
      </c>
    </row>
    <row r="15" spans="1:23" x14ac:dyDescent="0.25">
      <c r="A15" s="153" t="s">
        <v>116</v>
      </c>
      <c r="B15" s="120">
        <v>37.5</v>
      </c>
      <c r="C15" s="120">
        <v>37.5</v>
      </c>
      <c r="D15" s="120">
        <v>39.799999999999997</v>
      </c>
      <c r="E15" s="120">
        <v>61.4</v>
      </c>
      <c r="F15" s="120">
        <v>81.8</v>
      </c>
      <c r="G15" s="120">
        <v>89</v>
      </c>
    </row>
    <row r="16" spans="1:23" x14ac:dyDescent="0.25">
      <c r="A16" s="153" t="s">
        <v>117</v>
      </c>
      <c r="B16" s="120">
        <v>38.1</v>
      </c>
      <c r="C16" s="120">
        <v>43.6</v>
      </c>
      <c r="D16" s="120">
        <v>47.8</v>
      </c>
      <c r="E16" s="120">
        <v>54.5</v>
      </c>
      <c r="F16" s="120">
        <v>78.900000000000006</v>
      </c>
      <c r="G16" s="120">
        <v>135</v>
      </c>
    </row>
    <row r="17" spans="1:7" x14ac:dyDescent="0.25">
      <c r="A17" s="153" t="s">
        <v>118</v>
      </c>
      <c r="B17" s="120">
        <v>38.700000000000003</v>
      </c>
      <c r="C17" s="120">
        <v>43.4</v>
      </c>
      <c r="D17" s="120">
        <v>49.7</v>
      </c>
      <c r="E17" s="120">
        <v>59</v>
      </c>
      <c r="F17" s="120">
        <v>75.099999999999994</v>
      </c>
      <c r="G17" s="120">
        <v>175</v>
      </c>
    </row>
    <row r="18" spans="1:7" x14ac:dyDescent="0.25">
      <c r="A18" s="153" t="s">
        <v>119</v>
      </c>
      <c r="B18" s="120">
        <v>36.200000000000003</v>
      </c>
      <c r="C18" s="120">
        <v>36.200000000000003</v>
      </c>
      <c r="D18" s="120">
        <v>37.700000000000003</v>
      </c>
      <c r="E18" s="120">
        <v>48.1</v>
      </c>
      <c r="F18" s="120">
        <v>70.3</v>
      </c>
      <c r="G18" s="120">
        <v>140</v>
      </c>
    </row>
    <row r="19" spans="1:7" x14ac:dyDescent="0.25">
      <c r="A19" s="153" t="s">
        <v>120</v>
      </c>
      <c r="B19" s="120">
        <v>36.200000000000003</v>
      </c>
      <c r="C19" s="120">
        <v>35</v>
      </c>
      <c r="D19" s="120">
        <v>46</v>
      </c>
      <c r="E19" s="120">
        <v>55.8</v>
      </c>
      <c r="F19" s="120">
        <v>73</v>
      </c>
      <c r="G19" s="120">
        <v>164</v>
      </c>
    </row>
    <row r="21" spans="1:7" x14ac:dyDescent="0.25">
      <c r="A21" s="120" t="s">
        <v>344</v>
      </c>
      <c r="B21" s="121" t="s">
        <v>326</v>
      </c>
      <c r="C21" s="121" t="s">
        <v>327</v>
      </c>
      <c r="D21" s="121" t="s">
        <v>328</v>
      </c>
      <c r="E21" s="121" t="s">
        <v>329</v>
      </c>
      <c r="F21" s="121" t="s">
        <v>330</v>
      </c>
      <c r="G21" s="121" t="s">
        <v>145</v>
      </c>
    </row>
    <row r="22" spans="1:7" x14ac:dyDescent="0.25">
      <c r="A22" s="120" t="s">
        <v>43</v>
      </c>
      <c r="B22" s="120">
        <v>60</v>
      </c>
      <c r="C22" s="120">
        <v>40</v>
      </c>
      <c r="D22" s="120">
        <v>40</v>
      </c>
      <c r="E22" s="120">
        <v>60</v>
      </c>
      <c r="F22" s="120">
        <v>100</v>
      </c>
      <c r="G22" s="120">
        <v>10</v>
      </c>
    </row>
    <row r="23" spans="1:7" x14ac:dyDescent="0.25">
      <c r="A23" s="120" t="s">
        <v>44</v>
      </c>
      <c r="B23" s="120">
        <v>23.5</v>
      </c>
      <c r="C23" s="120">
        <v>20.6</v>
      </c>
      <c r="D23" s="120">
        <v>41.2</v>
      </c>
      <c r="E23" s="120">
        <v>52.9</v>
      </c>
      <c r="F23" s="120">
        <v>82.4</v>
      </c>
      <c r="G23" s="120">
        <v>34</v>
      </c>
    </row>
    <row r="24" spans="1:7" x14ac:dyDescent="0.25">
      <c r="A24" s="120" t="s">
        <v>45</v>
      </c>
      <c r="B24" s="120">
        <v>30</v>
      </c>
      <c r="C24" s="120">
        <v>30</v>
      </c>
      <c r="D24" s="120">
        <v>25</v>
      </c>
      <c r="E24" s="120">
        <v>60</v>
      </c>
      <c r="F24" s="120">
        <v>90</v>
      </c>
      <c r="G24" s="120">
        <v>20</v>
      </c>
    </row>
    <row r="25" spans="1:7" x14ac:dyDescent="0.25">
      <c r="A25" s="120" t="s">
        <v>2</v>
      </c>
      <c r="B25" s="120">
        <v>28.6</v>
      </c>
      <c r="C25" s="120">
        <v>57.1</v>
      </c>
      <c r="D25" s="120">
        <v>42.9</v>
      </c>
      <c r="E25" s="120">
        <v>57.1</v>
      </c>
      <c r="F25" s="120">
        <v>57.1</v>
      </c>
      <c r="G25" s="120">
        <v>7</v>
      </c>
    </row>
    <row r="26" spans="1:7" x14ac:dyDescent="0.25">
      <c r="A26" s="120" t="s">
        <v>3</v>
      </c>
      <c r="B26" s="120">
        <v>48.3</v>
      </c>
      <c r="C26" s="120">
        <v>62.1</v>
      </c>
      <c r="D26" s="120">
        <v>63.8</v>
      </c>
      <c r="E26" s="120">
        <v>67.2</v>
      </c>
      <c r="F26" s="120">
        <v>79.3</v>
      </c>
      <c r="G26" s="120">
        <v>59</v>
      </c>
    </row>
    <row r="27" spans="1:7" x14ac:dyDescent="0.25">
      <c r="A27" s="120" t="s">
        <v>4</v>
      </c>
      <c r="B27" s="120">
        <v>50</v>
      </c>
      <c r="C27" s="120">
        <v>50</v>
      </c>
      <c r="D27" s="120">
        <v>66.7</v>
      </c>
      <c r="E27" s="120">
        <v>50</v>
      </c>
      <c r="F27" s="120">
        <v>75</v>
      </c>
      <c r="G27" s="120">
        <v>13</v>
      </c>
    </row>
    <row r="28" spans="1:7" x14ac:dyDescent="0.25">
      <c r="A28" s="120" t="s">
        <v>47</v>
      </c>
      <c r="B28" s="120">
        <v>43.8</v>
      </c>
      <c r="C28" s="120">
        <v>37.5</v>
      </c>
      <c r="D28" s="120">
        <v>56.3</v>
      </c>
      <c r="E28" s="120">
        <v>81.3</v>
      </c>
      <c r="F28" s="120">
        <v>100</v>
      </c>
      <c r="G28" s="120">
        <v>16</v>
      </c>
    </row>
    <row r="29" spans="1:7" x14ac:dyDescent="0.25">
      <c r="A29" s="120" t="s">
        <v>5</v>
      </c>
      <c r="B29" s="120">
        <v>36.4</v>
      </c>
      <c r="C29" s="120">
        <v>54.5</v>
      </c>
      <c r="D29" s="120">
        <v>54.5</v>
      </c>
      <c r="E29" s="120">
        <v>63.6</v>
      </c>
      <c r="F29" s="120">
        <v>81.8</v>
      </c>
      <c r="G29" s="120">
        <v>22</v>
      </c>
    </row>
    <row r="30" spans="1:7" x14ac:dyDescent="0.25">
      <c r="A30" s="120" t="s">
        <v>49</v>
      </c>
      <c r="B30" s="120">
        <v>60</v>
      </c>
      <c r="C30" s="120">
        <v>70</v>
      </c>
      <c r="D30" s="120">
        <v>70</v>
      </c>
      <c r="E30" s="120">
        <v>80</v>
      </c>
      <c r="F30" s="120">
        <v>90</v>
      </c>
      <c r="G30" s="120">
        <v>10</v>
      </c>
    </row>
    <row r="31" spans="1:7" x14ac:dyDescent="0.25">
      <c r="A31" s="120" t="s">
        <v>50</v>
      </c>
      <c r="B31" s="120">
        <v>80</v>
      </c>
      <c r="C31" s="120">
        <v>80</v>
      </c>
      <c r="D31" s="120">
        <v>86.7</v>
      </c>
      <c r="E31" s="120">
        <v>93.3</v>
      </c>
      <c r="F31" s="120">
        <v>93.3</v>
      </c>
      <c r="G31" s="120">
        <v>15</v>
      </c>
    </row>
    <row r="32" spans="1:7" x14ac:dyDescent="0.25">
      <c r="A32" s="120" t="s">
        <v>22</v>
      </c>
      <c r="B32" s="120">
        <v>31.6</v>
      </c>
      <c r="C32" s="120">
        <v>21.1</v>
      </c>
      <c r="D32" s="120">
        <v>21.1</v>
      </c>
      <c r="E32" s="120">
        <v>47.4</v>
      </c>
      <c r="F32" s="120">
        <v>52.6</v>
      </c>
      <c r="G32" s="120">
        <v>19</v>
      </c>
    </row>
    <row r="33" spans="1:7" x14ac:dyDescent="0.25">
      <c r="A33" s="120" t="s">
        <v>51</v>
      </c>
      <c r="B33" s="120">
        <v>44.4</v>
      </c>
      <c r="C33" s="120">
        <v>66.7</v>
      </c>
      <c r="D33" s="120">
        <v>77.8</v>
      </c>
      <c r="E33" s="120">
        <v>66.7</v>
      </c>
      <c r="F33" s="120">
        <v>66.7</v>
      </c>
      <c r="G33" s="120">
        <v>9</v>
      </c>
    </row>
    <row r="34" spans="1:7" x14ac:dyDescent="0.25">
      <c r="A34" s="120" t="s">
        <v>71</v>
      </c>
      <c r="B34" s="120">
        <v>50</v>
      </c>
      <c r="C34" s="120">
        <v>31.8</v>
      </c>
      <c r="D34" s="120">
        <v>54.5</v>
      </c>
      <c r="E34" s="120">
        <v>59.1</v>
      </c>
      <c r="F34" s="120">
        <v>77.3</v>
      </c>
      <c r="G34" s="120">
        <v>22</v>
      </c>
    </row>
    <row r="35" spans="1:7" x14ac:dyDescent="0.25">
      <c r="A35" s="120" t="s">
        <v>6</v>
      </c>
      <c r="B35" s="120">
        <v>16.7</v>
      </c>
      <c r="C35" s="120">
        <v>16.7</v>
      </c>
      <c r="D35" s="120">
        <v>27.8</v>
      </c>
      <c r="E35" s="120">
        <v>35.299999999999997</v>
      </c>
      <c r="F35" s="120">
        <v>77.8</v>
      </c>
      <c r="G35" s="120">
        <v>19</v>
      </c>
    </row>
    <row r="36" spans="1:7" x14ac:dyDescent="0.25">
      <c r="A36" s="120" t="s">
        <v>72</v>
      </c>
      <c r="B36" s="120">
        <v>20</v>
      </c>
      <c r="C36" s="120">
        <v>16.7</v>
      </c>
      <c r="D36" s="120">
        <v>20</v>
      </c>
      <c r="E36" s="120">
        <v>30</v>
      </c>
      <c r="F36" s="120">
        <v>76.7</v>
      </c>
      <c r="G36" s="120">
        <v>31</v>
      </c>
    </row>
    <row r="37" spans="1:7" x14ac:dyDescent="0.25">
      <c r="A37" s="120" t="s">
        <v>7</v>
      </c>
      <c r="B37" s="120">
        <v>31.8</v>
      </c>
      <c r="C37" s="120">
        <v>50</v>
      </c>
      <c r="D37" s="120">
        <v>54.5</v>
      </c>
      <c r="E37" s="120">
        <v>68.2</v>
      </c>
      <c r="F37" s="120">
        <v>76.2</v>
      </c>
      <c r="G37" s="120">
        <v>22</v>
      </c>
    </row>
    <row r="38" spans="1:7" x14ac:dyDescent="0.25">
      <c r="A38" s="120" t="s">
        <v>8</v>
      </c>
      <c r="B38" s="120">
        <v>57.1</v>
      </c>
      <c r="C38" s="120">
        <v>42.9</v>
      </c>
      <c r="D38" s="120">
        <v>57.1</v>
      </c>
      <c r="E38" s="120">
        <v>66.7</v>
      </c>
      <c r="F38" s="120">
        <v>76.2</v>
      </c>
      <c r="G38" s="120">
        <v>21</v>
      </c>
    </row>
    <row r="39" spans="1:7" x14ac:dyDescent="0.25">
      <c r="A39" s="120" t="s">
        <v>9</v>
      </c>
      <c r="B39" s="120">
        <v>16.7</v>
      </c>
      <c r="C39" s="120">
        <v>33.299999999999997</v>
      </c>
      <c r="D39" s="120">
        <v>30</v>
      </c>
      <c r="E39" s="120">
        <v>43.3</v>
      </c>
      <c r="F39" s="120">
        <v>60</v>
      </c>
      <c r="G39" s="120">
        <v>30</v>
      </c>
    </row>
    <row r="40" spans="1:7" x14ac:dyDescent="0.25">
      <c r="A40" s="120" t="s">
        <v>55</v>
      </c>
      <c r="B40" s="120">
        <v>47.6</v>
      </c>
      <c r="C40" s="120">
        <v>65</v>
      </c>
      <c r="D40" s="120">
        <v>57.1</v>
      </c>
      <c r="E40" s="120">
        <v>61.9</v>
      </c>
      <c r="F40" s="120">
        <v>76.2</v>
      </c>
      <c r="G40" s="120">
        <v>21</v>
      </c>
    </row>
    <row r="41" spans="1:7" x14ac:dyDescent="0.25">
      <c r="A41" s="120" t="s">
        <v>73</v>
      </c>
      <c r="B41" s="120">
        <v>32.1</v>
      </c>
      <c r="C41" s="120">
        <v>39.299999999999997</v>
      </c>
      <c r="D41" s="120">
        <v>35.700000000000003</v>
      </c>
      <c r="E41" s="120">
        <v>51.9</v>
      </c>
      <c r="F41" s="120">
        <v>64.3</v>
      </c>
      <c r="G41" s="120">
        <v>28</v>
      </c>
    </row>
    <row r="42" spans="1:7" x14ac:dyDescent="0.25">
      <c r="A42" s="120" t="s">
        <v>10</v>
      </c>
      <c r="B42" s="120">
        <v>27.3</v>
      </c>
      <c r="C42" s="120">
        <v>27.3</v>
      </c>
      <c r="D42" s="120">
        <v>36.4</v>
      </c>
      <c r="E42" s="120">
        <v>45.5</v>
      </c>
      <c r="F42" s="120">
        <v>81.8</v>
      </c>
      <c r="G42" s="120">
        <v>11</v>
      </c>
    </row>
    <row r="43" spans="1:7" x14ac:dyDescent="0.25">
      <c r="A43" s="120" t="s">
        <v>57</v>
      </c>
      <c r="B43" s="120">
        <v>55.6</v>
      </c>
      <c r="C43" s="120">
        <v>66.7</v>
      </c>
      <c r="D43" s="120">
        <v>55.6</v>
      </c>
      <c r="E43" s="120">
        <v>66.7</v>
      </c>
      <c r="F43" s="120">
        <v>88.9</v>
      </c>
      <c r="G43" s="120">
        <v>9</v>
      </c>
    </row>
    <row r="44" spans="1:7" x14ac:dyDescent="0.25">
      <c r="A44" s="120" t="s">
        <v>11</v>
      </c>
      <c r="B44" s="120">
        <v>37.9</v>
      </c>
      <c r="C44" s="120">
        <v>31</v>
      </c>
      <c r="D44" s="120">
        <v>44.8</v>
      </c>
      <c r="E44" s="120">
        <v>55.2</v>
      </c>
      <c r="F44" s="120">
        <v>72.400000000000006</v>
      </c>
      <c r="G44" s="120">
        <v>29</v>
      </c>
    </row>
    <row r="45" spans="1:7" x14ac:dyDescent="0.25">
      <c r="A45" s="120" t="s">
        <v>59</v>
      </c>
      <c r="B45" s="120">
        <v>37.5</v>
      </c>
      <c r="C45" s="120">
        <v>50</v>
      </c>
      <c r="D45" s="120">
        <v>62.5</v>
      </c>
      <c r="E45" s="120">
        <v>75</v>
      </c>
      <c r="F45" s="120">
        <v>75</v>
      </c>
      <c r="G45" s="120">
        <v>8</v>
      </c>
    </row>
    <row r="46" spans="1:7" x14ac:dyDescent="0.25">
      <c r="A46" s="120" t="s">
        <v>60</v>
      </c>
      <c r="B46" s="120">
        <v>20</v>
      </c>
      <c r="C46" s="120">
        <v>30</v>
      </c>
      <c r="D46" s="120">
        <v>50</v>
      </c>
      <c r="E46" s="120">
        <v>30</v>
      </c>
      <c r="F46" s="120">
        <v>70</v>
      </c>
      <c r="G46" s="120">
        <v>11</v>
      </c>
    </row>
    <row r="47" spans="1:7" x14ac:dyDescent="0.25">
      <c r="A47" s="120" t="s">
        <v>61</v>
      </c>
      <c r="B47" s="120">
        <v>46.2</v>
      </c>
      <c r="C47" s="120">
        <v>30.8</v>
      </c>
      <c r="D47" s="120">
        <v>53.8</v>
      </c>
      <c r="E47" s="120">
        <v>53.8</v>
      </c>
      <c r="F47" s="120">
        <v>66.7</v>
      </c>
      <c r="G47" s="120">
        <v>13</v>
      </c>
    </row>
    <row r="48" spans="1:7" x14ac:dyDescent="0.25">
      <c r="A48" s="120" t="s">
        <v>12</v>
      </c>
      <c r="B48" s="120">
        <v>42.9</v>
      </c>
      <c r="C48" s="120">
        <v>57.1</v>
      </c>
      <c r="D48" s="120">
        <v>57.1</v>
      </c>
      <c r="E48" s="120">
        <v>71.400000000000006</v>
      </c>
      <c r="F48" s="120">
        <v>85.7</v>
      </c>
      <c r="G48" s="120">
        <v>7</v>
      </c>
    </row>
    <row r="49" spans="1:7" x14ac:dyDescent="0.25">
      <c r="A49" s="120" t="s">
        <v>23</v>
      </c>
      <c r="B49" s="120">
        <v>34.6</v>
      </c>
      <c r="C49" s="120">
        <v>19.2</v>
      </c>
      <c r="D49" s="120">
        <v>34.6</v>
      </c>
      <c r="E49" s="120">
        <v>53.8</v>
      </c>
      <c r="F49" s="120">
        <v>76.900000000000006</v>
      </c>
      <c r="G49" s="120">
        <v>27</v>
      </c>
    </row>
    <row r="50" spans="1:7" x14ac:dyDescent="0.25">
      <c r="A50" s="120" t="s">
        <v>63</v>
      </c>
      <c r="B50" s="120">
        <v>41.7</v>
      </c>
      <c r="C50" s="120">
        <v>50</v>
      </c>
      <c r="D50" s="120">
        <v>50</v>
      </c>
      <c r="E50" s="120">
        <v>66.7</v>
      </c>
      <c r="F50" s="120">
        <v>83.3</v>
      </c>
      <c r="G50" s="120">
        <v>12</v>
      </c>
    </row>
    <row r="51" spans="1:7" x14ac:dyDescent="0.25">
      <c r="A51" s="120" t="s">
        <v>64</v>
      </c>
      <c r="B51" s="120">
        <v>20</v>
      </c>
      <c r="C51" s="120">
        <v>33.299999999999997</v>
      </c>
      <c r="D51" s="120">
        <v>40</v>
      </c>
      <c r="E51" s="120">
        <v>53.3</v>
      </c>
      <c r="F51" s="120">
        <v>73.3</v>
      </c>
      <c r="G51" s="120">
        <v>15</v>
      </c>
    </row>
    <row r="52" spans="1:7" x14ac:dyDescent="0.25">
      <c r="A52" s="120" t="s">
        <v>13</v>
      </c>
      <c r="B52" s="120">
        <v>45.8</v>
      </c>
      <c r="C52" s="120">
        <v>54.2</v>
      </c>
      <c r="D52" s="120">
        <v>33.299999999999997</v>
      </c>
      <c r="E52" s="120">
        <v>47.8</v>
      </c>
      <c r="F52" s="120">
        <v>75</v>
      </c>
      <c r="G52" s="120">
        <v>24</v>
      </c>
    </row>
    <row r="53" spans="1:7" x14ac:dyDescent="0.25">
      <c r="A53" s="120" t="s">
        <v>14</v>
      </c>
      <c r="B53" s="120">
        <v>45.5</v>
      </c>
      <c r="C53" s="120">
        <v>31.8</v>
      </c>
      <c r="D53" s="120">
        <v>50</v>
      </c>
      <c r="E53" s="120">
        <v>50</v>
      </c>
      <c r="F53" s="120">
        <v>81.8</v>
      </c>
      <c r="G53" s="120">
        <v>22</v>
      </c>
    </row>
    <row r="54" spans="1:7" x14ac:dyDescent="0.25">
      <c r="A54" s="120" t="s">
        <v>66</v>
      </c>
      <c r="B54" s="120">
        <v>20</v>
      </c>
      <c r="C54" s="120">
        <v>40</v>
      </c>
      <c r="D54" s="120">
        <v>50</v>
      </c>
      <c r="E54" s="120">
        <v>60</v>
      </c>
      <c r="F54" s="120">
        <v>80</v>
      </c>
      <c r="G54" s="120">
        <v>10</v>
      </c>
    </row>
    <row r="55" spans="1:7" x14ac:dyDescent="0.25">
      <c r="A55" s="120" t="s">
        <v>67</v>
      </c>
      <c r="B55" s="120">
        <v>42.9</v>
      </c>
      <c r="C55" s="120">
        <v>14.3</v>
      </c>
      <c r="D55" s="120">
        <v>28.6</v>
      </c>
      <c r="E55" s="120">
        <v>35.700000000000003</v>
      </c>
      <c r="F55" s="120">
        <v>64.3</v>
      </c>
      <c r="G55" s="120">
        <v>14</v>
      </c>
    </row>
    <row r="56" spans="1:7" x14ac:dyDescent="0.25">
      <c r="A56" s="120" t="s">
        <v>68</v>
      </c>
      <c r="B56" s="120">
        <v>36</v>
      </c>
      <c r="C56" s="120">
        <v>44</v>
      </c>
      <c r="D56" s="120">
        <v>52</v>
      </c>
      <c r="E56" s="120">
        <v>60</v>
      </c>
      <c r="F56" s="120">
        <v>76</v>
      </c>
      <c r="G56" s="120">
        <v>25</v>
      </c>
    </row>
    <row r="57" spans="1:7" x14ac:dyDescent="0.25">
      <c r="A57" s="120" t="s">
        <v>15</v>
      </c>
      <c r="B57" s="120">
        <v>33.299999999999997</v>
      </c>
      <c r="C57" s="120">
        <v>20</v>
      </c>
      <c r="D57" s="120">
        <v>46.7</v>
      </c>
      <c r="E57" s="120">
        <v>46.7</v>
      </c>
      <c r="F57" s="120">
        <v>46.7</v>
      </c>
      <c r="G57" s="120">
        <v>15</v>
      </c>
    </row>
    <row r="58" spans="1:7" x14ac:dyDescent="0.25">
      <c r="A58" s="120" t="s">
        <v>16</v>
      </c>
      <c r="B58" s="120">
        <v>25.7</v>
      </c>
      <c r="C58" s="120">
        <v>22.9</v>
      </c>
      <c r="D58" s="120">
        <v>25.7</v>
      </c>
      <c r="E58" s="120">
        <v>40</v>
      </c>
      <c r="F58" s="120">
        <v>62.9</v>
      </c>
      <c r="G58" s="120">
        <v>35</v>
      </c>
    </row>
    <row r="59" spans="1:7" x14ac:dyDescent="0.25">
      <c r="A59" s="120" t="s">
        <v>70</v>
      </c>
      <c r="B59" s="120">
        <v>42.9</v>
      </c>
      <c r="C59" s="120">
        <v>49</v>
      </c>
      <c r="D59" s="120">
        <v>51</v>
      </c>
      <c r="E59" s="120">
        <v>63.3</v>
      </c>
      <c r="F59" s="120">
        <v>73.5</v>
      </c>
      <c r="G59" s="120">
        <v>50</v>
      </c>
    </row>
    <row r="60" spans="1:7" x14ac:dyDescent="0.25">
      <c r="A60" s="120" t="s">
        <v>17</v>
      </c>
      <c r="B60" s="120">
        <v>25</v>
      </c>
      <c r="C60" s="120">
        <v>25</v>
      </c>
      <c r="D60" s="120">
        <v>75</v>
      </c>
      <c r="E60" s="120">
        <v>50</v>
      </c>
      <c r="F60" s="120">
        <v>100</v>
      </c>
      <c r="G60" s="120">
        <v>4</v>
      </c>
    </row>
    <row r="61" spans="1:7" x14ac:dyDescent="0.25">
      <c r="A61" s="120" t="s">
        <v>24</v>
      </c>
      <c r="B61" s="120">
        <v>56.3</v>
      </c>
      <c r="C61" s="120">
        <v>62.5</v>
      </c>
      <c r="D61" s="120">
        <v>50</v>
      </c>
      <c r="E61" s="120">
        <v>75</v>
      </c>
      <c r="F61" s="120">
        <v>93.8</v>
      </c>
      <c r="G61" s="120">
        <v>16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workbookViewId="0">
      <selection activeCell="A4" sqref="A4"/>
    </sheetView>
  </sheetViews>
  <sheetFormatPr defaultColWidth="8.78515625" defaultRowHeight="13.5" x14ac:dyDescent="0.25"/>
  <cols>
    <col min="1" max="1" width="9.640625" style="120" customWidth="1"/>
    <col min="2" max="4" width="8.78515625" style="120"/>
    <col min="5" max="8" width="9.640625" style="120" customWidth="1"/>
    <col min="9" max="16384" width="8.78515625" style="120"/>
  </cols>
  <sheetData>
    <row r="1" spans="1:27" x14ac:dyDescent="0.25">
      <c r="A1" s="119" t="s">
        <v>336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27" x14ac:dyDescent="0.25">
      <c r="A2" s="119" t="s">
        <v>160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1"/>
      <c r="Q2" s="121"/>
      <c r="R2" s="121"/>
    </row>
    <row r="3" spans="1:27" x14ac:dyDescent="0.25">
      <c r="A3" s="124" t="s">
        <v>337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27" x14ac:dyDescent="0.25">
      <c r="A4" s="124" t="s">
        <v>338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27" x14ac:dyDescent="0.25"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7" x14ac:dyDescent="0.25">
      <c r="E6" s="119"/>
      <c r="F6" s="119"/>
      <c r="G6" s="119"/>
      <c r="H6" s="119"/>
      <c r="K6" s="119" t="s">
        <v>249</v>
      </c>
      <c r="L6" s="119"/>
      <c r="M6" s="121" t="s">
        <v>145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</row>
    <row r="7" spans="1:27" x14ac:dyDescent="0.25">
      <c r="A7" s="124" t="s">
        <v>339</v>
      </c>
      <c r="B7" s="124"/>
      <c r="C7" s="124"/>
      <c r="D7" s="124"/>
      <c r="E7" s="124"/>
      <c r="F7" s="124"/>
      <c r="G7" s="124"/>
      <c r="H7" s="124"/>
      <c r="I7" s="124"/>
      <c r="J7" s="124"/>
      <c r="K7" s="124">
        <v>46.7</v>
      </c>
      <c r="L7" s="124"/>
      <c r="M7" s="120">
        <v>775</v>
      </c>
    </row>
    <row r="8" spans="1:27" x14ac:dyDescent="0.25">
      <c r="A8" s="124" t="s">
        <v>340</v>
      </c>
      <c r="B8" s="124"/>
      <c r="C8" s="124"/>
      <c r="D8" s="124"/>
      <c r="E8" s="124"/>
      <c r="F8" s="124"/>
      <c r="G8" s="124"/>
      <c r="H8" s="124"/>
      <c r="I8" s="124"/>
      <c r="J8" s="124"/>
      <c r="K8" s="124">
        <v>40.9</v>
      </c>
      <c r="L8" s="124"/>
      <c r="M8" s="120">
        <v>772</v>
      </c>
    </row>
    <row r="9" spans="1:27" x14ac:dyDescent="0.25">
      <c r="A9" s="124"/>
      <c r="B9" s="124"/>
      <c r="C9" s="124"/>
      <c r="D9" s="124"/>
      <c r="E9" s="124"/>
      <c r="F9" s="124"/>
    </row>
    <row r="10" spans="1:27" x14ac:dyDescent="0.25">
      <c r="A10" s="125"/>
      <c r="B10" s="125"/>
      <c r="C10" s="125"/>
      <c r="D10" s="125"/>
      <c r="E10" s="125"/>
      <c r="F10" s="125"/>
      <c r="G10" s="122"/>
      <c r="H10" s="122"/>
    </row>
    <row r="11" spans="1:27" x14ac:dyDescent="0.25">
      <c r="A11" s="125" t="s">
        <v>344</v>
      </c>
      <c r="B11" s="130" t="s">
        <v>341</v>
      </c>
      <c r="C11" s="130" t="s">
        <v>342</v>
      </c>
      <c r="D11" s="130" t="s">
        <v>145</v>
      </c>
      <c r="E11" s="125"/>
      <c r="F11" s="125"/>
      <c r="G11" s="122"/>
      <c r="L11" s="121"/>
    </row>
    <row r="12" spans="1:27" x14ac:dyDescent="0.25">
      <c r="A12" s="153" t="s">
        <v>115</v>
      </c>
      <c r="B12" s="125">
        <v>46.3</v>
      </c>
      <c r="C12" s="125">
        <v>40</v>
      </c>
      <c r="D12" s="125">
        <v>82</v>
      </c>
      <c r="E12" s="125"/>
      <c r="F12" s="125"/>
      <c r="G12" s="122"/>
    </row>
    <row r="13" spans="1:27" x14ac:dyDescent="0.25">
      <c r="A13" s="153" t="s">
        <v>116</v>
      </c>
      <c r="B13" s="125">
        <v>40.200000000000003</v>
      </c>
      <c r="C13" s="125">
        <v>37.9</v>
      </c>
      <c r="D13" s="125">
        <v>89</v>
      </c>
      <c r="E13" s="125"/>
      <c r="F13" s="125"/>
      <c r="G13" s="122"/>
    </row>
    <row r="14" spans="1:27" x14ac:dyDescent="0.25">
      <c r="A14" s="153" t="s">
        <v>117</v>
      </c>
      <c r="B14" s="125">
        <v>50</v>
      </c>
      <c r="C14" s="125">
        <v>47.4</v>
      </c>
      <c r="D14" s="125">
        <v>135</v>
      </c>
      <c r="E14" s="125"/>
      <c r="F14" s="125"/>
    </row>
    <row r="15" spans="1:27" x14ac:dyDescent="0.25">
      <c r="A15" s="153" t="s">
        <v>118</v>
      </c>
      <c r="B15" s="125">
        <v>44.8</v>
      </c>
      <c r="C15" s="125">
        <v>36.299999999999997</v>
      </c>
      <c r="D15" s="125">
        <v>175</v>
      </c>
      <c r="E15" s="125"/>
      <c r="F15" s="125"/>
    </row>
    <row r="16" spans="1:27" x14ac:dyDescent="0.25">
      <c r="A16" s="153" t="s">
        <v>119</v>
      </c>
      <c r="B16" s="124">
        <v>36.700000000000003</v>
      </c>
      <c r="C16" s="124">
        <v>30.4</v>
      </c>
      <c r="D16" s="124">
        <v>140</v>
      </c>
      <c r="E16" s="124"/>
      <c r="F16" s="124"/>
    </row>
    <row r="17" spans="1:7" x14ac:dyDescent="0.25">
      <c r="A17" s="153" t="s">
        <v>120</v>
      </c>
      <c r="B17" s="1">
        <v>58.3</v>
      </c>
      <c r="C17" s="1">
        <v>51.5</v>
      </c>
      <c r="D17" s="1">
        <v>164</v>
      </c>
      <c r="E17" s="121"/>
      <c r="F17" s="121"/>
      <c r="G17" s="1"/>
    </row>
    <row r="19" spans="1:7" x14ac:dyDescent="0.25">
      <c r="A19" s="122" t="s">
        <v>344</v>
      </c>
      <c r="B19" s="121" t="s">
        <v>341</v>
      </c>
      <c r="C19" s="121" t="s">
        <v>342</v>
      </c>
      <c r="D19" s="121" t="s">
        <v>145</v>
      </c>
      <c r="E19" s="121"/>
      <c r="F19" s="121"/>
      <c r="G19" s="1"/>
    </row>
    <row r="20" spans="1:7" x14ac:dyDescent="0.25">
      <c r="A20" s="122" t="s">
        <v>43</v>
      </c>
      <c r="B20" s="120">
        <v>20</v>
      </c>
      <c r="C20" s="120">
        <v>0</v>
      </c>
      <c r="D20" s="120">
        <v>10</v>
      </c>
    </row>
    <row r="21" spans="1:7" x14ac:dyDescent="0.25">
      <c r="A21" s="122" t="s">
        <v>44</v>
      </c>
      <c r="B21" s="120">
        <v>52.9</v>
      </c>
      <c r="C21" s="120">
        <v>47.1</v>
      </c>
      <c r="D21" s="120">
        <v>34</v>
      </c>
    </row>
    <row r="22" spans="1:7" x14ac:dyDescent="0.25">
      <c r="A22" s="120" t="s">
        <v>45</v>
      </c>
      <c r="B22" s="120">
        <v>70</v>
      </c>
      <c r="C22" s="120">
        <v>70</v>
      </c>
      <c r="D22" s="120">
        <v>20</v>
      </c>
    </row>
    <row r="23" spans="1:7" x14ac:dyDescent="0.25">
      <c r="A23" s="120" t="s">
        <v>2</v>
      </c>
      <c r="B23" s="120">
        <v>71.400000000000006</v>
      </c>
      <c r="C23" s="120">
        <v>33.299999999999997</v>
      </c>
      <c r="D23" s="120">
        <v>7</v>
      </c>
    </row>
    <row r="24" spans="1:7" x14ac:dyDescent="0.25">
      <c r="A24" s="120" t="s">
        <v>3</v>
      </c>
      <c r="B24" s="120">
        <v>56.1</v>
      </c>
      <c r="C24" s="120">
        <v>43.9</v>
      </c>
      <c r="D24" s="120">
        <v>59</v>
      </c>
    </row>
    <row r="25" spans="1:7" x14ac:dyDescent="0.25">
      <c r="A25" s="1" t="s">
        <v>4</v>
      </c>
      <c r="B25" s="1">
        <v>50</v>
      </c>
      <c r="C25" s="1">
        <v>50</v>
      </c>
      <c r="D25" s="1">
        <v>13</v>
      </c>
    </row>
    <row r="26" spans="1:7" x14ac:dyDescent="0.25">
      <c r="A26" s="120" t="s">
        <v>47</v>
      </c>
      <c r="B26" s="120">
        <v>50</v>
      </c>
      <c r="C26" s="120">
        <v>43.8</v>
      </c>
      <c r="D26" s="120">
        <v>16</v>
      </c>
    </row>
    <row r="27" spans="1:7" x14ac:dyDescent="0.25">
      <c r="A27" s="1" t="s">
        <v>5</v>
      </c>
      <c r="B27" s="1">
        <v>54.5</v>
      </c>
      <c r="C27" s="1">
        <v>54.5</v>
      </c>
      <c r="D27" s="1">
        <v>22</v>
      </c>
    </row>
    <row r="28" spans="1:7" x14ac:dyDescent="0.25">
      <c r="A28" s="120" t="s">
        <v>49</v>
      </c>
      <c r="B28" s="120">
        <v>50</v>
      </c>
      <c r="C28" s="120">
        <v>60</v>
      </c>
      <c r="D28" s="120">
        <v>10</v>
      </c>
    </row>
    <row r="29" spans="1:7" x14ac:dyDescent="0.25">
      <c r="A29" s="120" t="s">
        <v>50</v>
      </c>
      <c r="B29" s="120">
        <v>66.7</v>
      </c>
      <c r="C29" s="120">
        <v>85.7</v>
      </c>
      <c r="D29" s="120">
        <v>15</v>
      </c>
    </row>
    <row r="30" spans="1:7" x14ac:dyDescent="0.25">
      <c r="A30" s="120" t="s">
        <v>22</v>
      </c>
      <c r="B30" s="120">
        <v>16.7</v>
      </c>
      <c r="C30" s="120">
        <v>16.7</v>
      </c>
      <c r="D30" s="120">
        <v>19</v>
      </c>
    </row>
    <row r="31" spans="1:7" x14ac:dyDescent="0.25">
      <c r="A31" s="120" t="s">
        <v>51</v>
      </c>
      <c r="B31" s="120">
        <v>0</v>
      </c>
      <c r="C31" s="120">
        <v>33.299999999999997</v>
      </c>
      <c r="D31" s="120">
        <v>9</v>
      </c>
    </row>
    <row r="32" spans="1:7" x14ac:dyDescent="0.25">
      <c r="A32" s="120" t="s">
        <v>71</v>
      </c>
      <c r="B32" s="120">
        <v>31.8</v>
      </c>
      <c r="C32" s="120">
        <v>18.2</v>
      </c>
      <c r="D32" s="120">
        <v>22</v>
      </c>
    </row>
    <row r="33" spans="1:4" x14ac:dyDescent="0.25">
      <c r="A33" s="120" t="s">
        <v>6</v>
      </c>
      <c r="B33" s="120">
        <v>10.5</v>
      </c>
      <c r="C33" s="120">
        <v>10.5</v>
      </c>
      <c r="D33" s="120">
        <v>19</v>
      </c>
    </row>
    <row r="34" spans="1:4" x14ac:dyDescent="0.25">
      <c r="A34" s="120" t="s">
        <v>72</v>
      </c>
      <c r="B34" s="120">
        <v>14.3</v>
      </c>
      <c r="C34" s="120">
        <v>10.3</v>
      </c>
      <c r="D34" s="120">
        <v>31</v>
      </c>
    </row>
    <row r="35" spans="1:4" x14ac:dyDescent="0.25">
      <c r="A35" s="120" t="s">
        <v>7</v>
      </c>
      <c r="B35" s="120">
        <v>68.2</v>
      </c>
      <c r="C35" s="120">
        <v>50</v>
      </c>
      <c r="D35" s="120">
        <v>22</v>
      </c>
    </row>
    <row r="36" spans="1:4" x14ac:dyDescent="0.25">
      <c r="A36" s="120" t="s">
        <v>8</v>
      </c>
      <c r="B36" s="120">
        <v>81</v>
      </c>
      <c r="C36" s="120">
        <v>71.400000000000006</v>
      </c>
      <c r="D36" s="120">
        <v>21</v>
      </c>
    </row>
    <row r="37" spans="1:4" x14ac:dyDescent="0.25">
      <c r="A37" s="120" t="s">
        <v>9</v>
      </c>
      <c r="B37" s="120">
        <v>70</v>
      </c>
      <c r="C37" s="120">
        <v>65.5</v>
      </c>
      <c r="D37" s="120">
        <v>30</v>
      </c>
    </row>
    <row r="38" spans="1:4" x14ac:dyDescent="0.25">
      <c r="A38" s="120" t="s">
        <v>55</v>
      </c>
      <c r="B38" s="120">
        <v>66.7</v>
      </c>
      <c r="C38" s="120">
        <v>71.400000000000006</v>
      </c>
      <c r="D38" s="120">
        <v>21</v>
      </c>
    </row>
    <row r="39" spans="1:4" x14ac:dyDescent="0.25">
      <c r="A39" s="120" t="s">
        <v>73</v>
      </c>
      <c r="B39" s="120">
        <v>25</v>
      </c>
      <c r="C39" s="120">
        <v>25</v>
      </c>
      <c r="D39" s="120">
        <v>28</v>
      </c>
    </row>
    <row r="40" spans="1:4" x14ac:dyDescent="0.25">
      <c r="A40" s="120" t="s">
        <v>10</v>
      </c>
      <c r="B40" s="120">
        <v>36.4</v>
      </c>
      <c r="C40" s="120">
        <v>27.3</v>
      </c>
      <c r="D40" s="120">
        <v>11</v>
      </c>
    </row>
    <row r="41" spans="1:4" x14ac:dyDescent="0.25">
      <c r="A41" s="120" t="s">
        <v>57</v>
      </c>
      <c r="B41" s="120">
        <v>55.6</v>
      </c>
      <c r="C41" s="120">
        <v>44.4</v>
      </c>
      <c r="D41" s="120">
        <v>9</v>
      </c>
    </row>
    <row r="42" spans="1:4" x14ac:dyDescent="0.25">
      <c r="A42" s="120" t="s">
        <v>11</v>
      </c>
      <c r="B42" s="120">
        <v>41.4</v>
      </c>
      <c r="C42" s="120">
        <v>31</v>
      </c>
      <c r="D42" s="120">
        <v>29</v>
      </c>
    </row>
    <row r="43" spans="1:4" x14ac:dyDescent="0.25">
      <c r="A43" s="120" t="s">
        <v>59</v>
      </c>
      <c r="B43" s="120">
        <v>62.5</v>
      </c>
      <c r="C43" s="120">
        <v>37.5</v>
      </c>
      <c r="D43" s="120">
        <v>8</v>
      </c>
    </row>
    <row r="44" spans="1:4" x14ac:dyDescent="0.25">
      <c r="A44" s="120" t="s">
        <v>60</v>
      </c>
      <c r="B44" s="120">
        <v>30</v>
      </c>
      <c r="C44" s="120">
        <v>10</v>
      </c>
      <c r="D44" s="120">
        <v>11</v>
      </c>
    </row>
    <row r="45" spans="1:4" x14ac:dyDescent="0.25">
      <c r="A45" s="120" t="s">
        <v>61</v>
      </c>
      <c r="B45" s="120">
        <v>23.1</v>
      </c>
      <c r="C45" s="120">
        <v>15.4</v>
      </c>
      <c r="D45" s="120">
        <v>13</v>
      </c>
    </row>
    <row r="46" spans="1:4" x14ac:dyDescent="0.25">
      <c r="A46" s="120" t="s">
        <v>12</v>
      </c>
      <c r="B46" s="120">
        <v>42.9</v>
      </c>
      <c r="C46" s="120">
        <v>42.9</v>
      </c>
      <c r="D46" s="120">
        <v>7</v>
      </c>
    </row>
    <row r="47" spans="1:4" x14ac:dyDescent="0.25">
      <c r="A47" s="120" t="s">
        <v>23</v>
      </c>
      <c r="B47" s="120">
        <v>15.4</v>
      </c>
      <c r="C47" s="120">
        <v>11.5</v>
      </c>
      <c r="D47" s="120">
        <v>27</v>
      </c>
    </row>
    <row r="48" spans="1:4" x14ac:dyDescent="0.25">
      <c r="A48" s="120" t="s">
        <v>63</v>
      </c>
      <c r="B48" s="120">
        <v>41.7</v>
      </c>
      <c r="C48" s="120">
        <v>33.299999999999997</v>
      </c>
      <c r="D48" s="120">
        <v>12</v>
      </c>
    </row>
    <row r="49" spans="1:4" x14ac:dyDescent="0.25">
      <c r="A49" s="120" t="s">
        <v>64</v>
      </c>
      <c r="B49" s="120">
        <v>46.7</v>
      </c>
      <c r="C49" s="120">
        <v>60</v>
      </c>
      <c r="D49" s="120">
        <v>15</v>
      </c>
    </row>
    <row r="50" spans="1:4" x14ac:dyDescent="0.25">
      <c r="A50" s="120" t="s">
        <v>13</v>
      </c>
      <c r="B50" s="120">
        <v>20.8</v>
      </c>
      <c r="C50" s="120">
        <v>13</v>
      </c>
      <c r="D50" s="120">
        <v>24</v>
      </c>
    </row>
    <row r="51" spans="1:4" x14ac:dyDescent="0.25">
      <c r="A51" s="120" t="s">
        <v>14</v>
      </c>
      <c r="B51" s="120">
        <v>86.4</v>
      </c>
      <c r="C51" s="120">
        <v>81.8</v>
      </c>
      <c r="D51" s="120">
        <v>22</v>
      </c>
    </row>
    <row r="52" spans="1:4" x14ac:dyDescent="0.25">
      <c r="A52" s="120" t="s">
        <v>66</v>
      </c>
      <c r="B52" s="120">
        <v>50</v>
      </c>
      <c r="C52" s="120">
        <v>30</v>
      </c>
      <c r="D52" s="120">
        <v>10</v>
      </c>
    </row>
    <row r="53" spans="1:4" x14ac:dyDescent="0.25">
      <c r="A53" s="120" t="s">
        <v>67</v>
      </c>
      <c r="B53" s="120">
        <v>50</v>
      </c>
      <c r="C53" s="120">
        <v>42.9</v>
      </c>
      <c r="D53" s="120">
        <v>14</v>
      </c>
    </row>
    <row r="54" spans="1:4" x14ac:dyDescent="0.25">
      <c r="A54" s="120" t="s">
        <v>68</v>
      </c>
      <c r="B54" s="120">
        <v>32</v>
      </c>
      <c r="C54" s="120">
        <v>28</v>
      </c>
      <c r="D54" s="120">
        <v>25</v>
      </c>
    </row>
    <row r="55" spans="1:4" x14ac:dyDescent="0.25">
      <c r="A55" s="120" t="s">
        <v>15</v>
      </c>
      <c r="B55" s="120">
        <v>46.7</v>
      </c>
      <c r="C55" s="120">
        <v>46.7</v>
      </c>
      <c r="D55" s="120">
        <v>15</v>
      </c>
    </row>
    <row r="56" spans="1:4" x14ac:dyDescent="0.25">
      <c r="A56" s="120" t="s">
        <v>16</v>
      </c>
      <c r="B56" s="120">
        <v>40</v>
      </c>
      <c r="C56" s="120">
        <v>25.7</v>
      </c>
      <c r="D56" s="120">
        <v>35</v>
      </c>
    </row>
    <row r="57" spans="1:4" x14ac:dyDescent="0.25">
      <c r="A57" s="120" t="s">
        <v>70</v>
      </c>
      <c r="B57" s="120">
        <v>79.599999999999994</v>
      </c>
      <c r="C57" s="120">
        <v>69.400000000000006</v>
      </c>
      <c r="D57" s="120">
        <v>50</v>
      </c>
    </row>
    <row r="58" spans="1:4" x14ac:dyDescent="0.25">
      <c r="A58" s="120" t="s">
        <v>17</v>
      </c>
      <c r="B58" s="120">
        <v>25</v>
      </c>
      <c r="C58" s="120">
        <v>25</v>
      </c>
      <c r="D58" s="120">
        <v>4</v>
      </c>
    </row>
    <row r="59" spans="1:4" x14ac:dyDescent="0.25">
      <c r="A59" s="120" t="s">
        <v>24</v>
      </c>
      <c r="B59" s="120">
        <v>25</v>
      </c>
      <c r="C59" s="120">
        <v>31.3</v>
      </c>
      <c r="D59" s="120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3"/>
  <sheetViews>
    <sheetView topLeftCell="A89" workbookViewId="0">
      <selection activeCell="D117" sqref="D117"/>
    </sheetView>
  </sheetViews>
  <sheetFormatPr defaultColWidth="8.78515625" defaultRowHeight="12.5" x14ac:dyDescent="0.25"/>
  <cols>
    <col min="1" max="2" width="8.78515625" style="23"/>
    <col min="3" max="3" width="8.78515625" style="23" customWidth="1"/>
    <col min="4" max="4" width="9.78515625" style="23" bestFit="1" customWidth="1"/>
    <col min="5" max="7" width="8.78515625" style="23"/>
    <col min="8" max="8" width="9.640625" style="23" bestFit="1" customWidth="1"/>
    <col min="9" max="12" width="9.640625" style="23" customWidth="1"/>
    <col min="13" max="16384" width="8.78515625" style="23"/>
  </cols>
  <sheetData>
    <row r="1" spans="1:8" x14ac:dyDescent="0.25">
      <c r="A1" s="135"/>
      <c r="B1" s="147" t="str">
        <f>IF(D1&gt;100000,"yli 100000",IF(D1&gt;50000,"50001-100000",IF(D1&gt;20000,"20001-50000", IF(D1&gt;10000,"10001-20000",IF(D1&gt;4999,"5000-10000","alle 5000")))))</f>
        <v>alle 5000</v>
      </c>
      <c r="C1" s="135" t="str">
        <f>IF(D1&gt;100000,"Yli 100000 as. kunnat",IF(D1&gt;50000,"50001-100000 as. kunnat",IF(D1&gt;20000,"20001-50000 as. kunnat", IF(D1&gt;10000,"10001-20000 as. kunnat",IF(D1&gt;4999,"5000-10000 as. kunnat","alle 5000 as. kunnat")))))</f>
        <v>alle 5000 as. kunnat</v>
      </c>
      <c r="D1" s="135">
        <f>VLOOKUP(Etusivu!$B$9,asukasluku,7,FALSE)</f>
        <v>2346</v>
      </c>
      <c r="E1" s="135"/>
      <c r="F1" s="23" t="s">
        <v>452</v>
      </c>
      <c r="G1" s="23" t="s">
        <v>453</v>
      </c>
      <c r="H1" s="166" t="s">
        <v>454</v>
      </c>
    </row>
    <row r="2" spans="1:8" x14ac:dyDescent="0.25">
      <c r="A2" s="137" t="s">
        <v>456</v>
      </c>
      <c r="B2" s="147"/>
      <c r="C2" s="135"/>
      <c r="D2" s="135"/>
      <c r="E2" s="135"/>
    </row>
    <row r="3" spans="1:8" x14ac:dyDescent="0.25">
      <c r="B3" s="135" t="s">
        <v>457</v>
      </c>
      <c r="C3" s="135" t="str">
        <f>$C$1</f>
        <v>alle 5000 as. kunnat</v>
      </c>
      <c r="D3" s="149" t="str">
        <f>Etusivu!$B$9</f>
        <v>Keitele</v>
      </c>
      <c r="E3" s="135" t="s">
        <v>145</v>
      </c>
      <c r="F3" s="23" t="str">
        <f>A2&amp;" "&amp;E5</f>
        <v>10. Aiotko asettua ehdolle kevään 2017 kuntavaaleissa? (N=15)</v>
      </c>
    </row>
    <row r="4" spans="1:8" x14ac:dyDescent="0.25">
      <c r="A4" s="135" t="s">
        <v>421</v>
      </c>
      <c r="B4" s="173">
        <f>'Kysymys 10'!D7</f>
        <v>73.5</v>
      </c>
      <c r="C4" s="132">
        <f>VLOOKUP(AN_koko,TN_k10_ryhmat[],2,)</f>
        <v>63</v>
      </c>
      <c r="D4" s="132">
        <f>VLOOKUP(Etusivu!$B$9,TN_k10_kunta[],2,FALSE)</f>
        <v>73.3</v>
      </c>
      <c r="E4" s="135">
        <f>VLOOKUP(Etusivu!$B$9,TN_k10_kunta[],5,FALSE)</f>
        <v>15</v>
      </c>
    </row>
    <row r="5" spans="1:8" x14ac:dyDescent="0.25">
      <c r="A5" s="135" t="s">
        <v>422</v>
      </c>
      <c r="B5" s="173">
        <f>'Kysymys 10'!D8</f>
        <v>21.4</v>
      </c>
      <c r="C5" s="132">
        <f>VLOOKUP(AN_koko,TN_k10_ryhmat[],3,)</f>
        <v>30.9</v>
      </c>
      <c r="D5" s="132">
        <f>VLOOKUP(Etusivu!$B$9,TN_k10_kunta[],3,FALSE)</f>
        <v>20</v>
      </c>
      <c r="E5" s="135" t="str">
        <f>$F$1&amp;""&amp;E3&amp;$H$1&amp;E4&amp;""&amp;$G$1</f>
        <v>(N=15)</v>
      </c>
    </row>
    <row r="6" spans="1:8" x14ac:dyDescent="0.25">
      <c r="A6" s="135" t="s">
        <v>423</v>
      </c>
      <c r="B6" s="173">
        <f>'Kysymys 10'!D9</f>
        <v>5.2</v>
      </c>
      <c r="C6" s="132">
        <f>VLOOKUP(AN_koko,TN_k10_ryhmat[],4,)</f>
        <v>6.1</v>
      </c>
      <c r="D6" s="132">
        <f>VLOOKUP(Etusivu!$B$9,TN_k10_kunta[],4,FALSE)</f>
        <v>6.7</v>
      </c>
      <c r="E6" s="167" t="s">
        <v>455</v>
      </c>
    </row>
    <row r="7" spans="1:8" x14ac:dyDescent="0.25">
      <c r="A7" s="137" t="s">
        <v>418</v>
      </c>
      <c r="B7" s="173"/>
      <c r="C7" s="132"/>
      <c r="D7" s="132"/>
      <c r="E7" s="135"/>
    </row>
    <row r="8" spans="1:8" x14ac:dyDescent="0.25">
      <c r="A8" s="135"/>
      <c r="B8" s="173" t="str">
        <f>$B$3</f>
        <v>Kaikki ARTTU2-kunnat</v>
      </c>
      <c r="C8" s="132" t="str">
        <f>$C$3</f>
        <v>alle 5000 as. kunnat</v>
      </c>
      <c r="D8" s="132" t="str">
        <f>$D$3</f>
        <v>Keitele</v>
      </c>
      <c r="E8" s="135" t="str">
        <f>E3</f>
        <v>N</v>
      </c>
      <c r="F8" s="23" t="str">
        <f>A7&amp;" "&amp;E10</f>
        <v>11. Aiotko asettua ehdolle tammikuun 2018 maakuntavaaleissa, jos sote- ja maakuntauudistus toteutuu pääministeri Sipilän hallituksen suunnitelmien mukaan? (N=15)</v>
      </c>
    </row>
    <row r="9" spans="1:8" x14ac:dyDescent="0.25">
      <c r="A9" s="135" t="s">
        <v>421</v>
      </c>
      <c r="B9" s="173">
        <f>'Kysymys 11'!D7</f>
        <v>14.7</v>
      </c>
      <c r="C9" s="132">
        <f>VLOOKUP(AN_koko,TN_k11_ryhmat[],2,)</f>
        <v>11</v>
      </c>
      <c r="D9" s="132">
        <f>VLOOKUP(Etusivu!$B$9,TN_k11_kunnat[],2,FALSE)</f>
        <v>13.3</v>
      </c>
      <c r="E9" s="135">
        <f>VLOOKUP(Etusivu!$B$9,TN_k11_kunnat[],5,FALSE)</f>
        <v>15</v>
      </c>
    </row>
    <row r="10" spans="1:8" x14ac:dyDescent="0.25">
      <c r="A10" s="135" t="s">
        <v>422</v>
      </c>
      <c r="B10" s="173">
        <f>'Kysymys 11'!D8</f>
        <v>35.6</v>
      </c>
      <c r="C10" s="132">
        <f>VLOOKUP(AN_koko,TN_k11_ryhmat[],3,)</f>
        <v>45.1</v>
      </c>
      <c r="D10" s="132">
        <f>VLOOKUP(Etusivu!$B$9,TN_k11_kunnat[],3,FALSE)</f>
        <v>53.3</v>
      </c>
      <c r="E10" s="135" t="str">
        <f>$F$1&amp;""&amp;E8&amp;$H$1&amp;E9&amp;""&amp;$G$1</f>
        <v>(N=15)</v>
      </c>
    </row>
    <row r="11" spans="1:8" x14ac:dyDescent="0.25">
      <c r="A11" s="135" t="s">
        <v>423</v>
      </c>
      <c r="B11" s="173">
        <f>'Kysymys 11'!D9</f>
        <v>49.7</v>
      </c>
      <c r="C11" s="132">
        <f>VLOOKUP(AN_koko,TN_k11_ryhmat[],4,)</f>
        <v>43.9</v>
      </c>
      <c r="D11" s="132">
        <f>VLOOKUP(Etusivu!$B$9,TN_k11_kunnat[],4,FALSE)</f>
        <v>33.299999999999997</v>
      </c>
      <c r="E11" s="135"/>
    </row>
    <row r="12" spans="1:8" x14ac:dyDescent="0.25">
      <c r="A12" s="137" t="s">
        <v>419</v>
      </c>
      <c r="B12" s="173"/>
      <c r="C12" s="132"/>
      <c r="D12" s="132"/>
      <c r="E12" s="135"/>
    </row>
    <row r="13" spans="1:8" x14ac:dyDescent="0.25">
      <c r="A13" s="135"/>
      <c r="B13" s="173" t="str">
        <f>$B$3</f>
        <v>Kaikki ARTTU2-kunnat</v>
      </c>
      <c r="C13" s="132" t="str">
        <f>$C$3</f>
        <v>alle 5000 as. kunnat</v>
      </c>
      <c r="D13" s="132" t="str">
        <f>$D$3</f>
        <v>Keitele</v>
      </c>
      <c r="E13" s="135" t="s">
        <v>145</v>
      </c>
      <c r="F13" s="23" t="str">
        <f>A12&amp;" "&amp;E15</f>
        <v>12. Kun ajattelet tilannetta omassa kunnassasi tällä hetkellä, miten arvioit seuraavien asioiden vaikuttavan ihmisten halukkuuteen asettua ehdolle vuoden 2017 kuntavaaleissa? (N=15)</v>
      </c>
    </row>
    <row r="14" spans="1:8" x14ac:dyDescent="0.25">
      <c r="A14" s="147" t="s">
        <v>174</v>
      </c>
      <c r="B14" s="64">
        <f>'Kysymys 12'!G9</f>
        <v>36.1</v>
      </c>
      <c r="C14" s="132">
        <f>VLOOKUP(AN_koko,TN_k12_ryhmat[],2)</f>
        <v>51.1</v>
      </c>
      <c r="D14" s="132">
        <f>VLOOKUP(Etusivu!$B$9,TN_k12_kunnat[],2,FALSE)</f>
        <v>6.7</v>
      </c>
      <c r="E14" s="135">
        <f>VLOOKUP(Etusivu!$B$9,TN_k12_kunnat[],10,FALSE)</f>
        <v>15</v>
      </c>
    </row>
    <row r="15" spans="1:8" x14ac:dyDescent="0.25">
      <c r="A15" s="147" t="s">
        <v>175</v>
      </c>
      <c r="B15" s="64">
        <f>'Kysymys 12'!G10</f>
        <v>57.5</v>
      </c>
      <c r="C15" s="132">
        <f>VLOOKUP(AN_koko,TN_k12_ryhmat[],3)</f>
        <v>53.2</v>
      </c>
      <c r="D15" s="132">
        <f>VLOOKUP(Etusivu!$B$9,TN_k12_kunnat[],3,FALSE)</f>
        <v>73.3</v>
      </c>
      <c r="E15" s="135" t="str">
        <f>$F$1&amp;""&amp;E13&amp;$H$1&amp;E14&amp;""&amp;$G$1</f>
        <v>(N=15)</v>
      </c>
    </row>
    <row r="16" spans="1:8" x14ac:dyDescent="0.25">
      <c r="A16" s="147" t="s">
        <v>420</v>
      </c>
      <c r="B16" s="64">
        <f>'Kysymys 12'!G11</f>
        <v>45.8</v>
      </c>
      <c r="C16" s="132">
        <f>VLOOKUP(AN_koko,TN_k12_ryhmat[],4)</f>
        <v>55</v>
      </c>
      <c r="D16" s="132">
        <f>VLOOKUP(Etusivu!$B$9,TN_k12_kunnat[],4,FALSE)</f>
        <v>13.3</v>
      </c>
      <c r="E16" s="135"/>
    </row>
    <row r="17" spans="1:24" x14ac:dyDescent="0.25">
      <c r="A17" s="147" t="s">
        <v>177</v>
      </c>
      <c r="B17" s="64">
        <f>'Kysymys 12'!G12</f>
        <v>74.5</v>
      </c>
      <c r="C17" s="132">
        <f>VLOOKUP(AN_koko,TN_k12_ryhmat[],5)</f>
        <v>74.099999999999994</v>
      </c>
      <c r="D17" s="132">
        <f>VLOOKUP(Etusivu!$B$9,TN_k12_kunnat[],5,FALSE)</f>
        <v>73.3</v>
      </c>
      <c r="E17" s="135"/>
    </row>
    <row r="18" spans="1:24" x14ac:dyDescent="0.25">
      <c r="A18" s="147" t="s">
        <v>449</v>
      </c>
      <c r="B18" s="64">
        <f>'Kysymys 12'!G13</f>
        <v>7.6</v>
      </c>
      <c r="C18" s="132">
        <f>VLOOKUP(AN_koko,TN_k12_ryhmat[],6)</f>
        <v>7.2</v>
      </c>
      <c r="D18" s="132">
        <f>VLOOKUP(Etusivu!$B$9,TN_k12_kunnat[],6,FALSE)</f>
        <v>0</v>
      </c>
      <c r="E18" s="135"/>
    </row>
    <row r="19" spans="1:24" x14ac:dyDescent="0.25">
      <c r="A19" s="147" t="s">
        <v>179</v>
      </c>
      <c r="B19" s="64">
        <f>'Kysymys 12'!G14</f>
        <v>25.2</v>
      </c>
      <c r="C19" s="132">
        <f>VLOOKUP(AN_koko,TN_k12_ryhmat[],7)</f>
        <v>27.9</v>
      </c>
      <c r="D19" s="132">
        <f>VLOOKUP(Etusivu!$B$9,TN_k12_kunnat[],7,FALSE)</f>
        <v>6.7</v>
      </c>
      <c r="E19" s="135"/>
    </row>
    <row r="20" spans="1:24" x14ac:dyDescent="0.25">
      <c r="A20" s="147" t="s">
        <v>180</v>
      </c>
      <c r="B20" s="64">
        <f>'Kysymys 12'!G15</f>
        <v>40.1</v>
      </c>
      <c r="C20" s="132">
        <f>VLOOKUP(AN_koko,TN_k12_ryhmat[],8)</f>
        <v>48.6</v>
      </c>
      <c r="D20" s="132">
        <f>VLOOKUP(Etusivu!$B$9,TN_k12_kunnat[],8,FALSE)</f>
        <v>6.7</v>
      </c>
      <c r="E20" s="135"/>
    </row>
    <row r="21" spans="1:24" x14ac:dyDescent="0.25">
      <c r="A21" s="147" t="s">
        <v>181</v>
      </c>
      <c r="B21" s="64">
        <f>'Kysymys 12'!G16</f>
        <v>21.2</v>
      </c>
      <c r="C21" s="132">
        <f>VLOOKUP(AN_koko,TN_k12_ryhmat[],9)</f>
        <v>33.6</v>
      </c>
      <c r="D21" s="132">
        <f>VLOOKUP(Etusivu!$B$9,TN_k12_kunnat[],9,FALSE)</f>
        <v>13.3</v>
      </c>
      <c r="E21" s="135"/>
    </row>
    <row r="22" spans="1:24" x14ac:dyDescent="0.25">
      <c r="A22" s="136" t="s">
        <v>450</v>
      </c>
      <c r="B22" s="174"/>
      <c r="C22" s="175"/>
      <c r="D22" s="176"/>
      <c r="E22" s="148"/>
      <c r="F22" s="57"/>
      <c r="G22" s="57"/>
      <c r="H22" s="37"/>
      <c r="I22" s="33"/>
      <c r="J22" s="57"/>
      <c r="K22" s="67"/>
      <c r="L22" s="67"/>
      <c r="M22" s="58"/>
      <c r="O22" s="19"/>
    </row>
    <row r="23" spans="1:24" ht="13" x14ac:dyDescent="0.3">
      <c r="A23" s="137"/>
      <c r="B23" s="173" t="str">
        <f>$B$3</f>
        <v>Kaikki ARTTU2-kunnat</v>
      </c>
      <c r="C23" s="132" t="str">
        <f>$C$3</f>
        <v>alle 5000 as. kunnat</v>
      </c>
      <c r="D23" s="132" t="str">
        <f>$D$3</f>
        <v>Keitele</v>
      </c>
      <c r="E23" s="135" t="s">
        <v>145</v>
      </c>
      <c r="F23" s="23" t="str">
        <f>A22&amp;" "&amp;E25</f>
        <v>13. Kuvittele tilanne, jossa kunnat kilpailevat keskenään siitä, missä kunnassa tai kaupungissa on ”hyvä asua ja elää”. Miten arvioisit nykyisen kotikuntasi sijoittuvan kilpailussa? (N=19)</v>
      </c>
      <c r="H23" s="18"/>
      <c r="I23" s="18"/>
      <c r="L23" s="18"/>
      <c r="M23" s="59"/>
      <c r="P23" s="18"/>
      <c r="Q23" s="59"/>
      <c r="T23" s="18"/>
      <c r="U23" s="59"/>
      <c r="X23" s="18"/>
    </row>
    <row r="24" spans="1:24" x14ac:dyDescent="0.25">
      <c r="A24" s="138" t="s">
        <v>363</v>
      </c>
      <c r="B24" s="132">
        <f>'Kysymys 13'!B16</f>
        <v>72.8</v>
      </c>
      <c r="C24" s="132">
        <f>VLOOKUP(AN_koko,TN_k13_ryhmat[],2)</f>
        <v>56.5</v>
      </c>
      <c r="D24" s="132">
        <f>VLOOKUP(Etusivu!$B$9,TN_k13_kunnat[],2,FALSE)</f>
        <v>73.7</v>
      </c>
      <c r="E24" s="68">
        <f>VLOOKUP(Etusivu!$B$9,TN_k13_kunnat[],3,FALSE)</f>
        <v>19</v>
      </c>
      <c r="F24" s="51"/>
      <c r="G24" s="51"/>
      <c r="H24" s="52"/>
      <c r="I24" s="68"/>
      <c r="J24" s="49"/>
      <c r="K24" s="49"/>
      <c r="L24" s="49"/>
      <c r="M24" s="68"/>
      <c r="N24" s="48"/>
      <c r="O24" s="49"/>
      <c r="P24" s="69"/>
      <c r="Q24" s="68"/>
      <c r="R24" s="19"/>
      <c r="S24" s="19"/>
      <c r="T24" s="19"/>
      <c r="U24" s="68"/>
      <c r="V24" s="18"/>
      <c r="W24" s="18"/>
      <c r="X24" s="18"/>
    </row>
    <row r="25" spans="1:24" x14ac:dyDescent="0.25">
      <c r="A25" s="136" t="s">
        <v>462</v>
      </c>
      <c r="B25" s="132"/>
      <c r="C25" s="132"/>
      <c r="D25" s="132"/>
      <c r="E25" s="135" t="str">
        <f>$F$1&amp;""&amp;E23&amp;$H$1&amp;E24&amp;""&amp;$G$1</f>
        <v>(N=19)</v>
      </c>
      <c r="F25" s="51"/>
      <c r="G25" s="51"/>
      <c r="H25" s="52"/>
      <c r="I25" s="68"/>
      <c r="J25" s="49"/>
      <c r="K25" s="49"/>
      <c r="L25" s="49"/>
      <c r="M25" s="68"/>
      <c r="N25" s="48"/>
      <c r="O25" s="49"/>
      <c r="P25" s="69"/>
      <c r="Q25" s="68"/>
      <c r="R25" s="19"/>
      <c r="S25" s="19"/>
      <c r="T25" s="19"/>
      <c r="U25" s="68"/>
      <c r="V25" s="18"/>
      <c r="W25" s="18"/>
      <c r="X25" s="18"/>
    </row>
    <row r="26" spans="1:24" x14ac:dyDescent="0.25">
      <c r="A26" s="85"/>
      <c r="B26" s="173" t="str">
        <f>$B$3</f>
        <v>Kaikki ARTTU2-kunnat</v>
      </c>
      <c r="C26" s="132" t="str">
        <f>$C$3</f>
        <v>alle 5000 as. kunnat</v>
      </c>
      <c r="D26" s="132" t="str">
        <f>$D$3</f>
        <v>Keitele</v>
      </c>
      <c r="E26" s="135" t="s">
        <v>145</v>
      </c>
      <c r="F26" s="23" t="str">
        <f>A25&amp;" "&amp;E28</f>
        <v>14. Mitkä ovat mielestäsi kolme tärkeintä asiaa hyvässä kotikunnassa/-kaupungissa? (N=19)</v>
      </c>
      <c r="G26" s="51"/>
      <c r="H26" s="52"/>
      <c r="I26" s="68"/>
      <c r="J26" s="49"/>
      <c r="K26" s="49"/>
      <c r="L26" s="49"/>
      <c r="M26" s="68"/>
      <c r="N26" s="48"/>
      <c r="O26" s="49"/>
      <c r="P26" s="69"/>
      <c r="Q26" s="68"/>
      <c r="R26" s="19"/>
      <c r="S26" s="19"/>
      <c r="T26" s="19"/>
      <c r="U26" s="68"/>
      <c r="V26" s="18"/>
      <c r="W26" s="18"/>
      <c r="X26" s="18"/>
    </row>
    <row r="27" spans="1:24" x14ac:dyDescent="0.25">
      <c r="A27" s="85" t="s">
        <v>364</v>
      </c>
      <c r="B27" s="132">
        <f>'Kysymys 14'!E6</f>
        <v>10.7</v>
      </c>
      <c r="C27" s="132">
        <f>VLOOKUP(AN_koko,TN_k14_ryhmat[],2)</f>
        <v>10.9</v>
      </c>
      <c r="D27" s="132">
        <f>VLOOKUP(Etusivu!$B$9,TN_k14_kunnat[],2,FALSE)</f>
        <v>10.5</v>
      </c>
      <c r="E27" s="68">
        <f>VLOOKUP(Etusivu!$B$9,TN_k14_kunnat[],12,FALSE)</f>
        <v>19</v>
      </c>
      <c r="F27" s="51"/>
      <c r="G27" s="51"/>
      <c r="H27" s="52"/>
      <c r="I27" s="68"/>
      <c r="J27" s="49"/>
      <c r="K27" s="49"/>
      <c r="L27" s="49"/>
      <c r="M27" s="68"/>
      <c r="N27" s="48"/>
      <c r="O27" s="49"/>
      <c r="P27" s="69"/>
      <c r="Q27" s="68"/>
      <c r="T27" s="18"/>
      <c r="U27" s="68"/>
      <c r="V27" s="18"/>
      <c r="W27" s="18"/>
      <c r="X27" s="18"/>
    </row>
    <row r="28" spans="1:24" x14ac:dyDescent="0.25">
      <c r="A28" s="85" t="s">
        <v>365</v>
      </c>
      <c r="B28" s="132">
        <f>'Kysymys 14'!E7</f>
        <v>66.099999999999994</v>
      </c>
      <c r="C28" s="132">
        <f>VLOOKUP(AN_koko,TN_k14_ryhmat[],3)</f>
        <v>61.7</v>
      </c>
      <c r="D28" s="132">
        <f>VLOOKUP(Etusivu!$B$9,TN_k14_kunnat[],3,FALSE)</f>
        <v>57.9</v>
      </c>
      <c r="E28" s="135" t="str">
        <f>$F$1&amp;""&amp;E26&amp;$H$1&amp;E27&amp;""&amp;$G$1</f>
        <v>(N=19)</v>
      </c>
      <c r="F28" s="51"/>
      <c r="G28" s="51"/>
      <c r="H28" s="52"/>
      <c r="I28" s="68"/>
      <c r="J28" s="49"/>
      <c r="K28" s="49"/>
      <c r="L28" s="49"/>
      <c r="M28" s="68"/>
      <c r="N28" s="48"/>
      <c r="O28" s="49"/>
      <c r="P28" s="69"/>
      <c r="Q28" s="68"/>
      <c r="R28" s="19"/>
      <c r="S28" s="19"/>
      <c r="T28" s="19"/>
      <c r="U28" s="68"/>
      <c r="V28" s="18"/>
      <c r="W28" s="18"/>
      <c r="X28" s="18"/>
    </row>
    <row r="29" spans="1:24" x14ac:dyDescent="0.25">
      <c r="A29" s="85" t="s">
        <v>458</v>
      </c>
      <c r="B29" s="132">
        <f>'Kysymys 14'!E8</f>
        <v>23.4</v>
      </c>
      <c r="C29" s="132">
        <f>VLOOKUP(AN_koko,TN_k14_ryhmat[],4)</f>
        <v>17.5</v>
      </c>
      <c r="D29" s="132">
        <f>VLOOKUP(Etusivu!$B$9,TN_k14_kunnat[],4,FALSE)</f>
        <v>31.6</v>
      </c>
      <c r="E29" s="68"/>
      <c r="F29" s="51"/>
      <c r="G29" s="51"/>
      <c r="H29" s="52"/>
      <c r="I29" s="68"/>
      <c r="J29" s="49"/>
      <c r="K29" s="49"/>
      <c r="L29" s="49"/>
      <c r="M29" s="68"/>
      <c r="N29" s="48"/>
      <c r="O29" s="49"/>
      <c r="P29" s="69"/>
      <c r="Q29" s="68"/>
      <c r="R29" s="19"/>
      <c r="S29" s="19"/>
      <c r="T29" s="19"/>
      <c r="U29" s="68"/>
      <c r="V29" s="18"/>
      <c r="W29" s="18"/>
      <c r="X29" s="18"/>
    </row>
    <row r="30" spans="1:24" x14ac:dyDescent="0.25">
      <c r="A30" s="86" t="s">
        <v>366</v>
      </c>
      <c r="B30" s="132">
        <f>'Kysymys 14'!E9</f>
        <v>28.8</v>
      </c>
      <c r="C30" s="132">
        <f>VLOOKUP(AN_koko,TN_k14_ryhmat[],5)</f>
        <v>25.1</v>
      </c>
      <c r="D30" s="132">
        <f>VLOOKUP(Etusivu!$B$9,TN_k14_kunnat[],5,FALSE)</f>
        <v>5.3</v>
      </c>
      <c r="E30" s="68"/>
      <c r="F30" s="51"/>
      <c r="G30" s="51"/>
      <c r="H30" s="52"/>
      <c r="I30" s="68"/>
      <c r="J30" s="49"/>
      <c r="K30" s="49"/>
      <c r="L30" s="49"/>
      <c r="M30" s="68"/>
      <c r="N30" s="48"/>
      <c r="O30" s="49"/>
      <c r="P30" s="69"/>
      <c r="Q30" s="68"/>
      <c r="R30" s="19"/>
      <c r="S30" s="19"/>
      <c r="T30" s="19"/>
      <c r="U30" s="68"/>
      <c r="V30" s="18"/>
      <c r="W30" s="18"/>
      <c r="X30" s="18"/>
    </row>
    <row r="31" spans="1:24" x14ac:dyDescent="0.25">
      <c r="A31" s="86" t="s">
        <v>367</v>
      </c>
      <c r="B31" s="132">
        <f>'Kysymys 14'!E10</f>
        <v>66.099999999999994</v>
      </c>
      <c r="C31" s="132">
        <f>VLOOKUP(AN_koko,TN_k14_ryhmat[],6)</f>
        <v>69.900000000000006</v>
      </c>
      <c r="D31" s="132">
        <f>VLOOKUP(Etusivu!$B$9,TN_k14_kunnat[],6,FALSE)</f>
        <v>52.6</v>
      </c>
      <c r="E31" s="68"/>
      <c r="F31" s="51"/>
      <c r="G31" s="51"/>
      <c r="H31" s="52"/>
      <c r="I31" s="68"/>
      <c r="J31" s="49"/>
      <c r="K31" s="49"/>
      <c r="L31" s="49"/>
      <c r="M31" s="68"/>
      <c r="N31" s="48"/>
      <c r="O31" s="49"/>
      <c r="P31" s="69"/>
      <c r="Q31" s="68"/>
      <c r="R31" s="19"/>
      <c r="S31" s="19"/>
      <c r="T31" s="19"/>
      <c r="U31" s="68"/>
      <c r="V31" s="18"/>
      <c r="W31" s="18"/>
      <c r="X31" s="18"/>
    </row>
    <row r="32" spans="1:24" x14ac:dyDescent="0.25">
      <c r="A32" s="86" t="s">
        <v>368</v>
      </c>
      <c r="B32" s="132">
        <f>'Kysymys 14'!E11</f>
        <v>21.9</v>
      </c>
      <c r="C32" s="132">
        <f>VLOOKUP(AN_koko,TN_k14_ryhmat[],7)</f>
        <v>23.5</v>
      </c>
      <c r="D32" s="132">
        <f>VLOOKUP(Etusivu!$B$9,TN_k14_kunnat[],7,FALSE)</f>
        <v>26.3</v>
      </c>
      <c r="E32" s="68"/>
      <c r="F32" s="51"/>
      <c r="G32" s="51"/>
      <c r="H32" s="52"/>
      <c r="I32" s="68"/>
      <c r="J32" s="49"/>
      <c r="K32" s="49"/>
      <c r="L32" s="49"/>
      <c r="M32" s="68"/>
      <c r="N32" s="48"/>
      <c r="O32" s="49"/>
      <c r="P32" s="69"/>
      <c r="Q32" s="68"/>
      <c r="R32" s="19"/>
      <c r="S32" s="19"/>
      <c r="T32" s="19"/>
      <c r="U32" s="68"/>
      <c r="V32" s="18"/>
      <c r="W32" s="18"/>
      <c r="X32" s="18"/>
    </row>
    <row r="33" spans="1:24" x14ac:dyDescent="0.25">
      <c r="A33" s="86" t="s">
        <v>369</v>
      </c>
      <c r="B33" s="132">
        <f>'Kysymys 14'!E12</f>
        <v>12.1</v>
      </c>
      <c r="C33" s="132">
        <f>VLOOKUP(AN_koko,TN_k14_ryhmat[],8)</f>
        <v>10.9</v>
      </c>
      <c r="D33" s="132">
        <f>VLOOKUP(Etusivu!$B$9,TN_k14_kunnat[],8,FALSE)</f>
        <v>26.3</v>
      </c>
      <c r="E33" s="68"/>
      <c r="F33" s="51"/>
      <c r="G33" s="51"/>
      <c r="H33" s="52"/>
      <c r="I33" s="68"/>
      <c r="J33" s="49"/>
      <c r="K33" s="49"/>
      <c r="L33" s="49"/>
      <c r="M33" s="68"/>
      <c r="N33" s="48"/>
      <c r="O33" s="49"/>
      <c r="P33" s="69"/>
      <c r="Q33" s="68"/>
      <c r="R33" s="19"/>
      <c r="S33" s="19"/>
      <c r="T33" s="19"/>
      <c r="U33" s="68"/>
      <c r="V33" s="18"/>
      <c r="W33" s="18"/>
      <c r="X33" s="18"/>
    </row>
    <row r="34" spans="1:24" x14ac:dyDescent="0.25">
      <c r="A34" s="86" t="s">
        <v>370</v>
      </c>
      <c r="B34" s="132">
        <f>'Kysymys 14'!E13</f>
        <v>30</v>
      </c>
      <c r="C34" s="132">
        <f>VLOOKUP(AN_koko,TN_k14_ryhmat[],9)</f>
        <v>23.5</v>
      </c>
      <c r="D34" s="132">
        <f>VLOOKUP(Etusivu!$B$9,TN_k14_kunnat[],9,FALSE)</f>
        <v>31.6</v>
      </c>
      <c r="E34" s="68"/>
      <c r="F34" s="51"/>
      <c r="G34" s="51"/>
      <c r="H34" s="52"/>
      <c r="I34" s="68"/>
      <c r="J34" s="49"/>
      <c r="K34" s="49"/>
      <c r="L34" s="49"/>
      <c r="M34" s="68"/>
      <c r="N34" s="48"/>
      <c r="O34" s="49"/>
      <c r="P34" s="69"/>
      <c r="Q34" s="68"/>
      <c r="R34" s="19"/>
      <c r="S34" s="19"/>
      <c r="T34" s="19"/>
      <c r="U34" s="68"/>
      <c r="V34" s="18"/>
      <c r="W34" s="18"/>
      <c r="X34" s="18"/>
    </row>
    <row r="35" spans="1:24" x14ac:dyDescent="0.25">
      <c r="A35" s="86" t="s">
        <v>371</v>
      </c>
      <c r="B35" s="132">
        <f>'Kysymys 14'!E14</f>
        <v>38</v>
      </c>
      <c r="C35" s="132">
        <f>VLOOKUP(AN_koko,TN_k14_ryhmat[],10)</f>
        <v>51.9</v>
      </c>
      <c r="D35" s="132">
        <f>VLOOKUP(Etusivu!$B$9,TN_k14_kunnat[],10,FALSE)</f>
        <v>57.9</v>
      </c>
      <c r="E35" s="68"/>
      <c r="F35" s="51"/>
      <c r="G35" s="51"/>
      <c r="H35" s="52"/>
      <c r="I35" s="68"/>
      <c r="J35" s="49"/>
      <c r="K35" s="49"/>
      <c r="L35" s="49"/>
      <c r="M35" s="68"/>
      <c r="N35" s="48"/>
      <c r="O35" s="49"/>
      <c r="P35" s="69"/>
      <c r="Q35" s="68"/>
      <c r="R35" s="19"/>
      <c r="S35" s="19"/>
      <c r="T35" s="19"/>
      <c r="U35" s="68"/>
      <c r="V35" s="18"/>
      <c r="W35" s="18"/>
      <c r="X35" s="18"/>
    </row>
    <row r="36" spans="1:24" x14ac:dyDescent="0.25">
      <c r="A36" s="86" t="s">
        <v>372</v>
      </c>
      <c r="B36" s="132">
        <f>'Kysymys 14'!E15</f>
        <v>3.5</v>
      </c>
      <c r="C36" s="132">
        <f>VLOOKUP(AN_koko,TN_k14_ryhmat[],11)</f>
        <v>3.3</v>
      </c>
      <c r="D36" s="132">
        <f>VLOOKUP(Etusivu!$B$9,TN_k14_kunnat[],11,FALSE)</f>
        <v>0</v>
      </c>
      <c r="E36" s="68"/>
      <c r="F36" s="51"/>
      <c r="G36" s="51"/>
      <c r="H36" s="52"/>
      <c r="I36" s="68"/>
      <c r="J36" s="49"/>
      <c r="K36" s="49"/>
      <c r="L36" s="49"/>
      <c r="M36" s="68"/>
      <c r="N36" s="48"/>
      <c r="O36" s="49"/>
      <c r="P36" s="69"/>
      <c r="Q36" s="68"/>
      <c r="R36" s="19"/>
      <c r="S36" s="19"/>
      <c r="T36" s="19"/>
      <c r="U36" s="68"/>
      <c r="V36" s="18"/>
      <c r="W36" s="18"/>
      <c r="X36" s="18"/>
    </row>
    <row r="37" spans="1:24" x14ac:dyDescent="0.25">
      <c r="A37" s="131" t="s">
        <v>373</v>
      </c>
      <c r="B37" s="132"/>
      <c r="C37" s="132"/>
      <c r="D37" s="132"/>
      <c r="E37" s="68"/>
      <c r="F37" s="51"/>
      <c r="G37" s="51"/>
      <c r="H37" s="52"/>
      <c r="I37" s="68"/>
      <c r="J37" s="49"/>
      <c r="K37" s="49"/>
      <c r="L37" s="49"/>
      <c r="M37" s="68"/>
      <c r="N37" s="48"/>
      <c r="O37" s="49"/>
      <c r="P37" s="69"/>
      <c r="Q37" s="68"/>
      <c r="R37" s="19"/>
      <c r="S37" s="19"/>
      <c r="T37" s="19"/>
      <c r="U37" s="68"/>
      <c r="V37" s="18"/>
      <c r="W37" s="18"/>
      <c r="X37" s="18"/>
    </row>
    <row r="38" spans="1:24" x14ac:dyDescent="0.25">
      <c r="A38" s="131"/>
      <c r="B38" s="173" t="str">
        <f>$B$3</f>
        <v>Kaikki ARTTU2-kunnat</v>
      </c>
      <c r="C38" s="132" t="str">
        <f>$C$3</f>
        <v>alle 5000 as. kunnat</v>
      </c>
      <c r="D38" s="132" t="str">
        <f>$D$3</f>
        <v>Keitele</v>
      </c>
      <c r="E38" s="135" t="s">
        <v>145</v>
      </c>
      <c r="F38" s="23" t="str">
        <f>A37&amp;" "&amp;E40</f>
        <v>15. Kun ajattelet tulevaa valtuustokautta (2017–2021), miten paljon arvioit seuraavien asioiden vaikuttavan kuntasi toimintaedellytyksiin? (N=19)</v>
      </c>
      <c r="G38" s="51"/>
      <c r="H38" s="52"/>
      <c r="I38" s="68"/>
      <c r="J38" s="49"/>
      <c r="K38" s="49"/>
      <c r="L38" s="49"/>
      <c r="M38" s="68"/>
      <c r="N38" s="48"/>
      <c r="O38" s="49"/>
      <c r="P38" s="69"/>
      <c r="Q38" s="68"/>
      <c r="R38" s="19"/>
      <c r="S38" s="19"/>
      <c r="T38" s="19"/>
      <c r="U38" s="68"/>
      <c r="V38" s="18"/>
      <c r="W38" s="18"/>
      <c r="X38" s="18"/>
    </row>
    <row r="39" spans="1:24" x14ac:dyDescent="0.25">
      <c r="A39" s="132" t="s">
        <v>374</v>
      </c>
      <c r="B39" s="132">
        <f>Kysymys15!G7</f>
        <v>82.1</v>
      </c>
      <c r="C39" s="132">
        <f>VLOOKUP(AN_koko,TN_k15_ryhmat[],2)</f>
        <v>85.6</v>
      </c>
      <c r="D39" s="132">
        <f>VLOOKUP(Etusivu!$B$9,TN_k15_kunnat[],2,FALSE)</f>
        <v>83.3</v>
      </c>
      <c r="E39" s="68">
        <f>VLOOKUP(Etusivu!$B$9,TN_k15_kunnat[],10,FALSE)</f>
        <v>19</v>
      </c>
      <c r="F39" s="51"/>
      <c r="G39" s="51"/>
      <c r="H39" s="52"/>
      <c r="I39" s="68"/>
      <c r="J39" s="49"/>
      <c r="K39" s="49"/>
      <c r="L39" s="49"/>
      <c r="M39" s="68"/>
      <c r="N39" s="48"/>
      <c r="O39" s="49"/>
      <c r="P39" s="69"/>
      <c r="Q39" s="68"/>
      <c r="R39" s="19"/>
      <c r="S39" s="19"/>
      <c r="T39" s="19"/>
      <c r="U39" s="68"/>
      <c r="V39" s="18"/>
      <c r="W39" s="18"/>
      <c r="X39" s="18"/>
    </row>
    <row r="40" spans="1:24" x14ac:dyDescent="0.25">
      <c r="A40" s="132" t="s">
        <v>461</v>
      </c>
      <c r="B40" s="132">
        <f>Kysymys15!G8</f>
        <v>92</v>
      </c>
      <c r="C40" s="132">
        <f>VLOOKUP(AN_koko,TN_k15_ryhmat[],3)</f>
        <v>97.8</v>
      </c>
      <c r="D40" s="132">
        <f>VLOOKUP(Etusivu!$B$9,TN_k15_kunnat[],3,FALSE)</f>
        <v>94.7</v>
      </c>
      <c r="E40" s="135" t="str">
        <f>$F$1&amp;""&amp;E38&amp;$H$1&amp;E39&amp;""&amp;$G$1</f>
        <v>(N=19)</v>
      </c>
      <c r="F40" s="51"/>
      <c r="G40" s="51"/>
      <c r="H40" s="52"/>
      <c r="I40" s="68"/>
      <c r="J40" s="49"/>
      <c r="K40" s="49"/>
      <c r="L40" s="49"/>
      <c r="M40" s="68"/>
      <c r="N40" s="48"/>
      <c r="O40" s="49"/>
      <c r="P40" s="69"/>
      <c r="Q40" s="68"/>
      <c r="R40" s="19"/>
      <c r="S40" s="19"/>
      <c r="T40" s="19"/>
      <c r="U40" s="68"/>
      <c r="V40" s="18"/>
      <c r="W40" s="18"/>
      <c r="X40" s="18"/>
    </row>
    <row r="41" spans="1:24" x14ac:dyDescent="0.25">
      <c r="A41" s="132" t="s">
        <v>375</v>
      </c>
      <c r="B41" s="132">
        <f>Kysymys15!G9</f>
        <v>65.599999999999994</v>
      </c>
      <c r="C41" s="132">
        <f>VLOOKUP(AN_koko,TN_k15_ryhmat[],4)</f>
        <v>63.9</v>
      </c>
      <c r="D41" s="132">
        <f>VLOOKUP(Etusivu!$B$9,TN_k15_kunnat[],4,FALSE)</f>
        <v>78.900000000000006</v>
      </c>
      <c r="E41" s="68"/>
      <c r="F41" s="51"/>
      <c r="G41" s="51"/>
      <c r="H41" s="52"/>
      <c r="I41" s="68"/>
      <c r="J41" s="49"/>
      <c r="K41" s="49"/>
      <c r="L41" s="49"/>
      <c r="M41" s="68"/>
      <c r="N41" s="48"/>
      <c r="O41" s="49"/>
      <c r="P41" s="69"/>
      <c r="Q41" s="68"/>
      <c r="R41" s="19"/>
      <c r="S41" s="19"/>
      <c r="T41" s="19"/>
      <c r="U41" s="68"/>
      <c r="V41" s="18"/>
      <c r="W41" s="18"/>
      <c r="X41" s="18"/>
    </row>
    <row r="42" spans="1:24" x14ac:dyDescent="0.25">
      <c r="A42" s="132" t="s">
        <v>376</v>
      </c>
      <c r="B42" s="132">
        <f>Kysymys15!G10</f>
        <v>24.1</v>
      </c>
      <c r="C42" s="132">
        <f>VLOOKUP(AN_koko,TN_k15_ryhmat[],5)</f>
        <v>29.1</v>
      </c>
      <c r="D42" s="132">
        <f>VLOOKUP(Etusivu!$B$9,TN_k15_kunnat[],5,FALSE)</f>
        <v>10.5</v>
      </c>
      <c r="E42" s="68"/>
      <c r="F42" s="51"/>
      <c r="G42" s="51"/>
      <c r="H42" s="52"/>
      <c r="I42" s="68"/>
      <c r="J42" s="49"/>
      <c r="K42" s="49"/>
      <c r="L42" s="49"/>
      <c r="M42" s="68"/>
      <c r="N42" s="48"/>
      <c r="O42" s="49"/>
      <c r="P42" s="69"/>
      <c r="Q42" s="68"/>
      <c r="R42" s="19"/>
      <c r="S42" s="19"/>
      <c r="T42" s="19"/>
      <c r="U42" s="68"/>
      <c r="V42" s="18"/>
      <c r="W42" s="18"/>
      <c r="X42" s="18"/>
    </row>
    <row r="43" spans="1:24" x14ac:dyDescent="0.25">
      <c r="A43" s="132" t="s">
        <v>377</v>
      </c>
      <c r="B43" s="132">
        <f>Kysymys15!G11</f>
        <v>48.9</v>
      </c>
      <c r="C43" s="132">
        <f>VLOOKUP(AN_koko,TN_k15_ryhmat[],6)</f>
        <v>49.2</v>
      </c>
      <c r="D43" s="132">
        <f>VLOOKUP(Etusivu!$B$9,TN_k15_kunnat[],6,FALSE)</f>
        <v>68.400000000000006</v>
      </c>
      <c r="E43" s="68"/>
      <c r="F43" s="51"/>
      <c r="G43" s="51"/>
      <c r="H43" s="52"/>
      <c r="I43" s="68"/>
      <c r="J43" s="49"/>
      <c r="K43" s="49"/>
      <c r="L43" s="49"/>
      <c r="M43" s="68"/>
      <c r="N43" s="48"/>
      <c r="O43" s="49"/>
      <c r="P43" s="69"/>
      <c r="Q43" s="68"/>
      <c r="R43" s="19"/>
      <c r="S43" s="19"/>
      <c r="T43" s="19"/>
      <c r="U43" s="68"/>
      <c r="V43" s="18"/>
      <c r="W43" s="18"/>
      <c r="X43" s="18"/>
    </row>
    <row r="44" spans="1:24" x14ac:dyDescent="0.25">
      <c r="A44" s="132" t="s">
        <v>460</v>
      </c>
      <c r="B44" s="132">
        <f>Kysymys15!G12</f>
        <v>37.6</v>
      </c>
      <c r="C44" s="132">
        <f>VLOOKUP(AN_koko,TN_k15_ryhmat[],7)</f>
        <v>37.200000000000003</v>
      </c>
      <c r="D44" s="132">
        <f>VLOOKUP(Etusivu!$B$9,TN_k15_kunnat[],7,FALSE)</f>
        <v>31.6</v>
      </c>
      <c r="E44" s="68"/>
      <c r="F44" s="51"/>
      <c r="G44" s="51"/>
      <c r="H44" s="52"/>
      <c r="I44" s="68"/>
      <c r="J44" s="49"/>
      <c r="K44" s="49"/>
      <c r="L44" s="49"/>
      <c r="M44" s="68"/>
      <c r="N44" s="48"/>
      <c r="O44" s="49"/>
      <c r="P44" s="69"/>
      <c r="Q44" s="68"/>
      <c r="R44" s="19"/>
      <c r="S44" s="19"/>
      <c r="T44" s="19"/>
      <c r="U44" s="68"/>
      <c r="V44" s="18"/>
      <c r="W44" s="18"/>
      <c r="X44" s="18"/>
    </row>
    <row r="45" spans="1:24" x14ac:dyDescent="0.25">
      <c r="A45" s="132" t="s">
        <v>175</v>
      </c>
      <c r="B45" s="132">
        <f>Kysymys15!G13</f>
        <v>79</v>
      </c>
      <c r="C45" s="132">
        <f>VLOOKUP(AN_koko,TN_k15_ryhmat[],8)</f>
        <v>78.3</v>
      </c>
      <c r="D45" s="132">
        <f>VLOOKUP(Etusivu!$B$9,TN_k15_kunnat[],8,FALSE)</f>
        <v>94.7</v>
      </c>
      <c r="E45" s="68"/>
      <c r="F45" s="51"/>
      <c r="G45" s="51"/>
      <c r="H45" s="52"/>
      <c r="I45" s="68"/>
      <c r="J45" s="49"/>
      <c r="K45" s="49"/>
      <c r="L45" s="49"/>
      <c r="M45" s="68"/>
      <c r="N45" s="48"/>
      <c r="O45" s="49"/>
      <c r="P45" s="69"/>
      <c r="Q45" s="68"/>
      <c r="R45" s="19"/>
      <c r="S45" s="19"/>
      <c r="T45" s="19"/>
      <c r="U45" s="68"/>
      <c r="V45" s="18"/>
      <c r="W45" s="18"/>
      <c r="X45" s="18"/>
    </row>
    <row r="46" spans="1:24" x14ac:dyDescent="0.25">
      <c r="A46" s="133" t="s">
        <v>378</v>
      </c>
      <c r="B46" s="132">
        <f>Kysymys15!G14</f>
        <v>71</v>
      </c>
      <c r="C46" s="132">
        <f>VLOOKUP(AN_koko,TN_k15_ryhmat[],9)</f>
        <v>64</v>
      </c>
      <c r="D46" s="132">
        <f>VLOOKUP(Etusivu!$B$9,TN_k15_kunnat[],9,FALSE)</f>
        <v>73.7</v>
      </c>
      <c r="E46" s="68"/>
      <c r="F46" s="51"/>
      <c r="G46" s="51"/>
      <c r="H46" s="52"/>
      <c r="I46" s="68"/>
      <c r="J46" s="49"/>
      <c r="K46" s="49"/>
      <c r="L46" s="49"/>
      <c r="M46" s="68"/>
      <c r="N46" s="48"/>
      <c r="O46" s="49"/>
      <c r="P46" s="69"/>
      <c r="Q46" s="68"/>
      <c r="R46" s="19"/>
      <c r="S46" s="19"/>
      <c r="T46" s="19"/>
      <c r="U46" s="68"/>
      <c r="V46" s="18"/>
      <c r="W46" s="18"/>
      <c r="X46" s="18"/>
    </row>
    <row r="47" spans="1:24" x14ac:dyDescent="0.25">
      <c r="A47" s="134" t="s">
        <v>379</v>
      </c>
      <c r="B47" s="132"/>
      <c r="C47" s="132"/>
      <c r="D47" s="132"/>
      <c r="E47" s="68"/>
      <c r="F47" s="51"/>
      <c r="G47" s="51"/>
      <c r="H47" s="52"/>
      <c r="I47" s="68"/>
      <c r="J47" s="49"/>
      <c r="K47" s="49"/>
      <c r="L47" s="49"/>
      <c r="M47" s="68"/>
      <c r="N47" s="48"/>
      <c r="O47" s="49"/>
      <c r="P47" s="69"/>
      <c r="Q47" s="68"/>
      <c r="R47" s="19"/>
      <c r="S47" s="19"/>
      <c r="T47" s="19"/>
      <c r="U47" s="68"/>
      <c r="V47" s="18"/>
      <c r="W47" s="18"/>
      <c r="X47" s="18"/>
    </row>
    <row r="48" spans="1:24" x14ac:dyDescent="0.25">
      <c r="A48" s="134"/>
      <c r="B48" s="173" t="str">
        <f>$B$3</f>
        <v>Kaikki ARTTU2-kunnat</v>
      </c>
      <c r="C48" s="132" t="str">
        <f>$C$3</f>
        <v>alle 5000 as. kunnat</v>
      </c>
      <c r="D48" s="132" t="str">
        <f>$D$3</f>
        <v>Keitele</v>
      </c>
      <c r="E48" s="135" t="s">
        <v>145</v>
      </c>
      <c r="F48" s="23" t="str">
        <f>A47&amp;" "&amp;E50</f>
        <v>16. Kun ajattelet suunnitteilla olevaa sote- ja maakuntauudistusta oman kuntasi näkökulmasta, koetko, että uudistuksella on enemmän myönteisiä vai kielteisiä vaikutuksia seuraaviin asioihin? (N=19)</v>
      </c>
      <c r="G48" s="51"/>
      <c r="H48" s="52"/>
      <c r="I48" s="68"/>
      <c r="J48" s="49"/>
      <c r="K48" s="49"/>
      <c r="L48" s="49"/>
      <c r="M48" s="68"/>
      <c r="N48" s="48"/>
      <c r="O48" s="49"/>
      <c r="P48" s="69"/>
      <c r="Q48" s="68"/>
      <c r="R48" s="19"/>
      <c r="S48" s="19"/>
      <c r="T48" s="19"/>
      <c r="U48" s="68"/>
      <c r="V48" s="18"/>
      <c r="W48" s="18"/>
      <c r="X48" s="18"/>
    </row>
    <row r="49" spans="1:24" ht="12.75" customHeight="1" x14ac:dyDescent="0.25">
      <c r="A49" s="133" t="s">
        <v>380</v>
      </c>
      <c r="B49" s="132">
        <f>Kysymys16!G6</f>
        <v>24.1</v>
      </c>
      <c r="C49" s="132">
        <f>VLOOKUP(AN_koko,TN_k16_ryhmat[],2)</f>
        <v>16.600000000000001</v>
      </c>
      <c r="D49" s="132">
        <f>VLOOKUP(Etusivu!$B$9,TN_k16_kunnat[],2,FALSE)</f>
        <v>42.1</v>
      </c>
      <c r="E49" s="68">
        <f>VLOOKUP(Etusivu!$B$9,TN_k16_kunnat[],10,FALSE)</f>
        <v>19</v>
      </c>
      <c r="F49" s="51"/>
      <c r="G49" s="51"/>
      <c r="H49" s="52"/>
      <c r="I49" s="68"/>
      <c r="J49" s="49"/>
      <c r="K49" s="49"/>
      <c r="L49" s="49"/>
      <c r="M49" s="68"/>
      <c r="N49" s="48"/>
      <c r="O49" s="49"/>
      <c r="P49" s="69"/>
      <c r="Q49" s="68"/>
      <c r="R49" s="19"/>
      <c r="S49" s="19"/>
      <c r="T49" s="19"/>
      <c r="U49" s="68"/>
      <c r="V49" s="18"/>
      <c r="W49" s="18"/>
      <c r="X49" s="18"/>
    </row>
    <row r="50" spans="1:24" x14ac:dyDescent="0.25">
      <c r="A50" s="133" t="s">
        <v>381</v>
      </c>
      <c r="B50" s="132">
        <f>Kysymys16!G7</f>
        <v>37.4</v>
      </c>
      <c r="C50" s="132">
        <f>VLOOKUP(AN_koko,TN_k16_ryhmat[],3)</f>
        <v>30.2</v>
      </c>
      <c r="D50" s="132">
        <f>VLOOKUP(Etusivu!$B$9,TN_k16_kunnat[],3,FALSE)</f>
        <v>36.799999999999997</v>
      </c>
      <c r="E50" s="135" t="str">
        <f>$F$1&amp;""&amp;E48&amp;$H$1&amp;E49&amp;""&amp;$G$1</f>
        <v>(N=19)</v>
      </c>
      <c r="F50" s="51"/>
      <c r="G50" s="51"/>
      <c r="H50" s="51"/>
      <c r="I50" s="68"/>
      <c r="J50" s="49"/>
      <c r="K50" s="49"/>
      <c r="L50" s="49"/>
      <c r="M50" s="68"/>
      <c r="N50" s="48"/>
      <c r="O50" s="49"/>
      <c r="P50" s="69"/>
      <c r="Q50" s="68"/>
      <c r="R50" s="19"/>
      <c r="S50" s="19"/>
      <c r="T50" s="19"/>
      <c r="U50" s="68"/>
      <c r="V50" s="18"/>
      <c r="W50" s="18"/>
      <c r="X50" s="18"/>
    </row>
    <row r="51" spans="1:24" x14ac:dyDescent="0.25">
      <c r="A51" s="135" t="s">
        <v>382</v>
      </c>
      <c r="B51" s="132">
        <f>Kysymys16!G8</f>
        <v>43.4</v>
      </c>
      <c r="C51" s="132">
        <f>VLOOKUP(AN_koko,TN_k16_ryhmat[],4)</f>
        <v>39.4</v>
      </c>
      <c r="D51" s="132">
        <f>VLOOKUP(Etusivu!$B$9,TN_k16_kunnat[],4,FALSE)</f>
        <v>63.2</v>
      </c>
      <c r="E51" s="68"/>
      <c r="F51" s="51"/>
      <c r="G51" s="51"/>
      <c r="H51" s="52"/>
      <c r="I51" s="68"/>
      <c r="J51" s="49"/>
      <c r="K51" s="49"/>
      <c r="L51" s="49"/>
      <c r="M51" s="68"/>
      <c r="N51" s="48"/>
      <c r="O51" s="49"/>
      <c r="P51" s="69"/>
      <c r="Q51" s="68"/>
      <c r="R51" s="19"/>
      <c r="S51" s="19"/>
      <c r="T51" s="19"/>
      <c r="U51" s="68"/>
      <c r="V51" s="18"/>
      <c r="W51" s="18"/>
      <c r="X51" s="18"/>
    </row>
    <row r="52" spans="1:24" x14ac:dyDescent="0.25">
      <c r="A52" s="133" t="s">
        <v>383</v>
      </c>
      <c r="B52" s="132">
        <f>Kysymys16!G9</f>
        <v>41.3</v>
      </c>
      <c r="C52" s="132">
        <f>VLOOKUP(AN_koko,TN_k16_ryhmat[],5)</f>
        <v>34.799999999999997</v>
      </c>
      <c r="D52" s="132">
        <f>VLOOKUP(Etusivu!$B$9,TN_k16_kunnat[],5,FALSE)</f>
        <v>78.900000000000006</v>
      </c>
      <c r="E52" s="68"/>
      <c r="F52" s="51"/>
      <c r="G52" s="51"/>
      <c r="H52" s="52"/>
      <c r="I52" s="68"/>
      <c r="J52" s="49"/>
      <c r="K52" s="49"/>
      <c r="L52" s="49"/>
      <c r="M52" s="68"/>
      <c r="N52" s="48"/>
      <c r="O52" s="49"/>
      <c r="P52" s="69"/>
      <c r="Q52" s="68"/>
      <c r="R52" s="19"/>
      <c r="S52" s="19"/>
      <c r="T52" s="19"/>
      <c r="U52" s="68"/>
      <c r="V52" s="18"/>
      <c r="W52" s="18"/>
      <c r="X52" s="18"/>
    </row>
    <row r="53" spans="1:24" x14ac:dyDescent="0.25">
      <c r="A53" s="133" t="s">
        <v>384</v>
      </c>
      <c r="B53" s="132">
        <f>Kysymys16!G10</f>
        <v>6.2</v>
      </c>
      <c r="C53" s="132">
        <f>VLOOKUP(AN_koko,TN_k16_ryhmat[],6)</f>
        <v>4.4000000000000004</v>
      </c>
      <c r="D53" s="132">
        <f>VLOOKUP(Etusivu!$B$9,TN_k16_kunnat[],6,FALSE)</f>
        <v>10.5</v>
      </c>
      <c r="E53" s="68"/>
      <c r="F53" s="51"/>
      <c r="G53" s="51"/>
      <c r="H53" s="52"/>
      <c r="I53" s="68"/>
      <c r="J53" s="49"/>
      <c r="K53" s="49"/>
      <c r="L53" s="49"/>
      <c r="M53" s="68"/>
      <c r="N53" s="48"/>
      <c r="O53" s="49"/>
      <c r="P53" s="69"/>
      <c r="Q53" s="68"/>
      <c r="R53" s="19"/>
      <c r="S53" s="19"/>
      <c r="T53" s="19"/>
      <c r="U53" s="68"/>
      <c r="V53" s="18"/>
      <c r="W53" s="18"/>
      <c r="X53" s="18"/>
    </row>
    <row r="54" spans="1:24" x14ac:dyDescent="0.25">
      <c r="A54" s="135" t="s">
        <v>385</v>
      </c>
      <c r="B54" s="132">
        <f>Kysymys16!G11</f>
        <v>20.7</v>
      </c>
      <c r="C54" s="132">
        <f>VLOOKUP(AN_koko,TN_k16_ryhmat[],7)</f>
        <v>21.5</v>
      </c>
      <c r="D54" s="132">
        <f>VLOOKUP(Etusivu!$B$9,TN_k16_kunnat[],7,FALSE)</f>
        <v>47.4</v>
      </c>
      <c r="E54" s="68"/>
      <c r="F54" s="51"/>
      <c r="G54" s="51"/>
      <c r="H54" s="52"/>
      <c r="I54" s="68"/>
      <c r="J54" s="49"/>
      <c r="K54" s="49"/>
      <c r="L54" s="49"/>
      <c r="M54" s="68"/>
      <c r="N54" s="48"/>
      <c r="O54" s="49"/>
      <c r="P54" s="69"/>
      <c r="Q54" s="68"/>
      <c r="R54" s="19"/>
      <c r="S54" s="19"/>
      <c r="T54" s="19"/>
      <c r="U54" s="68"/>
      <c r="V54" s="18"/>
      <c r="W54" s="18"/>
      <c r="X54" s="18"/>
    </row>
    <row r="55" spans="1:24" x14ac:dyDescent="0.25">
      <c r="A55" s="133" t="s">
        <v>386</v>
      </c>
      <c r="B55" s="132">
        <f>Kysymys16!G12</f>
        <v>52</v>
      </c>
      <c r="C55" s="132">
        <f>VLOOKUP(AN_koko,TN_k16_ryhmat[],8)</f>
        <v>38.299999999999997</v>
      </c>
      <c r="D55" s="132">
        <f>VLOOKUP(Etusivu!$B$9,TN_k16_kunnat[],8,FALSE)</f>
        <v>68.400000000000006</v>
      </c>
      <c r="E55" s="68"/>
      <c r="F55" s="51"/>
      <c r="G55" s="51"/>
      <c r="H55" s="52"/>
      <c r="I55" s="68"/>
      <c r="J55" s="49"/>
      <c r="K55" s="49"/>
      <c r="L55" s="49"/>
      <c r="M55" s="68"/>
      <c r="N55" s="48"/>
      <c r="O55" s="49"/>
      <c r="P55" s="69"/>
      <c r="Q55" s="68"/>
      <c r="R55" s="19"/>
      <c r="S55" s="19"/>
      <c r="T55" s="19"/>
      <c r="U55" s="68"/>
      <c r="V55" s="18"/>
      <c r="W55" s="18"/>
      <c r="X55" s="18"/>
    </row>
    <row r="56" spans="1:24" x14ac:dyDescent="0.25">
      <c r="A56" s="133" t="s">
        <v>387</v>
      </c>
      <c r="B56" s="132">
        <f>Kysymys16!G13</f>
        <v>52.9</v>
      </c>
      <c r="C56" s="132">
        <f>VLOOKUP(AN_koko,TN_k16_ryhmat[],9)</f>
        <v>43.1</v>
      </c>
      <c r="D56" s="132">
        <f>VLOOKUP(Etusivu!$B$9,TN_k16_kunnat[],9,FALSE)</f>
        <v>57.9</v>
      </c>
      <c r="E56" s="68"/>
      <c r="F56" s="51"/>
      <c r="G56" s="51"/>
      <c r="H56" s="52"/>
      <c r="I56" s="68"/>
      <c r="J56" s="49"/>
      <c r="K56" s="49"/>
      <c r="L56" s="49"/>
      <c r="M56" s="68"/>
      <c r="N56" s="48"/>
      <c r="O56" s="49"/>
      <c r="P56" s="69"/>
      <c r="Q56" s="68"/>
      <c r="R56" s="19"/>
      <c r="S56" s="19"/>
      <c r="T56" s="19"/>
      <c r="U56" s="68"/>
      <c r="V56" s="18"/>
      <c r="W56" s="18"/>
      <c r="X56" s="18"/>
    </row>
    <row r="57" spans="1:24" x14ac:dyDescent="0.25">
      <c r="A57" s="131" t="s">
        <v>464</v>
      </c>
      <c r="B57" s="132"/>
      <c r="C57" s="132"/>
      <c r="D57" s="132"/>
      <c r="E57" s="68"/>
      <c r="F57" s="51"/>
      <c r="H57" s="52"/>
      <c r="I57" s="68"/>
      <c r="J57" s="49"/>
      <c r="K57" s="49"/>
      <c r="L57" s="49"/>
      <c r="M57" s="47"/>
      <c r="N57" s="51"/>
      <c r="O57" s="52"/>
      <c r="P57" s="65"/>
      <c r="Q57" s="47"/>
      <c r="R57" s="19"/>
      <c r="S57" s="19"/>
      <c r="T57" s="19"/>
      <c r="U57" s="47"/>
      <c r="V57" s="18"/>
      <c r="W57" s="18"/>
      <c r="X57" s="18"/>
    </row>
    <row r="58" spans="1:24" x14ac:dyDescent="0.25">
      <c r="A58" s="131"/>
      <c r="B58" s="173" t="str">
        <f>$B$3</f>
        <v>Kaikki ARTTU2-kunnat</v>
      </c>
      <c r="C58" s="132" t="str">
        <f>$C$3</f>
        <v>alle 5000 as. kunnat</v>
      </c>
      <c r="D58" s="132" t="str">
        <f>$D$3</f>
        <v>Keitele</v>
      </c>
      <c r="E58" s="135" t="s">
        <v>145</v>
      </c>
      <c r="F58" s="23" t="str">
        <f>A57&amp;" "&amp;E60</f>
        <v>17. Kuinka hyvin koet tietäväsi, miten sote- ja maakuntauudistuksen valmistelu etenee… (N=19)</v>
      </c>
      <c r="H58" s="52"/>
      <c r="I58" s="68"/>
      <c r="J58" s="49"/>
      <c r="K58" s="49"/>
      <c r="L58" s="49"/>
      <c r="M58" s="47"/>
      <c r="N58" s="51"/>
      <c r="O58" s="52"/>
      <c r="P58" s="65"/>
      <c r="Q58" s="47"/>
      <c r="R58" s="19"/>
      <c r="S58" s="19"/>
      <c r="T58" s="19"/>
      <c r="U58" s="47"/>
      <c r="V58" s="18"/>
      <c r="W58" s="18"/>
      <c r="X58" s="18"/>
    </row>
    <row r="59" spans="1:24" x14ac:dyDescent="0.25">
      <c r="A59" s="86" t="s">
        <v>388</v>
      </c>
      <c r="B59" s="132">
        <f>Kysymys17!E6</f>
        <v>69.3</v>
      </c>
      <c r="C59" s="132">
        <f>VLOOKUP(AN_koko,TN_k17_ryhmat[],2)</f>
        <v>73.5</v>
      </c>
      <c r="D59" s="132">
        <f>VLOOKUP(Etusivu!$B$9,TN_k17_kunnat[],2,FALSE)</f>
        <v>68.400000000000006</v>
      </c>
      <c r="E59" s="68">
        <f>VLOOKUP(Etusivu!$B$9,TN_k17_kunnat[],5,FALSE)</f>
        <v>19</v>
      </c>
      <c r="F59" s="51"/>
      <c r="G59" s="51"/>
      <c r="H59" s="52"/>
      <c r="I59" s="68"/>
      <c r="J59" s="49"/>
      <c r="K59" s="49"/>
      <c r="L59" s="49"/>
      <c r="M59" s="47"/>
      <c r="N59" s="51"/>
      <c r="O59" s="52"/>
      <c r="P59" s="65"/>
      <c r="Q59" s="47"/>
      <c r="R59" s="19"/>
      <c r="S59" s="19"/>
      <c r="T59" s="19"/>
      <c r="U59" s="47"/>
      <c r="V59" s="18"/>
      <c r="W59" s="18"/>
      <c r="X59" s="18"/>
    </row>
    <row r="60" spans="1:24" x14ac:dyDescent="0.25">
      <c r="A60" s="86" t="s">
        <v>389</v>
      </c>
      <c r="B60" s="132">
        <f>Kysymys17!E7</f>
        <v>49.8</v>
      </c>
      <c r="C60" s="132">
        <f>VLOOKUP(AN_koko,TN_k17_ryhmat[],3)</f>
        <v>59.7</v>
      </c>
      <c r="D60" s="132">
        <f>VLOOKUP(Etusivu!$B$9,TN_k17_kunnat[],3,FALSE)</f>
        <v>36.799999999999997</v>
      </c>
      <c r="E60" s="135" t="str">
        <f>$F$1&amp;""&amp;E58&amp;$H$1&amp;E59&amp;""&amp;$G$1</f>
        <v>(N=19)</v>
      </c>
      <c r="F60" s="51"/>
      <c r="G60" s="51"/>
      <c r="H60" s="52"/>
      <c r="I60" s="68"/>
      <c r="J60" s="49"/>
      <c r="K60" s="49"/>
      <c r="L60" s="49"/>
      <c r="M60" s="47"/>
      <c r="N60" s="51"/>
      <c r="O60" s="52"/>
      <c r="P60" s="65"/>
      <c r="Q60" s="47"/>
      <c r="R60" s="19"/>
      <c r="S60" s="19"/>
      <c r="T60" s="19"/>
      <c r="U60" s="47"/>
      <c r="V60" s="18"/>
      <c r="W60" s="18"/>
      <c r="X60" s="18"/>
    </row>
    <row r="61" spans="1:24" x14ac:dyDescent="0.25">
      <c r="A61" s="86" t="s">
        <v>390</v>
      </c>
      <c r="B61" s="132">
        <f>Kysymys17!E8</f>
        <v>41.9</v>
      </c>
      <c r="C61" s="132">
        <f>VLOOKUP(AN_koko,TN_k17_ryhmat[],4)</f>
        <v>40.799999999999997</v>
      </c>
      <c r="D61" s="132">
        <f>VLOOKUP(Etusivu!$B$9,TN_k17_kunnat[],4,FALSE)</f>
        <v>42.1</v>
      </c>
      <c r="E61" s="68"/>
      <c r="F61" s="51"/>
      <c r="G61" s="51"/>
      <c r="H61" s="52"/>
      <c r="I61" s="68"/>
      <c r="J61" s="49"/>
      <c r="K61" s="49"/>
      <c r="L61" s="49"/>
      <c r="M61" s="47"/>
      <c r="N61" s="51"/>
      <c r="O61" s="52"/>
      <c r="P61" s="65"/>
      <c r="Q61" s="47"/>
      <c r="R61" s="19"/>
      <c r="S61" s="19"/>
      <c r="T61" s="19"/>
      <c r="U61" s="47"/>
      <c r="V61" s="18"/>
      <c r="W61" s="18"/>
      <c r="X61" s="18"/>
    </row>
    <row r="62" spans="1:24" x14ac:dyDescent="0.25">
      <c r="A62" s="136" t="s">
        <v>463</v>
      </c>
      <c r="B62" s="132"/>
      <c r="C62" s="132"/>
      <c r="D62" s="132"/>
      <c r="E62" s="68"/>
      <c r="F62" s="51"/>
      <c r="G62" s="51"/>
      <c r="H62" s="52"/>
      <c r="I62" s="68"/>
      <c r="J62" s="49"/>
      <c r="K62" s="49" t="s">
        <v>451</v>
      </c>
      <c r="L62" s="49"/>
      <c r="M62" s="47"/>
      <c r="N62" s="51"/>
      <c r="O62" s="52"/>
      <c r="P62" s="65"/>
      <c r="Q62" s="47"/>
      <c r="R62" s="19"/>
      <c r="S62" s="19"/>
      <c r="T62" s="19"/>
      <c r="U62" s="47"/>
      <c r="V62" s="18"/>
      <c r="W62" s="18"/>
      <c r="X62" s="18"/>
    </row>
    <row r="63" spans="1:24" x14ac:dyDescent="0.25">
      <c r="A63" s="139"/>
      <c r="B63" s="173" t="str">
        <f>$B$3</f>
        <v>Kaikki ARTTU2-kunnat</v>
      </c>
      <c r="C63" s="132" t="str">
        <f>$C$3</f>
        <v>alle 5000 as. kunnat</v>
      </c>
      <c r="D63" s="132" t="str">
        <f>$D$3</f>
        <v>Keitele</v>
      </c>
      <c r="E63" s="135" t="s">
        <v>145</v>
      </c>
      <c r="F63" s="23" t="str">
        <f>A62&amp;" "&amp;E65</f>
        <v>18. Kun ajattelet, mitä kunnalliset päättäjät voivat tehdä kunnan elinvoimaisuuden ja hyvinvoinnin parantamiseksi, miten tärkeinä näet seuraavat toimenpiteet?  (N=19)</v>
      </c>
      <c r="G63" s="48"/>
      <c r="H63" s="49"/>
      <c r="I63" s="49"/>
      <c r="J63" s="49"/>
      <c r="K63" s="49"/>
      <c r="L63" s="49"/>
      <c r="M63" s="47"/>
      <c r="N63" s="51"/>
      <c r="O63" s="52"/>
      <c r="P63" s="65"/>
      <c r="Q63" s="47"/>
      <c r="R63" s="19"/>
      <c r="S63" s="19"/>
      <c r="T63" s="19"/>
      <c r="U63" s="47"/>
      <c r="V63" s="18"/>
      <c r="W63" s="18"/>
      <c r="X63" s="18"/>
    </row>
    <row r="64" spans="1:24" x14ac:dyDescent="0.25">
      <c r="A64" s="133" t="s">
        <v>345</v>
      </c>
      <c r="B64" s="132">
        <f>'Kysymys18A TÄRKEÄT'!E8</f>
        <v>82.2</v>
      </c>
      <c r="C64" s="132">
        <f>VLOOKUP(AN_koko,TN_k18_ryhmat[],2)</f>
        <v>75.400000000000006</v>
      </c>
      <c r="D64" s="132">
        <f>VLOOKUP(Etusivu!$B$9,TN_k18_kunnat[],2,FALSE)</f>
        <v>57.9</v>
      </c>
      <c r="E64" s="150">
        <f>VLOOKUP(Etusivu!$B$9,TN_k18_kunnat[],25,FALSE)</f>
        <v>19</v>
      </c>
      <c r="F64" s="49"/>
      <c r="G64" s="49"/>
      <c r="H64" s="49"/>
      <c r="I64" s="49"/>
      <c r="J64" s="49"/>
      <c r="K64" s="49"/>
      <c r="L64" s="49"/>
      <c r="M64" s="47"/>
      <c r="N64" s="66"/>
      <c r="O64" s="52"/>
      <c r="P64" s="65"/>
      <c r="Q64" s="47"/>
      <c r="R64" s="19"/>
      <c r="S64" s="19"/>
      <c r="T64" s="19"/>
      <c r="U64" s="47"/>
      <c r="V64" s="18"/>
      <c r="W64" s="18"/>
      <c r="X64" s="18"/>
    </row>
    <row r="65" spans="1:24" x14ac:dyDescent="0.25">
      <c r="A65" s="133" t="s">
        <v>346</v>
      </c>
      <c r="B65" s="132">
        <f>'Kysymys18A TÄRKEÄT'!E9</f>
        <v>45.1</v>
      </c>
      <c r="C65" s="132">
        <f>VLOOKUP(AN_koko,TN_k18_ryhmat[],3)</f>
        <v>35</v>
      </c>
      <c r="D65" s="132">
        <f>VLOOKUP(Etusivu!$B$9,TN_k18_kunnat[],3,FALSE)</f>
        <v>78.900000000000006</v>
      </c>
      <c r="E65" s="135" t="str">
        <f>$F$1&amp;""&amp;E63&amp;$H$1&amp;E64&amp;""&amp;$G$1</f>
        <v>(N=19)</v>
      </c>
      <c r="F65" s="49"/>
      <c r="G65" s="49"/>
      <c r="H65" s="49"/>
      <c r="I65" s="49"/>
      <c r="J65" s="49"/>
      <c r="K65" s="49"/>
      <c r="L65" s="49"/>
      <c r="M65" s="47"/>
      <c r="N65" s="66"/>
      <c r="O65" s="52"/>
      <c r="P65" s="65"/>
      <c r="Q65" s="47"/>
      <c r="R65" s="19"/>
      <c r="S65" s="19"/>
      <c r="T65" s="19"/>
      <c r="U65" s="47"/>
      <c r="V65" s="18"/>
      <c r="W65" s="18"/>
      <c r="X65" s="18"/>
    </row>
    <row r="66" spans="1:24" ht="13" x14ac:dyDescent="0.3">
      <c r="A66" s="133" t="s">
        <v>347</v>
      </c>
      <c r="B66" s="132">
        <f>'Kysymys18A TÄRKEÄT'!E10</f>
        <v>36.6</v>
      </c>
      <c r="C66" s="132">
        <f>VLOOKUP(AN_koko,TN_k18_ryhmat[],4)</f>
        <v>37.700000000000003</v>
      </c>
      <c r="D66" s="132">
        <f>VLOOKUP(Etusivu!$B$9,TN_k18_kunnat[],4,FALSE)</f>
        <v>10.5</v>
      </c>
      <c r="E66" s="151"/>
      <c r="H66" s="18"/>
      <c r="I66" s="18"/>
      <c r="J66" s="18"/>
      <c r="K66" s="18"/>
      <c r="L66" s="18"/>
      <c r="M66" s="60"/>
      <c r="P66" s="18"/>
      <c r="Q66" s="60"/>
      <c r="R66" s="64"/>
      <c r="S66" s="19"/>
      <c r="T66" s="18"/>
      <c r="U66" s="60"/>
      <c r="V66" s="18"/>
      <c r="X66" s="18"/>
    </row>
    <row r="67" spans="1:24" x14ac:dyDescent="0.25">
      <c r="A67" s="133" t="s">
        <v>393</v>
      </c>
      <c r="B67" s="132">
        <f>'Kysymys18A TÄRKEÄT'!E11</f>
        <v>44.6</v>
      </c>
      <c r="C67" s="132">
        <f>VLOOKUP(AN_koko,TN_k18_ryhmat[],5)</f>
        <v>45.9</v>
      </c>
      <c r="D67" s="132">
        <f>VLOOKUP(Etusivu!$B$9,TN_k18_kunnat[],5,FALSE)</f>
        <v>42.1</v>
      </c>
      <c r="E67" s="150"/>
      <c r="F67" s="49"/>
      <c r="G67" s="49"/>
      <c r="H67" s="49"/>
      <c r="I67" s="49"/>
      <c r="J67" s="49"/>
      <c r="K67" s="49"/>
      <c r="L67" s="49"/>
      <c r="M67" s="47"/>
      <c r="N67" s="66"/>
      <c r="O67" s="52"/>
      <c r="P67" s="65"/>
      <c r="Q67" s="47"/>
      <c r="R67" s="19"/>
      <c r="S67" s="19"/>
      <c r="T67" s="19"/>
      <c r="U67" s="47"/>
      <c r="V67" s="18"/>
      <c r="W67" s="18"/>
      <c r="X67" s="18"/>
    </row>
    <row r="68" spans="1:24" x14ac:dyDescent="0.25">
      <c r="A68" s="133" t="s">
        <v>394</v>
      </c>
      <c r="B68" s="132">
        <f>'Kysymys18A TÄRKEÄT'!E12</f>
        <v>11.6</v>
      </c>
      <c r="C68" s="132">
        <f>VLOOKUP(AN_koko,TN_k18_ryhmat[],6)</f>
        <v>12</v>
      </c>
      <c r="D68" s="132">
        <f>VLOOKUP(Etusivu!$B$9,TN_k18_kunnat[],6,FALSE)</f>
        <v>0</v>
      </c>
      <c r="E68" s="150"/>
      <c r="F68" s="49"/>
      <c r="G68" s="49"/>
      <c r="H68" s="49"/>
      <c r="I68" s="49"/>
      <c r="J68" s="49"/>
      <c r="K68" s="49"/>
      <c r="L68" s="49"/>
      <c r="M68" s="47"/>
      <c r="N68" s="66"/>
      <c r="O68" s="52"/>
      <c r="P68" s="65"/>
      <c r="Q68" s="47"/>
      <c r="R68" s="19"/>
      <c r="S68" s="19"/>
      <c r="T68" s="19"/>
      <c r="U68" s="47"/>
      <c r="V68" s="18"/>
      <c r="W68" s="18"/>
      <c r="X68" s="18"/>
    </row>
    <row r="69" spans="1:24" x14ac:dyDescent="0.25">
      <c r="A69" s="140" t="s">
        <v>348</v>
      </c>
      <c r="B69" s="132">
        <f>'Kysymys18A TÄRKEÄT'!E13</f>
        <v>33.6</v>
      </c>
      <c r="C69" s="132">
        <f>VLOOKUP(AN_koko,TN_k18_ryhmat[],7)</f>
        <v>35.5</v>
      </c>
      <c r="D69" s="132">
        <f>VLOOKUP(Etusivu!$B$9,TN_k18_kunnat[],7,FALSE)</f>
        <v>42.1</v>
      </c>
      <c r="E69" s="150"/>
      <c r="F69" s="54"/>
      <c r="G69" s="54"/>
      <c r="H69" s="49"/>
      <c r="I69" s="49"/>
      <c r="J69" s="49"/>
      <c r="K69" s="49"/>
      <c r="L69" s="49"/>
      <c r="M69" s="47"/>
      <c r="N69" s="66"/>
      <c r="O69" s="52"/>
      <c r="P69" s="65"/>
      <c r="Q69" s="47"/>
      <c r="R69" s="19"/>
      <c r="S69" s="19"/>
      <c r="T69" s="19"/>
      <c r="U69" s="47"/>
      <c r="V69" s="18"/>
      <c r="W69" s="18"/>
      <c r="X69" s="18"/>
    </row>
    <row r="70" spans="1:24" x14ac:dyDescent="0.25">
      <c r="A70" s="135" t="s">
        <v>395</v>
      </c>
      <c r="B70" s="132">
        <f>'Kysymys18A TÄRKEÄT'!E14</f>
        <v>40.9</v>
      </c>
      <c r="C70" s="132">
        <f>VLOOKUP(AN_koko,TN_k18_ryhmat[],8)</f>
        <v>21.9</v>
      </c>
      <c r="D70" s="132">
        <f>VLOOKUP(Etusivu!$B$9,TN_k18_kunnat[],8,FALSE)</f>
        <v>21.1</v>
      </c>
      <c r="E70" s="150"/>
      <c r="F70" s="54"/>
      <c r="G70" s="54"/>
      <c r="H70" s="49"/>
      <c r="I70" s="49"/>
      <c r="J70" s="49"/>
      <c r="K70" s="49"/>
      <c r="L70" s="49"/>
      <c r="M70" s="47"/>
      <c r="N70" s="66"/>
      <c r="O70" s="52"/>
      <c r="P70" s="65"/>
      <c r="Q70" s="47"/>
      <c r="R70" s="19"/>
      <c r="S70" s="19"/>
      <c r="T70" s="19"/>
      <c r="U70" s="47"/>
      <c r="V70" s="18"/>
      <c r="W70" s="18"/>
      <c r="X70" s="18"/>
    </row>
    <row r="71" spans="1:24" x14ac:dyDescent="0.25">
      <c r="A71" s="140" t="s">
        <v>349</v>
      </c>
      <c r="B71" s="132">
        <f>'Kysymys18A TÄRKEÄT'!E15</f>
        <v>32.4</v>
      </c>
      <c r="C71" s="132">
        <f>VLOOKUP(AN_koko,TN_k18_ryhmat[],9)</f>
        <v>31.7</v>
      </c>
      <c r="D71" s="132">
        <f>VLOOKUP(Etusivu!$B$9,TN_k18_kunnat[],9,FALSE)</f>
        <v>47.4</v>
      </c>
      <c r="E71" s="150"/>
      <c r="F71" s="54"/>
      <c r="G71" s="54"/>
      <c r="H71" s="49"/>
      <c r="I71" s="49"/>
      <c r="J71" s="49"/>
      <c r="K71" s="49"/>
      <c r="L71" s="49"/>
      <c r="M71" s="47"/>
      <c r="N71" s="66"/>
      <c r="O71" s="52"/>
      <c r="P71" s="65"/>
      <c r="Q71" s="47"/>
      <c r="R71" s="19"/>
      <c r="S71" s="19"/>
      <c r="T71" s="19"/>
      <c r="U71" s="47"/>
      <c r="V71" s="18"/>
      <c r="W71" s="18"/>
      <c r="X71" s="18"/>
    </row>
    <row r="72" spans="1:24" x14ac:dyDescent="0.25">
      <c r="A72" s="140" t="s">
        <v>350</v>
      </c>
      <c r="B72" s="132">
        <f>'Kysymys18A TÄRKEÄT'!E16</f>
        <v>62</v>
      </c>
      <c r="C72" s="132">
        <f>VLOOKUP(AN_koko,TN_k18_ryhmat[],10)</f>
        <v>62.8</v>
      </c>
      <c r="D72" s="132">
        <f>VLOOKUP(Etusivu!$B$9,TN_k18_kunnat[],10,FALSE)</f>
        <v>63.2</v>
      </c>
      <c r="E72" s="150"/>
      <c r="F72" s="54"/>
      <c r="G72" s="54"/>
      <c r="H72" s="49"/>
      <c r="I72" s="49"/>
      <c r="J72" s="49"/>
      <c r="K72" s="49"/>
      <c r="L72" s="49"/>
      <c r="M72" s="47"/>
      <c r="N72" s="66"/>
      <c r="O72" s="52"/>
      <c r="P72" s="65"/>
      <c r="Q72" s="47"/>
      <c r="R72" s="19"/>
      <c r="S72" s="19"/>
      <c r="T72" s="19"/>
      <c r="U72" s="47"/>
      <c r="V72" s="18"/>
      <c r="W72" s="18"/>
      <c r="X72" s="18"/>
    </row>
    <row r="73" spans="1:24" x14ac:dyDescent="0.25">
      <c r="A73" s="140" t="s">
        <v>351</v>
      </c>
      <c r="B73" s="132">
        <f>'Kysymys18A TÄRKEÄT'!E17</f>
        <v>24.9</v>
      </c>
      <c r="C73" s="132">
        <f>VLOOKUP(AN_koko,TN_k18_ryhmat[],11)</f>
        <v>22.4</v>
      </c>
      <c r="D73" s="132">
        <f>VLOOKUP(Etusivu!$B$9,TN_k18_kunnat[],11,FALSE)</f>
        <v>15.8</v>
      </c>
      <c r="E73" s="150"/>
      <c r="F73" s="54"/>
      <c r="G73" s="54"/>
      <c r="H73" s="49"/>
      <c r="I73" s="49"/>
      <c r="J73" s="49"/>
      <c r="K73" s="49"/>
      <c r="L73" s="49"/>
      <c r="M73" s="47"/>
      <c r="N73" s="66"/>
      <c r="O73" s="52"/>
      <c r="P73" s="65"/>
      <c r="Q73" s="47"/>
      <c r="R73" s="19"/>
      <c r="S73" s="19"/>
      <c r="T73" s="19"/>
      <c r="U73" s="47"/>
      <c r="V73" s="18"/>
      <c r="W73" s="18"/>
      <c r="X73" s="18"/>
    </row>
    <row r="74" spans="1:24" x14ac:dyDescent="0.25">
      <c r="A74" s="141" t="s">
        <v>352</v>
      </c>
      <c r="B74" s="132">
        <f>'Kysymys18A TÄRKEÄT'!E18</f>
        <v>73.099999999999994</v>
      </c>
      <c r="C74" s="132">
        <f>VLOOKUP(AN_koko,TN_k18_ryhmat[],12)</f>
        <v>39.9</v>
      </c>
      <c r="D74" s="132">
        <f>VLOOKUP(Etusivu!$B$9,TN_k18_kunnat[],12,FALSE)</f>
        <v>42.1</v>
      </c>
      <c r="E74" s="150"/>
      <c r="F74" s="49"/>
      <c r="G74" s="49"/>
      <c r="H74" s="49"/>
      <c r="I74" s="49"/>
      <c r="J74" s="49"/>
      <c r="K74" s="49"/>
      <c r="L74" s="49"/>
      <c r="M74" s="47"/>
      <c r="N74" s="66"/>
      <c r="O74" s="52"/>
      <c r="P74" s="65"/>
      <c r="Q74" s="47"/>
      <c r="R74" s="19"/>
      <c r="S74" s="19"/>
      <c r="T74" s="19"/>
      <c r="U74" s="47"/>
      <c r="V74" s="18"/>
      <c r="W74" s="18"/>
      <c r="X74" s="18"/>
    </row>
    <row r="75" spans="1:24" x14ac:dyDescent="0.25">
      <c r="A75" s="141" t="s">
        <v>353</v>
      </c>
      <c r="B75" s="132">
        <f>'Kysymys18A TÄRKEÄT'!E19</f>
        <v>77</v>
      </c>
      <c r="C75" s="132">
        <f>VLOOKUP(AN_koko,TN_k18_ryhmat[],13)</f>
        <v>38.299999999999997</v>
      </c>
      <c r="D75" s="132">
        <f>VLOOKUP(Etusivu!$B$9,TN_k18_kunnat[],13,FALSE)</f>
        <v>15.8</v>
      </c>
      <c r="E75" s="150"/>
      <c r="F75" s="49"/>
      <c r="G75" s="49"/>
      <c r="H75" s="49"/>
      <c r="I75" s="49"/>
      <c r="J75" s="49"/>
      <c r="K75" s="49"/>
      <c r="L75" s="49"/>
      <c r="M75" s="47"/>
      <c r="N75" s="66"/>
      <c r="O75" s="52"/>
      <c r="P75" s="65"/>
      <c r="Q75" s="47"/>
      <c r="R75" s="19"/>
      <c r="S75" s="19"/>
      <c r="T75" s="19"/>
      <c r="U75" s="47"/>
      <c r="V75" s="18"/>
      <c r="W75" s="18"/>
      <c r="X75" s="18"/>
    </row>
    <row r="76" spans="1:24" x14ac:dyDescent="0.25">
      <c r="A76" s="142" t="s">
        <v>354</v>
      </c>
      <c r="B76" s="132">
        <f>'Kysymys18A TÄRKEÄT'!E20</f>
        <v>49.9</v>
      </c>
      <c r="C76" s="132">
        <f>VLOOKUP(AN_koko,TN_k18_ryhmat[],14)</f>
        <v>17.5</v>
      </c>
      <c r="D76" s="132">
        <f>VLOOKUP(Etusivu!$B$9,TN_k18_kunnat[],14,FALSE)</f>
        <v>47.4</v>
      </c>
      <c r="E76" s="150"/>
      <c r="F76" s="49"/>
      <c r="G76" s="49"/>
      <c r="H76" s="49"/>
      <c r="I76" s="49"/>
      <c r="J76" s="49"/>
      <c r="K76" s="49"/>
      <c r="L76" s="49"/>
      <c r="M76" s="47"/>
      <c r="N76" s="66"/>
      <c r="O76" s="52"/>
      <c r="P76" s="65"/>
      <c r="Q76" s="47"/>
      <c r="R76" s="19"/>
      <c r="S76" s="19"/>
      <c r="T76" s="19"/>
      <c r="U76" s="47"/>
      <c r="V76" s="18"/>
      <c r="W76" s="18"/>
      <c r="X76" s="18"/>
    </row>
    <row r="77" spans="1:24" x14ac:dyDescent="0.25">
      <c r="A77" s="135" t="s">
        <v>355</v>
      </c>
      <c r="B77" s="132">
        <f>'Kysymys18A TÄRKEÄT'!E21</f>
        <v>81</v>
      </c>
      <c r="C77" s="132">
        <f>VLOOKUP(AN_koko,TN_k18_ryhmat[],15)</f>
        <v>45.9</v>
      </c>
      <c r="D77" s="132">
        <f>VLOOKUP(Etusivu!$B$9,TN_k18_kunnat[],15,FALSE)</f>
        <v>21.1</v>
      </c>
      <c r="E77" s="150"/>
      <c r="F77" s="88"/>
      <c r="G77" s="88"/>
      <c r="H77" s="88"/>
      <c r="I77" s="88"/>
      <c r="J77" s="88"/>
      <c r="K77" s="88"/>
      <c r="L77" s="88"/>
      <c r="M77" s="47"/>
      <c r="N77" s="89"/>
      <c r="O77" s="90"/>
      <c r="P77" s="91"/>
      <c r="Q77" s="47"/>
      <c r="R77" s="19"/>
      <c r="S77" s="19"/>
      <c r="T77" s="19"/>
      <c r="U77" s="47"/>
      <c r="V77" s="18"/>
      <c r="W77" s="18"/>
      <c r="X77" s="18"/>
    </row>
    <row r="78" spans="1:24" ht="13" x14ac:dyDescent="0.3">
      <c r="A78" s="133" t="s">
        <v>356</v>
      </c>
      <c r="B78" s="132">
        <f>'Kysymys18A TÄRKEÄT'!E22</f>
        <v>81.5</v>
      </c>
      <c r="C78" s="132">
        <f>VLOOKUP(AN_koko,TN_k18_ryhmat[],16)</f>
        <v>38.799999999999997</v>
      </c>
      <c r="D78" s="132">
        <f>VLOOKUP(Etusivu!$B$9,TN_k18_kunnat[],16,FALSE)</f>
        <v>26.3</v>
      </c>
      <c r="E78" s="151"/>
      <c r="H78" s="18"/>
      <c r="I78" s="18"/>
      <c r="J78" s="18"/>
      <c r="K78" s="18"/>
      <c r="L78" s="18"/>
      <c r="M78" s="60"/>
      <c r="P78" s="18"/>
      <c r="Q78" s="60"/>
      <c r="R78" s="64"/>
      <c r="S78" s="19"/>
      <c r="T78" s="18"/>
      <c r="U78" s="60"/>
      <c r="V78" s="18"/>
      <c r="X78" s="18"/>
    </row>
    <row r="79" spans="1:24" x14ac:dyDescent="0.25">
      <c r="A79" s="133" t="s">
        <v>357</v>
      </c>
      <c r="B79" s="132">
        <f>'Kysymys18A TÄRKEÄT'!E23</f>
        <v>22.9</v>
      </c>
      <c r="C79" s="132">
        <f>VLOOKUP(AN_koko,TN_k18_ryhmat[],17)</f>
        <v>12.6</v>
      </c>
      <c r="D79" s="132">
        <f>VLOOKUP(Etusivu!$B$9,TN_k18_kunnat[],17,FALSE)</f>
        <v>5.3</v>
      </c>
      <c r="E79" s="150"/>
      <c r="F79" s="49"/>
      <c r="G79" s="49"/>
      <c r="H79" s="49"/>
      <c r="I79" s="49"/>
      <c r="J79" s="49"/>
      <c r="K79" s="49"/>
      <c r="L79" s="49"/>
      <c r="M79" s="47"/>
      <c r="N79" s="66"/>
      <c r="O79" s="52"/>
      <c r="P79" s="65"/>
      <c r="Q79" s="47"/>
      <c r="R79" s="19"/>
      <c r="S79" s="19"/>
      <c r="T79" s="19"/>
      <c r="U79" s="47"/>
      <c r="V79" s="18"/>
      <c r="W79" s="18"/>
      <c r="X79" s="18"/>
    </row>
    <row r="80" spans="1:24" x14ac:dyDescent="0.25">
      <c r="A80" s="133" t="s">
        <v>358</v>
      </c>
      <c r="B80" s="132">
        <f>'Kysymys18A TÄRKEÄT'!E24</f>
        <v>22.8</v>
      </c>
      <c r="C80" s="132">
        <f>VLOOKUP(AN_koko,TN_k18_ryhmat[],18)</f>
        <v>13.1</v>
      </c>
      <c r="D80" s="132">
        <f>VLOOKUP(Etusivu!$B$9,TN_k18_kunnat[],18,FALSE)</f>
        <v>10.5</v>
      </c>
      <c r="E80" s="150"/>
      <c r="F80" s="54"/>
      <c r="G80" s="54"/>
      <c r="H80" s="49"/>
      <c r="I80" s="49"/>
      <c r="J80" s="49"/>
      <c r="K80" s="49"/>
      <c r="L80" s="49"/>
      <c r="M80" s="47"/>
      <c r="N80" s="55"/>
      <c r="O80" s="52"/>
      <c r="P80" s="65"/>
      <c r="Q80" s="47"/>
      <c r="R80" s="19"/>
      <c r="S80" s="19"/>
      <c r="T80" s="19"/>
      <c r="U80" s="47"/>
      <c r="V80" s="18"/>
      <c r="W80" s="18"/>
      <c r="X80" s="18"/>
    </row>
    <row r="81" spans="1:24" x14ac:dyDescent="0.25">
      <c r="A81" s="133" t="s">
        <v>359</v>
      </c>
      <c r="B81" s="132">
        <f>'Kysymys18A TÄRKEÄT'!E25</f>
        <v>90</v>
      </c>
      <c r="C81" s="132">
        <f>VLOOKUP(AN_koko,TN_k18_ryhmat[],19)</f>
        <v>39.299999999999997</v>
      </c>
      <c r="D81" s="132">
        <f>VLOOKUP(Etusivu!$B$9,TN_k18_kunnat[],19,FALSE)</f>
        <v>63.2</v>
      </c>
      <c r="E81" s="150"/>
      <c r="F81" s="54"/>
      <c r="G81" s="54"/>
      <c r="H81" s="49"/>
      <c r="I81" s="49"/>
      <c r="J81" s="49"/>
      <c r="K81" s="49"/>
      <c r="L81" s="49"/>
      <c r="M81" s="47"/>
      <c r="N81" s="55"/>
      <c r="O81" s="52"/>
      <c r="P81" s="65"/>
      <c r="Q81" s="47"/>
      <c r="R81" s="19"/>
      <c r="S81" s="19"/>
      <c r="T81" s="19"/>
      <c r="U81" s="47"/>
      <c r="V81" s="18"/>
      <c r="W81" s="18"/>
      <c r="X81" s="18"/>
    </row>
    <row r="82" spans="1:24" x14ac:dyDescent="0.25">
      <c r="A82" s="133" t="s">
        <v>360</v>
      </c>
      <c r="B82" s="132">
        <f>'Kysymys18A TÄRKEÄT'!E26</f>
        <v>25.6</v>
      </c>
      <c r="C82" s="132">
        <f>VLOOKUP(AN_koko,TN_k18_ryhmat[],20)</f>
        <v>26.8</v>
      </c>
      <c r="D82" s="132">
        <f>VLOOKUP(Etusivu!$B$9,TN_k18_kunnat[],20,FALSE)</f>
        <v>31.6</v>
      </c>
      <c r="E82" s="150"/>
      <c r="F82" s="54"/>
      <c r="G82" s="54"/>
      <c r="H82" s="49"/>
      <c r="I82" s="49"/>
      <c r="J82" s="49"/>
      <c r="K82" s="49"/>
      <c r="L82" s="49"/>
      <c r="M82" s="47"/>
      <c r="N82" s="55"/>
      <c r="O82" s="52"/>
      <c r="P82" s="65"/>
      <c r="Q82" s="47"/>
      <c r="R82" s="19"/>
      <c r="S82" s="19"/>
      <c r="T82" s="19"/>
      <c r="U82" s="47"/>
      <c r="V82" s="18"/>
      <c r="W82" s="18"/>
      <c r="X82" s="18"/>
    </row>
    <row r="83" spans="1:24" x14ac:dyDescent="0.25">
      <c r="A83" s="133" t="s">
        <v>361</v>
      </c>
      <c r="B83" s="132">
        <f>'Kysymys18A TÄRKEÄT'!E27</f>
        <v>71.099999999999994</v>
      </c>
      <c r="C83" s="132">
        <f>VLOOKUP(AN_koko,TN_k18_ryhmat[],21)</f>
        <v>32.200000000000003</v>
      </c>
      <c r="D83" s="132">
        <f>VLOOKUP(Etusivu!$B$9,TN_k18_kunnat[],21,FALSE)</f>
        <v>52.6</v>
      </c>
      <c r="E83" s="150"/>
      <c r="F83" s="54"/>
      <c r="G83" s="54"/>
      <c r="H83" s="49"/>
      <c r="I83" s="49"/>
      <c r="J83" s="49"/>
      <c r="K83" s="49"/>
      <c r="L83" s="49"/>
      <c r="M83" s="47"/>
      <c r="N83" s="55"/>
      <c r="O83" s="52"/>
      <c r="P83" s="65"/>
      <c r="Q83" s="47"/>
      <c r="R83" s="19"/>
      <c r="S83" s="19"/>
      <c r="T83" s="19"/>
      <c r="U83" s="47"/>
      <c r="V83" s="18"/>
      <c r="W83" s="18"/>
      <c r="X83" s="18"/>
    </row>
    <row r="84" spans="1:24" ht="13" x14ac:dyDescent="0.3">
      <c r="A84" s="133" t="s">
        <v>362</v>
      </c>
      <c r="B84" s="132">
        <f>'Kysymys18A TÄRKEÄT'!E28</f>
        <v>36.4</v>
      </c>
      <c r="C84" s="132">
        <f>VLOOKUP(AN_koko,TN_k18_ryhmat[],22)</f>
        <v>16.399999999999999</v>
      </c>
      <c r="D84" s="132">
        <f>VLOOKUP(Etusivu!$B$9,TN_k18_kunnat[],22,FALSE)</f>
        <v>15.8</v>
      </c>
      <c r="E84" s="151"/>
      <c r="H84" s="18"/>
      <c r="I84" s="18"/>
      <c r="J84" s="18"/>
      <c r="K84" s="18"/>
      <c r="L84" s="18"/>
      <c r="M84" s="60"/>
      <c r="P84" s="18"/>
      <c r="Q84" s="60"/>
      <c r="R84" s="64"/>
      <c r="S84" s="19"/>
      <c r="T84" s="18"/>
      <c r="U84" s="60"/>
      <c r="V84" s="18"/>
      <c r="X84" s="18"/>
    </row>
    <row r="85" spans="1:24" x14ac:dyDescent="0.25">
      <c r="A85" s="133" t="s">
        <v>391</v>
      </c>
      <c r="B85" s="132">
        <f>'Kysymys18A TÄRKEÄT'!E29</f>
        <v>60.9</v>
      </c>
      <c r="C85" s="132">
        <f>VLOOKUP(AN_koko,TN_k18_ryhmat[],23)</f>
        <v>33.9</v>
      </c>
      <c r="D85" s="132">
        <f>VLOOKUP(Etusivu!$B$9,TN_k18_kunnat[],23,FALSE)</f>
        <v>5.3</v>
      </c>
      <c r="E85" s="150"/>
      <c r="F85" s="54"/>
      <c r="G85" s="54"/>
      <c r="H85" s="49"/>
      <c r="I85" s="49"/>
      <c r="J85" s="49"/>
      <c r="K85" s="49"/>
      <c r="L85" s="49"/>
      <c r="M85" s="47"/>
      <c r="N85" s="66"/>
      <c r="O85" s="52"/>
      <c r="P85" s="65"/>
      <c r="Q85" s="47"/>
      <c r="R85" s="19"/>
      <c r="S85" s="19"/>
      <c r="T85" s="19"/>
      <c r="U85" s="47"/>
      <c r="V85" s="18"/>
      <c r="W85" s="18"/>
      <c r="X85" s="18"/>
    </row>
    <row r="86" spans="1:24" x14ac:dyDescent="0.25">
      <c r="A86" s="133" t="s">
        <v>392</v>
      </c>
      <c r="B86" s="132">
        <f>'Kysymys18A TÄRKEÄT'!E30</f>
        <v>48.2</v>
      </c>
      <c r="C86" s="132">
        <f>VLOOKUP(AN_koko,TN_k18_ryhmat[],24)</f>
        <v>33.9</v>
      </c>
      <c r="D86" s="132">
        <f>VLOOKUP(Etusivu!$B$9,TN_k18_kunnat[],24,FALSE)</f>
        <v>5.3</v>
      </c>
      <c r="E86" s="150"/>
      <c r="F86" s="54"/>
      <c r="G86" s="54"/>
      <c r="H86" s="49"/>
      <c r="I86" s="49"/>
      <c r="J86" s="49"/>
      <c r="K86" s="49"/>
      <c r="L86" s="49"/>
      <c r="M86" s="47"/>
      <c r="N86" s="66"/>
      <c r="O86" s="52"/>
      <c r="P86" s="65"/>
      <c r="Q86" s="47"/>
      <c r="R86" s="19"/>
      <c r="S86" s="19"/>
      <c r="T86" s="19"/>
      <c r="U86" s="47"/>
      <c r="V86" s="18"/>
      <c r="W86" s="18"/>
      <c r="X86" s="18"/>
    </row>
    <row r="87" spans="1:24" x14ac:dyDescent="0.25">
      <c r="A87" s="131" t="s">
        <v>396</v>
      </c>
      <c r="B87" s="132"/>
      <c r="C87" s="132"/>
      <c r="D87" s="132"/>
      <c r="E87" s="150"/>
      <c r="F87" s="54"/>
      <c r="G87" s="54"/>
      <c r="H87" s="49"/>
      <c r="I87" s="49"/>
      <c r="J87" s="49"/>
      <c r="K87" s="49"/>
      <c r="L87" s="49"/>
      <c r="M87" s="47"/>
      <c r="N87" s="66"/>
      <c r="O87" s="52"/>
      <c r="P87" s="65"/>
      <c r="Q87" s="47"/>
      <c r="R87" s="19"/>
      <c r="S87" s="19"/>
      <c r="T87" s="19"/>
      <c r="U87" s="47"/>
      <c r="V87" s="18"/>
      <c r="W87" s="18"/>
      <c r="X87" s="18"/>
    </row>
    <row r="88" spans="1:24" x14ac:dyDescent="0.25">
      <c r="A88" s="135"/>
      <c r="B88" s="173" t="str">
        <f>$B$3</f>
        <v>Kaikki ARTTU2-kunnat</v>
      </c>
      <c r="C88" s="132" t="str">
        <f>$C$3</f>
        <v>alle 5000 as. kunnat</v>
      </c>
      <c r="D88" s="132" t="str">
        <f>$D$3</f>
        <v>Keitele</v>
      </c>
      <c r="E88" s="135" t="s">
        <v>145</v>
      </c>
      <c r="F88" s="23" t="str">
        <f>A87&amp;" "&amp;E90</f>
        <v>19. Miten suurta vaikutusvaltaa seuraavilla ryhmillä/toimijoilla on mielestäsi kuntasi poliittisessa päätöksenteossa?  (N=19)</v>
      </c>
      <c r="G88" s="54"/>
      <c r="H88" s="49"/>
      <c r="I88" s="49"/>
      <c r="J88" s="49"/>
      <c r="K88" s="49"/>
      <c r="L88" s="49"/>
      <c r="M88" s="47"/>
      <c r="N88" s="66"/>
      <c r="O88" s="52"/>
      <c r="P88" s="65"/>
      <c r="Q88" s="47"/>
      <c r="R88" s="19"/>
      <c r="S88" s="19"/>
      <c r="T88" s="19"/>
      <c r="U88" s="47"/>
      <c r="V88" s="18"/>
      <c r="W88" s="18"/>
      <c r="X88" s="18"/>
    </row>
    <row r="89" spans="1:24" x14ac:dyDescent="0.25">
      <c r="A89" s="133" t="s">
        <v>397</v>
      </c>
      <c r="B89" s="132">
        <f>Kysymys19!G7</f>
        <v>63.6</v>
      </c>
      <c r="C89" s="132">
        <f>VLOOKUP(AN_koko,TN_k19_ryhmat[],2)</f>
        <v>62.6</v>
      </c>
      <c r="D89" s="132">
        <f>VLOOKUP(Etusivu!$B$9,TN_k19_kunnat[],2,FALSE)</f>
        <v>78.900000000000006</v>
      </c>
      <c r="E89" s="150">
        <f>VLOOKUP(Etusivu!$B$9,TN_k19_kunnat[],8,FALSE)</f>
        <v>19</v>
      </c>
      <c r="F89" s="54"/>
      <c r="G89" s="54"/>
      <c r="H89" s="49"/>
      <c r="I89" s="49"/>
      <c r="J89" s="49"/>
      <c r="K89" s="49"/>
      <c r="L89" s="49"/>
      <c r="M89" s="47"/>
      <c r="N89" s="66"/>
      <c r="O89" s="52"/>
      <c r="P89" s="65"/>
      <c r="Q89" s="47"/>
      <c r="R89" s="19"/>
      <c r="S89" s="19"/>
      <c r="T89" s="19"/>
      <c r="U89" s="47"/>
      <c r="V89" s="18"/>
      <c r="W89" s="18"/>
      <c r="X89" s="18"/>
    </row>
    <row r="90" spans="1:24" x14ac:dyDescent="0.25">
      <c r="A90" s="143" t="s">
        <v>398</v>
      </c>
      <c r="B90" s="132">
        <f>Kysymys19!G8</f>
        <v>94.1</v>
      </c>
      <c r="C90" s="132">
        <f>VLOOKUP(AN_koko,TN_k19_ryhmat[],3)</f>
        <v>95</v>
      </c>
      <c r="D90" s="132">
        <f>VLOOKUP(Etusivu!$B$9,TN_k19_kunnat[],3,FALSE)</f>
        <v>94.7</v>
      </c>
      <c r="E90" s="135" t="str">
        <f>$F$1&amp;""&amp;E88&amp;$H$1&amp;E89&amp;""&amp;$G$1</f>
        <v>(N=19)</v>
      </c>
      <c r="F90" s="54"/>
      <c r="G90" s="54"/>
      <c r="H90" s="49"/>
      <c r="I90" s="49"/>
      <c r="J90" s="49"/>
      <c r="K90" s="49"/>
      <c r="L90" s="49"/>
      <c r="M90" s="47"/>
      <c r="N90" s="55"/>
      <c r="O90" s="52"/>
      <c r="P90" s="65"/>
      <c r="Q90" s="47"/>
      <c r="R90" s="19"/>
      <c r="S90" s="19"/>
      <c r="T90" s="19"/>
      <c r="U90" s="47"/>
      <c r="V90" s="18"/>
      <c r="W90" s="18"/>
      <c r="X90" s="18"/>
    </row>
    <row r="91" spans="1:24" x14ac:dyDescent="0.25">
      <c r="A91" s="135" t="s">
        <v>399</v>
      </c>
      <c r="B91" s="132">
        <f>Kysymys19!G9</f>
        <v>55</v>
      </c>
      <c r="C91" s="132">
        <f>VLOOKUP(AN_koko,TN_k19_ryhmat[],4)</f>
        <v>42.5</v>
      </c>
      <c r="D91" s="132">
        <f>VLOOKUP(Etusivu!$B$9,TN_k19_kunnat[],4,FALSE)</f>
        <v>78.900000000000006</v>
      </c>
      <c r="E91" s="150"/>
      <c r="F91" s="54"/>
      <c r="G91" s="54"/>
      <c r="H91" s="49"/>
      <c r="I91" s="49"/>
      <c r="J91" s="49"/>
      <c r="K91" s="49"/>
      <c r="L91" s="49"/>
      <c r="M91" s="47"/>
      <c r="N91" s="52"/>
      <c r="O91" s="52"/>
      <c r="P91" s="65"/>
      <c r="Q91" s="47"/>
    </row>
    <row r="92" spans="1:24" x14ac:dyDescent="0.25">
      <c r="A92" s="144" t="s">
        <v>400</v>
      </c>
      <c r="B92" s="132">
        <f>Kysymys19!G10</f>
        <v>83.2</v>
      </c>
      <c r="C92" s="132">
        <f>VLOOKUP(AN_koko,TN_k19_ryhmat[],5)</f>
        <v>78.8</v>
      </c>
      <c r="D92" s="132">
        <f>VLOOKUP(Etusivu!$B$9,TN_k19_kunnat[],5,FALSE)</f>
        <v>94.7</v>
      </c>
      <c r="E92" s="150"/>
      <c r="F92" s="54"/>
      <c r="G92" s="54"/>
      <c r="H92" s="49"/>
      <c r="I92" s="49"/>
      <c r="J92" s="49"/>
      <c r="K92" s="49"/>
      <c r="L92" s="49"/>
      <c r="M92" s="47"/>
      <c r="N92" s="55"/>
      <c r="O92" s="52"/>
      <c r="P92" s="65"/>
      <c r="Q92" s="47"/>
    </row>
    <row r="93" spans="1:24" x14ac:dyDescent="0.25">
      <c r="A93" s="145" t="s">
        <v>401</v>
      </c>
      <c r="B93" s="132">
        <f>Kysymys19!G11</f>
        <v>64.2</v>
      </c>
      <c r="C93" s="132">
        <f>VLOOKUP(AN_koko,TN_k19_ryhmat[],6)</f>
        <v>66.099999999999994</v>
      </c>
      <c r="D93" s="132">
        <f>VLOOKUP(Etusivu!$B$9,TN_k19_kunnat[],6,FALSE)</f>
        <v>57.9</v>
      </c>
      <c r="E93" s="150"/>
      <c r="F93" s="54"/>
      <c r="G93" s="54"/>
      <c r="H93" s="49"/>
      <c r="I93" s="49"/>
      <c r="J93" s="49"/>
      <c r="K93" s="49"/>
      <c r="L93" s="49"/>
      <c r="M93" s="47"/>
      <c r="N93" s="55"/>
      <c r="O93" s="52"/>
      <c r="P93" s="65"/>
      <c r="Q93" s="47"/>
    </row>
    <row r="94" spans="1:24" x14ac:dyDescent="0.25">
      <c r="A94" s="135" t="s">
        <v>402</v>
      </c>
      <c r="B94" s="132">
        <f>Kysymys19!G12</f>
        <v>35</v>
      </c>
      <c r="C94" s="132">
        <f>VLOOKUP(AN_koko,TN_k19_ryhmat[],7)</f>
        <v>29.6</v>
      </c>
      <c r="D94" s="132">
        <f>VLOOKUP(Etusivu!$B$9,TN_k19_kunnat[],7,FALSE)</f>
        <v>47.4</v>
      </c>
      <c r="E94" s="150"/>
      <c r="F94" s="54"/>
      <c r="G94" s="54"/>
      <c r="H94" s="49"/>
      <c r="I94" s="49"/>
      <c r="J94" s="49"/>
      <c r="K94" s="49"/>
      <c r="L94" s="49"/>
      <c r="M94" s="47"/>
      <c r="N94" s="52"/>
      <c r="O94" s="52"/>
      <c r="P94" s="65"/>
      <c r="Q94" s="47"/>
    </row>
    <row r="95" spans="1:24" x14ac:dyDescent="0.25">
      <c r="A95" s="131" t="s">
        <v>414</v>
      </c>
      <c r="B95" s="132"/>
      <c r="C95" s="132"/>
      <c r="D95" s="132"/>
      <c r="E95" s="150"/>
      <c r="F95" s="54"/>
      <c r="G95" s="54"/>
      <c r="H95" s="49"/>
      <c r="I95" s="49"/>
      <c r="J95" s="49"/>
      <c r="K95" s="49"/>
      <c r="L95" s="49"/>
      <c r="M95" s="47"/>
      <c r="N95" s="52"/>
      <c r="O95" s="52"/>
      <c r="P95" s="65"/>
      <c r="Q95" s="47"/>
    </row>
    <row r="96" spans="1:24" x14ac:dyDescent="0.25">
      <c r="A96" s="86"/>
      <c r="B96" s="173" t="str">
        <f>$B$3</f>
        <v>Kaikki ARTTU2-kunnat</v>
      </c>
      <c r="C96" s="132" t="str">
        <f>$C$3</f>
        <v>alle 5000 as. kunnat</v>
      </c>
      <c r="D96" s="132" t="str">
        <f>$D$3</f>
        <v>Keitele</v>
      </c>
      <c r="E96" s="135" t="s">
        <v>145</v>
      </c>
      <c r="F96" s="23" t="str">
        <f>A95&amp;" "&amp;E98</f>
        <v>20. Miten arvioit yleistä ilmapiiriä eri osapuolten välillä kuntasi asioiden hoidossa? (N=19)</v>
      </c>
      <c r="G96" s="50"/>
      <c r="H96" s="50"/>
      <c r="I96" s="50"/>
      <c r="J96" s="50"/>
      <c r="K96" s="50"/>
      <c r="L96" s="50"/>
      <c r="M96" s="50"/>
      <c r="N96" s="50"/>
      <c r="O96" s="50"/>
      <c r="P96" s="47"/>
      <c r="Q96" s="47"/>
    </row>
    <row r="97" spans="1:17" x14ac:dyDescent="0.25">
      <c r="A97" s="145" t="s">
        <v>403</v>
      </c>
      <c r="B97" s="132">
        <f>Kysymys20!G6</f>
        <v>50.1</v>
      </c>
      <c r="C97" s="132">
        <f>VLOOKUP(AN_koko,TN_k20_ryhmat[],2)</f>
        <v>31.8</v>
      </c>
      <c r="D97" s="132">
        <f>VLOOKUP(Etusivu!$B$9,TN_k20_kunnat[],2,FALSE)</f>
        <v>94.7</v>
      </c>
      <c r="E97" s="152">
        <f>VLOOKUP(Etusivu!$B$9,TN_k20_kunnat[],7,FALSE)</f>
        <v>19</v>
      </c>
      <c r="F97" s="55"/>
      <c r="G97" s="55"/>
      <c r="H97" s="52"/>
      <c r="I97" s="52"/>
      <c r="J97" s="52"/>
      <c r="K97" s="52"/>
      <c r="L97" s="52"/>
      <c r="M97" s="50"/>
      <c r="N97" s="54"/>
      <c r="O97" s="49"/>
      <c r="P97" s="47"/>
      <c r="Q97" s="47"/>
    </row>
    <row r="98" spans="1:17" x14ac:dyDescent="0.25">
      <c r="A98" s="145" t="s">
        <v>404</v>
      </c>
      <c r="B98" s="132">
        <f>Kysymys20!G7</f>
        <v>60.5</v>
      </c>
      <c r="C98" s="132">
        <f>VLOOKUP(AN_koko,TN_k20_ryhmat[],3)</f>
        <v>42.5</v>
      </c>
      <c r="D98" s="132">
        <f>VLOOKUP(Etusivu!$B$9,TN_k20_kunnat[],3,FALSE)</f>
        <v>100</v>
      </c>
      <c r="E98" s="135" t="str">
        <f>$F$1&amp;""&amp;E96&amp;$H$1&amp;E97&amp;""&amp;$G$1</f>
        <v>(N=19)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47"/>
      <c r="Q98" s="47"/>
    </row>
    <row r="99" spans="1:17" x14ac:dyDescent="0.25">
      <c r="A99" s="145" t="s">
        <v>405</v>
      </c>
      <c r="B99" s="132">
        <f>Kysymys20!G8</f>
        <v>37.299999999999997</v>
      </c>
      <c r="C99" s="132">
        <f>VLOOKUP(AN_koko,TN_k20_ryhmat[],4)</f>
        <v>27</v>
      </c>
      <c r="D99" s="132">
        <f>VLOOKUP(Etusivu!$B$9,TN_k20_kunnat[],4,FALSE)</f>
        <v>78.900000000000006</v>
      </c>
      <c r="E99" s="152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47"/>
      <c r="Q99" s="47"/>
    </row>
    <row r="100" spans="1:17" x14ac:dyDescent="0.25">
      <c r="A100" s="145" t="s">
        <v>406</v>
      </c>
      <c r="B100" s="132">
        <f>Kysymys20!G9</f>
        <v>48.7</v>
      </c>
      <c r="C100" s="132">
        <f>VLOOKUP(AN_koko,TN_k20_ryhmat[],5)</f>
        <v>39.1</v>
      </c>
      <c r="D100" s="132">
        <f>VLOOKUP(Etusivu!$B$9,TN_k20_kunnat[],5,FALSE)</f>
        <v>88.9</v>
      </c>
      <c r="E100" s="152"/>
      <c r="F100" s="56"/>
      <c r="G100" s="56"/>
      <c r="H100" s="53"/>
      <c r="I100" s="53"/>
      <c r="J100" s="53"/>
      <c r="K100" s="53"/>
      <c r="L100" s="53"/>
      <c r="M100" s="50"/>
      <c r="N100" s="50"/>
      <c r="O100" s="50"/>
      <c r="P100" s="47"/>
      <c r="Q100" s="47"/>
    </row>
    <row r="101" spans="1:17" x14ac:dyDescent="0.25">
      <c r="A101" s="145" t="s">
        <v>407</v>
      </c>
      <c r="B101" s="132">
        <f>Kysymys20!G10</f>
        <v>50.8</v>
      </c>
      <c r="C101" s="132">
        <f>VLOOKUP(AN_koko,TN_k20_ryhmat[],6)</f>
        <v>42.5</v>
      </c>
      <c r="D101" s="132">
        <f>VLOOKUP(Etusivu!$B$9,TN_k20_kunnat[],6,FALSE)</f>
        <v>84.2</v>
      </c>
      <c r="E101" s="152"/>
      <c r="F101" s="56"/>
      <c r="G101" s="56"/>
      <c r="H101" s="53"/>
      <c r="I101" s="53"/>
      <c r="J101" s="53"/>
      <c r="K101" s="53"/>
      <c r="L101" s="53"/>
      <c r="M101" s="50"/>
      <c r="N101" s="50"/>
      <c r="O101" s="50"/>
      <c r="P101" s="47"/>
      <c r="Q101" s="47"/>
    </row>
    <row r="102" spans="1:17" x14ac:dyDescent="0.25">
      <c r="A102" s="131" t="s">
        <v>413</v>
      </c>
      <c r="B102" s="132"/>
      <c r="C102" s="132"/>
      <c r="D102" s="132"/>
      <c r="E102" s="152"/>
      <c r="F102" s="56"/>
      <c r="G102" s="56"/>
      <c r="H102" s="53"/>
      <c r="I102" s="53"/>
      <c r="J102" s="53"/>
      <c r="K102" s="53"/>
      <c r="L102" s="53"/>
      <c r="M102" s="50"/>
      <c r="N102" s="50"/>
      <c r="O102" s="50"/>
      <c r="P102" s="47"/>
      <c r="Q102" s="47"/>
    </row>
    <row r="103" spans="1:17" x14ac:dyDescent="0.25">
      <c r="A103" s="86"/>
      <c r="B103" s="173" t="str">
        <f>$B$3</f>
        <v>Kaikki ARTTU2-kunnat</v>
      </c>
      <c r="C103" s="132" t="str">
        <f>$C$3</f>
        <v>alle 5000 as. kunnat</v>
      </c>
      <c r="D103" s="132" t="str">
        <f>$D$3</f>
        <v>Keitele</v>
      </c>
      <c r="E103" s="135" t="s">
        <v>145</v>
      </c>
      <c r="F103" s="23" t="str">
        <f>A102&amp;" "&amp;E105</f>
        <v>21. Mitä mieltä olet seuraavista, päätösten valmisteluun liittyvistä seikoista? Miten olet kokenut ne kunnassasi?  (N=15)</v>
      </c>
      <c r="G103" s="44"/>
      <c r="H103" s="45"/>
      <c r="I103" s="45"/>
      <c r="J103" s="45"/>
      <c r="K103" s="45"/>
      <c r="L103" s="45"/>
      <c r="M103" s="46"/>
      <c r="N103" s="46"/>
      <c r="O103" s="46"/>
      <c r="P103" s="43"/>
      <c r="Q103" s="43"/>
    </row>
    <row r="104" spans="1:17" x14ac:dyDescent="0.25">
      <c r="A104" s="85" t="s">
        <v>409</v>
      </c>
      <c r="B104" s="176">
        <f>Kysymys21!G7</f>
        <v>40.299999999999997</v>
      </c>
      <c r="C104" s="132">
        <f>VLOOKUP(AN_koko,TN_k21_ryhmat[],2)</f>
        <v>36.200000000000003</v>
      </c>
      <c r="D104" s="132">
        <f>VLOOKUP(Etusivu!$B$9,TN_k21_kunnat[],2,FALSE)</f>
        <v>80</v>
      </c>
      <c r="E104" s="148">
        <f>VLOOKUP(Etusivu!$B$9,TN_k21_kunnat[],7,FALSE)</f>
        <v>15</v>
      </c>
      <c r="F104" s="31"/>
      <c r="G104" s="31"/>
      <c r="H104" s="32"/>
      <c r="I104" s="32"/>
      <c r="J104" s="32"/>
      <c r="K104" s="32"/>
      <c r="L104" s="32"/>
      <c r="M104" s="33"/>
      <c r="N104" s="33"/>
      <c r="O104" s="33"/>
      <c r="P104" s="30"/>
      <c r="Q104" s="30"/>
    </row>
    <row r="105" spans="1:17" x14ac:dyDescent="0.25">
      <c r="A105" s="146" t="s">
        <v>408</v>
      </c>
      <c r="B105" s="176">
        <f>Kysymys21!G8</f>
        <v>42.4</v>
      </c>
      <c r="C105" s="132">
        <f>VLOOKUP(AN_koko,TN_k21_ryhmat[],3)</f>
        <v>36.200000000000003</v>
      </c>
      <c r="D105" s="132">
        <f>VLOOKUP(Etusivu!$B$9,TN_k21_kunnat[],3,FALSE)</f>
        <v>80</v>
      </c>
      <c r="E105" s="135" t="str">
        <f>$F$1&amp;""&amp;E103&amp;$H$1&amp;E104&amp;""&amp;$G$1</f>
        <v>(N=15)</v>
      </c>
      <c r="F105" s="31"/>
      <c r="G105" s="31"/>
      <c r="H105" s="32"/>
      <c r="I105" s="32"/>
      <c r="J105" s="32"/>
      <c r="K105" s="32"/>
      <c r="L105" s="32"/>
      <c r="M105" s="33"/>
      <c r="N105" s="33"/>
      <c r="O105" s="33"/>
      <c r="P105" s="30"/>
      <c r="Q105" s="30"/>
    </row>
    <row r="106" spans="1:17" x14ac:dyDescent="0.25">
      <c r="A106" s="85" t="s">
        <v>410</v>
      </c>
      <c r="B106" s="176">
        <f>Kysymys21!G9</f>
        <v>48.4</v>
      </c>
      <c r="C106" s="132">
        <f>VLOOKUP(AN_koko,TN_k21_ryhmat[],4)</f>
        <v>37.700000000000003</v>
      </c>
      <c r="D106" s="132">
        <f>VLOOKUP(Etusivu!$B$9,TN_k21_kunnat[],4,FALSE)</f>
        <v>86.7</v>
      </c>
      <c r="E106" s="148"/>
      <c r="F106" s="31"/>
      <c r="G106" s="31"/>
      <c r="H106" s="32"/>
      <c r="I106" s="32"/>
      <c r="J106" s="32"/>
      <c r="K106" s="32"/>
      <c r="L106" s="32"/>
      <c r="M106" s="33"/>
      <c r="N106" s="33"/>
      <c r="O106" s="33"/>
      <c r="P106" s="30"/>
      <c r="Q106" s="30"/>
    </row>
    <row r="107" spans="1:17" x14ac:dyDescent="0.25">
      <c r="A107" s="85" t="s">
        <v>411</v>
      </c>
      <c r="B107" s="176">
        <f>Kysymys21!G10</f>
        <v>58.8</v>
      </c>
      <c r="C107" s="132">
        <f>VLOOKUP(AN_koko,TN_k21_ryhmat[],5)</f>
        <v>48.1</v>
      </c>
      <c r="D107" s="132">
        <f>VLOOKUP(Etusivu!$B$9,TN_k21_kunnat[],5,FALSE)</f>
        <v>93.3</v>
      </c>
      <c r="E107" s="148"/>
      <c r="F107" s="31"/>
      <c r="G107" s="31"/>
      <c r="H107" s="32"/>
      <c r="I107" s="32"/>
      <c r="J107" s="32"/>
      <c r="K107" s="32"/>
      <c r="L107" s="32"/>
      <c r="M107" s="33"/>
      <c r="N107" s="33"/>
      <c r="O107" s="33"/>
      <c r="P107" s="30"/>
      <c r="Q107" s="30"/>
    </row>
    <row r="108" spans="1:17" x14ac:dyDescent="0.25">
      <c r="A108" s="85" t="s">
        <v>412</v>
      </c>
      <c r="B108" s="176">
        <f>Kysymys21!G11</f>
        <v>77.099999999999994</v>
      </c>
      <c r="C108" s="132">
        <f>VLOOKUP(AN_koko,TN_k21_ryhmat[],6)</f>
        <v>70.3</v>
      </c>
      <c r="D108" s="132">
        <f>VLOOKUP(Etusivu!$B$9,TN_k21_kunnat[],6,FALSE)</f>
        <v>93.3</v>
      </c>
      <c r="E108" s="148"/>
      <c r="F108" s="31"/>
      <c r="G108" s="31"/>
      <c r="H108" s="32"/>
      <c r="I108" s="32"/>
      <c r="J108" s="32"/>
      <c r="K108" s="32"/>
      <c r="L108" s="32"/>
      <c r="M108" s="33"/>
      <c r="N108" s="33"/>
      <c r="O108" s="33"/>
      <c r="P108" s="30"/>
      <c r="Q108" s="30"/>
    </row>
    <row r="109" spans="1:17" x14ac:dyDescent="0.25">
      <c r="A109" s="87" t="s">
        <v>459</v>
      </c>
      <c r="B109" s="176"/>
      <c r="C109" s="132"/>
      <c r="D109" s="132"/>
      <c r="E109" s="148"/>
      <c r="F109" s="31"/>
      <c r="G109" s="31"/>
      <c r="H109" s="32"/>
      <c r="I109" s="32"/>
      <c r="J109" s="32"/>
      <c r="K109" s="32"/>
      <c r="L109" s="32"/>
      <c r="M109" s="33"/>
      <c r="N109" s="33"/>
      <c r="O109" s="33"/>
      <c r="P109" s="30"/>
      <c r="Q109" s="30"/>
    </row>
    <row r="110" spans="1:17" x14ac:dyDescent="0.25">
      <c r="A110" s="85"/>
      <c r="B110" s="173" t="str">
        <f>$B$3</f>
        <v>Kaikki ARTTU2-kunnat</v>
      </c>
      <c r="C110" s="132" t="str">
        <f>$C$3</f>
        <v>alle 5000 as. kunnat</v>
      </c>
      <c r="D110" s="132" t="str">
        <f>$D$3</f>
        <v>Keitele</v>
      </c>
      <c r="E110" s="135" t="s">
        <v>145</v>
      </c>
      <c r="F110" s="23" t="str">
        <f>A109&amp;" "&amp;E112</f>
        <v>22. Ota kantaa seuraaviin kysymyksiin valtuustokauden strategiasta. (N=15)</v>
      </c>
      <c r="G110" s="31"/>
      <c r="H110" s="32"/>
      <c r="I110" s="32"/>
      <c r="J110" s="32"/>
      <c r="K110" s="32"/>
      <c r="L110" s="32"/>
      <c r="M110" s="33"/>
      <c r="N110" s="33"/>
      <c r="O110" s="33"/>
      <c r="P110" s="30"/>
      <c r="Q110" s="30"/>
    </row>
    <row r="111" spans="1:17" x14ac:dyDescent="0.25">
      <c r="A111" s="85" t="s">
        <v>415</v>
      </c>
      <c r="B111" s="177">
        <f>Kysymys22!K7</f>
        <v>46.7</v>
      </c>
      <c r="C111" s="132">
        <f>VLOOKUP(AN_koko,TN_k22_ryhmat[],2)</f>
        <v>36.700000000000003</v>
      </c>
      <c r="D111" s="132">
        <f>VLOOKUP(Etusivu!$B$9,TN_k22_kunnat[],2,FALSE)</f>
        <v>66.7</v>
      </c>
      <c r="E111" s="148">
        <f>VLOOKUP(Etusivu!$B$9,TN_k22_kunnat[],4,FALSE)</f>
        <v>15</v>
      </c>
      <c r="F111" s="31"/>
      <c r="G111" s="31"/>
      <c r="H111" s="32"/>
      <c r="I111" s="32"/>
      <c r="J111" s="32"/>
      <c r="K111" s="32"/>
      <c r="L111" s="32"/>
      <c r="M111" s="33"/>
      <c r="N111" s="33"/>
      <c r="O111" s="33"/>
      <c r="P111" s="30"/>
      <c r="Q111" s="30"/>
    </row>
    <row r="112" spans="1:17" x14ac:dyDescent="0.25">
      <c r="A112" s="85" t="s">
        <v>416</v>
      </c>
      <c r="B112" s="177">
        <f>Kysymys22!K8</f>
        <v>40.9</v>
      </c>
      <c r="C112" s="132">
        <f>VLOOKUP(AN_koko,TN_k22_ryhmat[],3)</f>
        <v>30.4</v>
      </c>
      <c r="D112" s="132">
        <f>VLOOKUP(Etusivu!$B$9,TN_k22_kunnat[],3,FALSE)</f>
        <v>85.7</v>
      </c>
      <c r="E112" s="135" t="str">
        <f>$F$1&amp;""&amp;E110&amp;$H$1&amp;E111&amp;""&amp;$G$1</f>
        <v>(N=15)</v>
      </c>
      <c r="F112" s="31"/>
      <c r="G112" s="31"/>
      <c r="H112" s="32"/>
      <c r="I112" s="32"/>
      <c r="J112" s="32"/>
      <c r="K112" s="32"/>
      <c r="L112" s="32"/>
      <c r="M112" s="33"/>
      <c r="N112" s="33"/>
      <c r="O112" s="33"/>
      <c r="P112" s="30"/>
      <c r="Q112" s="30"/>
    </row>
    <row r="113" spans="1:17" x14ac:dyDescent="0.25">
      <c r="A113" s="85"/>
      <c r="B113" s="31"/>
      <c r="C113" s="19"/>
      <c r="D113" s="19"/>
      <c r="E113" s="33"/>
      <c r="F113" s="31"/>
      <c r="G113" s="31"/>
      <c r="H113" s="32"/>
      <c r="I113" s="32"/>
      <c r="J113" s="32"/>
      <c r="K113" s="32"/>
      <c r="L113" s="32"/>
      <c r="M113" s="33"/>
      <c r="N113" s="33"/>
      <c r="O113" s="33"/>
      <c r="P113" s="30"/>
      <c r="Q113" s="34"/>
    </row>
    <row r="114" spans="1:17" x14ac:dyDescent="0.25">
      <c r="A114" s="85"/>
      <c r="B114" s="31"/>
      <c r="C114" s="19"/>
      <c r="D114" s="19"/>
      <c r="E114" s="33"/>
      <c r="F114" s="31"/>
      <c r="G114" s="31"/>
      <c r="H114" s="32"/>
      <c r="I114" s="32"/>
      <c r="J114" s="32"/>
      <c r="K114" s="32"/>
      <c r="L114" s="32"/>
      <c r="M114" s="33"/>
      <c r="N114" s="33"/>
      <c r="O114" s="33"/>
      <c r="P114" s="30"/>
      <c r="Q114" s="30"/>
    </row>
    <row r="115" spans="1:17" x14ac:dyDescent="0.25">
      <c r="A115" s="85"/>
      <c r="B115" s="31"/>
      <c r="C115" s="19"/>
      <c r="D115" s="19"/>
      <c r="E115" s="33"/>
      <c r="F115" s="31"/>
      <c r="G115" s="31"/>
      <c r="H115" s="32"/>
      <c r="I115" s="32"/>
      <c r="J115" s="32"/>
      <c r="K115" s="32"/>
      <c r="L115" s="32"/>
      <c r="M115" s="33"/>
      <c r="N115" s="33"/>
      <c r="O115" s="33"/>
      <c r="P115" s="30"/>
      <c r="Q115" s="30"/>
    </row>
    <row r="116" spans="1:17" x14ac:dyDescent="0.25">
      <c r="A116" s="85"/>
      <c r="B116" s="31"/>
      <c r="C116" s="19"/>
      <c r="D116" s="19"/>
      <c r="E116" s="33"/>
      <c r="F116" s="31"/>
      <c r="G116" s="31"/>
      <c r="H116" s="32"/>
      <c r="I116" s="32"/>
      <c r="J116" s="32"/>
      <c r="K116" s="32"/>
      <c r="L116" s="32"/>
      <c r="M116" s="33"/>
      <c r="N116" s="33"/>
      <c r="O116" s="33"/>
      <c r="P116" s="30"/>
      <c r="Q116" s="30"/>
    </row>
    <row r="117" spans="1:17" x14ac:dyDescent="0.25">
      <c r="A117" s="85"/>
      <c r="B117" s="31"/>
      <c r="C117" s="19"/>
      <c r="D117" s="19"/>
      <c r="E117" s="33"/>
      <c r="F117" s="31"/>
      <c r="G117" s="31"/>
      <c r="H117" s="32"/>
      <c r="I117" s="32"/>
      <c r="J117" s="32"/>
      <c r="K117" s="32"/>
      <c r="L117" s="32"/>
      <c r="M117" s="33"/>
      <c r="N117" s="33"/>
      <c r="O117" s="33"/>
      <c r="P117" s="30"/>
      <c r="Q117" s="30"/>
    </row>
    <row r="118" spans="1:17" x14ac:dyDescent="0.25">
      <c r="A118" s="85"/>
      <c r="B118" s="31"/>
      <c r="C118" s="19"/>
      <c r="D118" s="19"/>
      <c r="E118" s="33"/>
      <c r="F118" s="31"/>
      <c r="G118" s="31"/>
      <c r="H118" s="32"/>
      <c r="I118" s="32"/>
      <c r="J118" s="32"/>
      <c r="K118" s="32"/>
      <c r="L118" s="32"/>
      <c r="M118" s="33"/>
      <c r="N118" s="33"/>
      <c r="O118" s="33"/>
      <c r="P118" s="30"/>
      <c r="Q118" s="30"/>
    </row>
    <row r="119" spans="1:17" x14ac:dyDescent="0.25">
      <c r="A119" s="85"/>
      <c r="B119" s="31"/>
      <c r="C119" s="19"/>
      <c r="D119" s="19"/>
      <c r="E119" s="33"/>
      <c r="F119" s="31"/>
      <c r="G119" s="31"/>
      <c r="H119" s="32"/>
      <c r="I119" s="32"/>
      <c r="J119" s="32"/>
      <c r="K119" s="32"/>
      <c r="L119" s="32"/>
      <c r="M119" s="33"/>
      <c r="N119" s="33"/>
      <c r="O119" s="33"/>
      <c r="P119" s="30"/>
      <c r="Q119" s="30"/>
    </row>
    <row r="120" spans="1:17" x14ac:dyDescent="0.25">
      <c r="A120" s="85"/>
      <c r="B120" s="31"/>
      <c r="C120" s="19"/>
      <c r="D120" s="19"/>
      <c r="E120" s="33"/>
      <c r="F120" s="31"/>
      <c r="G120" s="31"/>
      <c r="H120" s="32"/>
      <c r="I120" s="32"/>
      <c r="J120" s="32"/>
      <c r="K120" s="32"/>
      <c r="L120" s="32"/>
      <c r="M120" s="33"/>
      <c r="N120" s="33"/>
      <c r="O120" s="33"/>
      <c r="P120" s="30"/>
      <c r="Q120" s="30"/>
    </row>
    <row r="121" spans="1:17" x14ac:dyDescent="0.25">
      <c r="A121" s="85"/>
      <c r="B121" s="31"/>
      <c r="C121" s="19"/>
      <c r="D121" s="19"/>
      <c r="E121" s="33"/>
      <c r="F121" s="31"/>
      <c r="G121" s="31"/>
      <c r="H121" s="32"/>
      <c r="I121" s="32"/>
      <c r="J121" s="32"/>
      <c r="K121" s="32"/>
      <c r="L121" s="32"/>
      <c r="M121" s="33"/>
      <c r="N121" s="33"/>
      <c r="O121" s="33"/>
      <c r="P121" s="30"/>
      <c r="Q121" s="30"/>
    </row>
    <row r="122" spans="1:17" x14ac:dyDescent="0.25">
      <c r="A122" s="85"/>
      <c r="B122" s="31"/>
      <c r="C122" s="19"/>
      <c r="D122" s="19"/>
      <c r="E122" s="33"/>
      <c r="F122" s="31"/>
      <c r="G122" s="31"/>
      <c r="H122" s="32"/>
      <c r="I122" s="32"/>
      <c r="J122" s="32"/>
      <c r="K122" s="32"/>
      <c r="L122" s="32"/>
      <c r="M122" s="33"/>
      <c r="N122" s="33"/>
      <c r="O122" s="33"/>
      <c r="P122" s="30"/>
      <c r="Q122" s="30"/>
    </row>
    <row r="123" spans="1:17" ht="13" x14ac:dyDescent="0.3">
      <c r="A123" s="93"/>
      <c r="B123" s="31"/>
      <c r="C123" s="31"/>
      <c r="D123" s="32"/>
      <c r="E123" s="33"/>
      <c r="F123" s="31"/>
      <c r="G123" s="31"/>
      <c r="H123" s="32"/>
      <c r="I123" s="32"/>
      <c r="J123" s="32"/>
      <c r="K123" s="32"/>
      <c r="L123" s="32"/>
      <c r="M123" s="33"/>
      <c r="N123" s="33"/>
      <c r="O123" s="33"/>
      <c r="P123" s="30"/>
      <c r="Q123" s="30"/>
    </row>
    <row r="124" spans="1:17" x14ac:dyDescent="0.25">
      <c r="A124" s="30"/>
      <c r="D124" s="18"/>
      <c r="E124" s="33"/>
      <c r="F124" s="31"/>
      <c r="G124" s="31"/>
      <c r="H124" s="32"/>
      <c r="I124" s="32"/>
      <c r="J124" s="32"/>
      <c r="K124" s="32"/>
      <c r="L124" s="32"/>
      <c r="M124" s="33"/>
      <c r="N124" s="33"/>
      <c r="O124" s="33"/>
      <c r="P124" s="30"/>
      <c r="Q124" s="30"/>
    </row>
    <row r="125" spans="1:17" x14ac:dyDescent="0.25">
      <c r="A125" s="86"/>
      <c r="B125" s="36"/>
      <c r="C125" s="64"/>
      <c r="D125" s="64"/>
      <c r="E125" s="33"/>
      <c r="F125" s="31"/>
      <c r="G125" s="31"/>
      <c r="H125" s="32"/>
      <c r="I125" s="32"/>
      <c r="J125" s="32"/>
      <c r="K125" s="32"/>
      <c r="L125" s="32"/>
      <c r="M125" s="33"/>
      <c r="N125" s="33"/>
      <c r="O125" s="33"/>
      <c r="P125" s="34"/>
      <c r="Q125" s="30"/>
    </row>
    <row r="126" spans="1:17" x14ac:dyDescent="0.25">
      <c r="A126" s="86"/>
      <c r="B126" s="36"/>
      <c r="C126" s="64"/>
      <c r="D126" s="64"/>
      <c r="E126" s="33"/>
      <c r="F126" s="31"/>
      <c r="G126" s="31"/>
      <c r="H126" s="32"/>
      <c r="I126" s="32"/>
      <c r="J126" s="32"/>
      <c r="K126" s="32"/>
      <c r="L126" s="32"/>
      <c r="M126" s="33"/>
      <c r="N126" s="33"/>
      <c r="O126" s="33"/>
      <c r="P126" s="34"/>
      <c r="Q126" s="30"/>
    </row>
    <row r="127" spans="1:17" x14ac:dyDescent="0.25">
      <c r="A127" s="86"/>
      <c r="B127" s="36"/>
      <c r="C127" s="64"/>
      <c r="D127" s="64"/>
      <c r="E127" s="33"/>
      <c r="F127" s="31"/>
      <c r="G127" s="31"/>
      <c r="H127" s="32"/>
      <c r="I127" s="32"/>
      <c r="J127" s="32"/>
      <c r="K127" s="32"/>
      <c r="L127" s="32"/>
      <c r="M127" s="33"/>
      <c r="N127" s="33"/>
      <c r="O127" s="33"/>
      <c r="P127" s="30"/>
      <c r="Q127" s="30"/>
    </row>
    <row r="128" spans="1:17" x14ac:dyDescent="0.25">
      <c r="A128" s="86"/>
      <c r="B128" s="36"/>
      <c r="C128" s="64"/>
      <c r="D128" s="64"/>
      <c r="E128" s="33"/>
      <c r="F128" s="31"/>
      <c r="G128" s="31"/>
      <c r="H128" s="32"/>
      <c r="I128" s="32"/>
      <c r="J128" s="32"/>
      <c r="K128" s="32"/>
      <c r="L128" s="32"/>
      <c r="M128" s="33"/>
      <c r="N128" s="33"/>
      <c r="O128" s="33"/>
      <c r="P128" s="30"/>
      <c r="Q128" s="30"/>
    </row>
    <row r="129" spans="1:17" x14ac:dyDescent="0.25">
      <c r="A129" s="86"/>
      <c r="B129" s="36"/>
      <c r="C129" s="64"/>
      <c r="D129" s="64"/>
      <c r="E129" s="33"/>
      <c r="F129" s="31"/>
      <c r="G129" s="31"/>
      <c r="H129" s="32"/>
      <c r="I129" s="32"/>
      <c r="J129" s="32"/>
      <c r="K129" s="32"/>
      <c r="L129" s="32"/>
      <c r="M129" s="33"/>
      <c r="N129" s="33"/>
      <c r="O129" s="33"/>
      <c r="P129" s="30"/>
      <c r="Q129" s="30"/>
    </row>
    <row r="130" spans="1:17" x14ac:dyDescent="0.25">
      <c r="A130" s="86"/>
      <c r="B130" s="36"/>
      <c r="C130" s="64"/>
      <c r="D130" s="64"/>
      <c r="E130" s="33"/>
      <c r="F130" s="31"/>
      <c r="G130" s="31"/>
      <c r="H130" s="32"/>
      <c r="I130" s="32"/>
      <c r="J130" s="32"/>
      <c r="K130" s="32"/>
      <c r="L130" s="32"/>
      <c r="M130" s="33"/>
      <c r="N130" s="33"/>
      <c r="O130" s="33"/>
      <c r="P130" s="30"/>
      <c r="Q130" s="30"/>
    </row>
    <row r="131" spans="1:17" x14ac:dyDescent="0.25">
      <c r="A131" s="86"/>
      <c r="B131" s="36"/>
      <c r="C131" s="64"/>
      <c r="D131" s="64"/>
      <c r="E131" s="33"/>
      <c r="F131" s="31"/>
      <c r="G131" s="31"/>
      <c r="H131" s="32"/>
      <c r="I131" s="32"/>
      <c r="J131" s="32"/>
      <c r="K131" s="32"/>
      <c r="L131" s="32"/>
      <c r="M131" s="33"/>
      <c r="N131" s="33"/>
      <c r="O131" s="33"/>
      <c r="P131" s="30"/>
      <c r="Q131" s="30"/>
    </row>
    <row r="132" spans="1:17" x14ac:dyDescent="0.25">
      <c r="A132" s="86"/>
      <c r="B132" s="36"/>
      <c r="C132" s="64"/>
      <c r="D132" s="64"/>
      <c r="E132" s="33"/>
      <c r="F132" s="31"/>
      <c r="G132" s="31"/>
      <c r="H132" s="32"/>
      <c r="I132" s="32"/>
      <c r="J132" s="32"/>
      <c r="K132" s="32"/>
      <c r="L132" s="32"/>
      <c r="M132" s="33"/>
      <c r="N132" s="33"/>
      <c r="O132" s="33"/>
      <c r="P132" s="30"/>
      <c r="Q132" s="30"/>
    </row>
    <row r="133" spans="1:17" x14ac:dyDescent="0.25">
      <c r="A133" s="86"/>
      <c r="B133" s="36"/>
      <c r="C133" s="64"/>
      <c r="D133" s="64"/>
      <c r="E133" s="33"/>
      <c r="F133" s="31"/>
      <c r="G133" s="31"/>
      <c r="H133" s="32"/>
      <c r="I133" s="32"/>
      <c r="J133" s="32"/>
      <c r="K133" s="32"/>
      <c r="L133" s="32"/>
      <c r="M133" s="33"/>
      <c r="N133" s="33"/>
      <c r="O133" s="33"/>
      <c r="P133" s="30"/>
      <c r="Q133" s="30"/>
    </row>
    <row r="134" spans="1:17" x14ac:dyDescent="0.25">
      <c r="A134" s="86"/>
      <c r="B134" s="36"/>
      <c r="C134" s="64"/>
      <c r="D134" s="64"/>
      <c r="E134" s="33"/>
      <c r="F134" s="31"/>
      <c r="G134" s="31"/>
      <c r="H134" s="32"/>
      <c r="I134" s="32"/>
      <c r="J134" s="32"/>
      <c r="K134" s="32"/>
      <c r="L134" s="32"/>
      <c r="M134" s="33"/>
      <c r="N134" s="33"/>
      <c r="O134" s="33"/>
      <c r="P134" s="30"/>
      <c r="Q134" s="30"/>
    </row>
    <row r="135" spans="1:17" ht="13" x14ac:dyDescent="0.3">
      <c r="A135" s="97"/>
      <c r="B135" s="31"/>
      <c r="C135" s="31"/>
      <c r="D135" s="32"/>
      <c r="E135" s="33"/>
      <c r="F135" s="31"/>
      <c r="G135" s="31"/>
      <c r="H135" s="32"/>
      <c r="I135" s="32"/>
      <c r="J135" s="32"/>
      <c r="K135" s="32"/>
      <c r="L135" s="32"/>
      <c r="M135" s="33"/>
      <c r="N135" s="33"/>
      <c r="O135" s="33"/>
      <c r="P135" s="30"/>
      <c r="Q135" s="30"/>
    </row>
    <row r="136" spans="1:17" x14ac:dyDescent="0.25">
      <c r="A136" s="30"/>
      <c r="D136" s="18"/>
      <c r="E136" s="33"/>
      <c r="F136" s="31"/>
      <c r="G136" s="31"/>
      <c r="H136" s="32"/>
      <c r="I136" s="32"/>
      <c r="J136" s="32"/>
      <c r="K136" s="32"/>
      <c r="L136" s="32"/>
      <c r="M136" s="33"/>
      <c r="N136" s="33"/>
      <c r="O136" s="33"/>
      <c r="P136" s="30"/>
      <c r="Q136" s="30"/>
    </row>
    <row r="137" spans="1:17" x14ac:dyDescent="0.25">
      <c r="A137" s="86"/>
      <c r="B137" s="36"/>
      <c r="C137" s="64"/>
      <c r="D137" s="64"/>
      <c r="E137" s="33"/>
      <c r="F137" s="31"/>
      <c r="G137" s="31"/>
      <c r="H137" s="32"/>
      <c r="I137" s="32"/>
      <c r="J137" s="32"/>
      <c r="K137" s="32"/>
      <c r="L137" s="32"/>
      <c r="M137" s="33"/>
      <c r="N137" s="33"/>
      <c r="O137" s="33"/>
      <c r="P137" s="30"/>
      <c r="Q137" s="30"/>
    </row>
    <row r="138" spans="1:17" x14ac:dyDescent="0.25">
      <c r="A138" s="86"/>
      <c r="B138" s="36"/>
      <c r="C138" s="64"/>
      <c r="D138" s="64"/>
      <c r="E138" s="33"/>
      <c r="F138" s="31"/>
      <c r="G138" s="31"/>
      <c r="H138" s="32"/>
      <c r="I138" s="32"/>
      <c r="J138" s="32"/>
      <c r="K138" s="32"/>
      <c r="L138" s="32"/>
      <c r="M138" s="33"/>
      <c r="N138" s="33"/>
      <c r="O138" s="33"/>
      <c r="P138" s="30"/>
      <c r="Q138" s="30"/>
    </row>
    <row r="139" spans="1:17" x14ac:dyDescent="0.25">
      <c r="A139" s="86"/>
      <c r="B139" s="36"/>
      <c r="C139" s="64"/>
      <c r="D139" s="64"/>
      <c r="E139" s="33"/>
      <c r="F139" s="31"/>
      <c r="G139" s="31"/>
      <c r="H139" s="32"/>
      <c r="I139" s="32"/>
      <c r="J139" s="32"/>
      <c r="K139" s="32"/>
      <c r="L139" s="32"/>
      <c r="M139" s="33"/>
      <c r="N139" s="33"/>
      <c r="O139" s="33"/>
      <c r="P139" s="30"/>
      <c r="Q139" s="30"/>
    </row>
    <row r="140" spans="1:17" x14ac:dyDescent="0.25">
      <c r="A140" s="86"/>
      <c r="B140" s="36"/>
      <c r="C140" s="64"/>
      <c r="D140" s="64"/>
      <c r="E140" s="33"/>
      <c r="F140" s="31"/>
      <c r="G140" s="31"/>
      <c r="H140" s="32"/>
      <c r="I140" s="32"/>
      <c r="J140" s="32"/>
      <c r="K140" s="32"/>
      <c r="L140" s="32"/>
      <c r="M140" s="33"/>
      <c r="N140" s="33"/>
      <c r="O140" s="33"/>
      <c r="P140" s="30"/>
      <c r="Q140" s="30"/>
    </row>
    <row r="141" spans="1:17" x14ac:dyDescent="0.25">
      <c r="A141" s="86"/>
      <c r="B141" s="36"/>
      <c r="C141" s="64"/>
      <c r="D141" s="64"/>
      <c r="E141" s="33"/>
      <c r="F141" s="31"/>
      <c r="G141" s="31"/>
      <c r="H141" s="32"/>
      <c r="I141" s="32"/>
      <c r="J141" s="32"/>
      <c r="K141" s="32"/>
      <c r="L141" s="32"/>
      <c r="M141" s="33"/>
      <c r="N141" s="33"/>
      <c r="O141" s="33"/>
      <c r="P141" s="30"/>
      <c r="Q141" s="30"/>
    </row>
    <row r="142" spans="1:17" x14ac:dyDescent="0.25">
      <c r="A142" s="86"/>
      <c r="B142" s="36"/>
      <c r="C142" s="64"/>
      <c r="D142" s="64"/>
      <c r="E142" s="33"/>
      <c r="F142" s="31"/>
      <c r="G142" s="31"/>
      <c r="H142" s="32"/>
      <c r="I142" s="32"/>
      <c r="J142" s="32"/>
      <c r="K142" s="32"/>
      <c r="L142" s="32"/>
      <c r="M142" s="33"/>
      <c r="N142" s="33"/>
      <c r="O142" s="33"/>
      <c r="P142" s="30"/>
      <c r="Q142" s="30"/>
    </row>
    <row r="143" spans="1:17" x14ac:dyDescent="0.25">
      <c r="A143" s="86"/>
      <c r="B143" s="36"/>
      <c r="C143" s="64"/>
      <c r="D143" s="64"/>
      <c r="E143" s="33"/>
      <c r="F143" s="31"/>
      <c r="G143" s="31"/>
      <c r="H143" s="32"/>
      <c r="I143" s="32"/>
      <c r="J143" s="32"/>
      <c r="K143" s="32"/>
      <c r="L143" s="32"/>
      <c r="M143" s="33"/>
      <c r="N143" s="33"/>
      <c r="O143" s="33"/>
      <c r="P143" s="30"/>
      <c r="Q143" s="30"/>
    </row>
    <row r="144" spans="1:17" x14ac:dyDescent="0.25">
      <c r="A144" s="86"/>
      <c r="B144" s="36"/>
      <c r="C144" s="64"/>
      <c r="D144" s="64"/>
      <c r="E144" s="33"/>
      <c r="F144" s="35"/>
      <c r="G144" s="35"/>
      <c r="H144" s="33"/>
      <c r="I144" s="33"/>
      <c r="J144" s="33"/>
      <c r="K144" s="33"/>
      <c r="L144" s="33"/>
      <c r="M144" s="36"/>
      <c r="N144" s="33"/>
      <c r="O144" s="33"/>
      <c r="P144" s="30"/>
      <c r="Q144" s="30"/>
    </row>
    <row r="145" spans="1:17" x14ac:dyDescent="0.25">
      <c r="A145" s="86"/>
      <c r="B145" s="36"/>
      <c r="C145" s="64"/>
      <c r="D145" s="64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0"/>
      <c r="Q145" s="30"/>
    </row>
    <row r="146" spans="1:17" x14ac:dyDescent="0.25">
      <c r="A146" s="86"/>
      <c r="B146" s="36"/>
      <c r="C146" s="64"/>
      <c r="D146" s="64"/>
      <c r="E146" s="33"/>
      <c r="F146" s="38"/>
      <c r="G146" s="38"/>
      <c r="H146" s="38"/>
      <c r="I146" s="38"/>
      <c r="J146" s="38"/>
      <c r="K146" s="38"/>
      <c r="L146" s="38"/>
      <c r="M146" s="33"/>
      <c r="N146" s="33"/>
      <c r="O146" s="33"/>
      <c r="P146" s="30"/>
      <c r="Q146" s="30"/>
    </row>
    <row r="147" spans="1:17" x14ac:dyDescent="0.25">
      <c r="A147" s="86"/>
      <c r="B147" s="36"/>
      <c r="C147" s="64"/>
      <c r="D147" s="6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0"/>
      <c r="Q147" s="30"/>
    </row>
    <row r="148" spans="1:17" x14ac:dyDescent="0.25">
      <c r="A148" s="86"/>
      <c r="B148" s="36"/>
      <c r="C148" s="64"/>
      <c r="D148" s="64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0"/>
      <c r="Q148" s="30"/>
    </row>
    <row r="149" spans="1:17" x14ac:dyDescent="0.25">
      <c r="A149" s="86"/>
      <c r="B149" s="36"/>
      <c r="C149" s="64"/>
      <c r="D149" s="64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0"/>
      <c r="Q149" s="30"/>
    </row>
    <row r="150" spans="1:17" x14ac:dyDescent="0.25">
      <c r="A150" s="86"/>
      <c r="B150" s="36"/>
      <c r="C150" s="64"/>
      <c r="D150" s="64"/>
      <c r="E150" s="40"/>
      <c r="F150" s="41"/>
      <c r="G150" s="41"/>
      <c r="H150" s="38"/>
      <c r="I150" s="38"/>
      <c r="J150" s="38"/>
      <c r="K150" s="38"/>
      <c r="L150" s="38"/>
      <c r="M150" s="33"/>
      <c r="N150" s="33"/>
      <c r="O150" s="33"/>
      <c r="P150" s="30"/>
      <c r="Q150" s="30"/>
    </row>
    <row r="151" spans="1:17" x14ac:dyDescent="0.25">
      <c r="A151" s="86"/>
      <c r="B151" s="36"/>
      <c r="C151" s="64"/>
      <c r="D151" s="64"/>
      <c r="E151" s="40"/>
      <c r="F151" s="41"/>
      <c r="G151" s="41"/>
      <c r="H151" s="38"/>
      <c r="I151" s="38"/>
      <c r="J151" s="38"/>
      <c r="K151" s="38"/>
      <c r="L151" s="38"/>
      <c r="M151" s="33"/>
      <c r="N151" s="33"/>
      <c r="O151" s="33"/>
      <c r="P151" s="30"/>
      <c r="Q151" s="30"/>
    </row>
    <row r="152" spans="1:17" x14ac:dyDescent="0.25">
      <c r="A152" s="86"/>
      <c r="B152" s="36"/>
      <c r="C152" s="64"/>
      <c r="D152" s="64"/>
      <c r="E152" s="40"/>
      <c r="F152" s="41"/>
      <c r="G152" s="41"/>
      <c r="H152" s="38"/>
      <c r="I152" s="38"/>
      <c r="J152" s="38"/>
      <c r="K152" s="38"/>
      <c r="L152" s="38"/>
      <c r="M152" s="33"/>
      <c r="N152" s="33"/>
      <c r="O152" s="33"/>
      <c r="P152" s="30"/>
      <c r="Q152" s="30"/>
    </row>
    <row r="153" spans="1:17" x14ac:dyDescent="0.25">
      <c r="A153" s="86"/>
      <c r="B153" s="36"/>
      <c r="C153" s="64"/>
      <c r="D153" s="64"/>
      <c r="E153" s="40"/>
      <c r="F153" s="41"/>
      <c r="G153" s="41"/>
      <c r="H153" s="38"/>
      <c r="I153" s="38"/>
      <c r="J153" s="38"/>
      <c r="K153" s="38"/>
      <c r="L153" s="38"/>
      <c r="M153" s="33"/>
      <c r="N153" s="33"/>
      <c r="O153" s="33"/>
      <c r="P153" s="30"/>
      <c r="Q153" s="30"/>
    </row>
    <row r="154" spans="1:17" ht="13" x14ac:dyDescent="0.3">
      <c r="A154" s="97"/>
      <c r="B154" s="39"/>
      <c r="C154" s="39"/>
      <c r="D154" s="38"/>
      <c r="E154" s="40"/>
      <c r="F154" s="41"/>
      <c r="G154" s="41"/>
      <c r="H154" s="38"/>
      <c r="I154" s="38"/>
      <c r="J154" s="38"/>
      <c r="K154" s="38"/>
      <c r="L154" s="38"/>
      <c r="M154" s="33"/>
      <c r="N154" s="33"/>
      <c r="O154" s="33"/>
      <c r="P154" s="30"/>
      <c r="Q154" s="30"/>
    </row>
    <row r="155" spans="1:17" x14ac:dyDescent="0.25">
      <c r="A155" s="30"/>
      <c r="D155" s="18"/>
      <c r="E155" s="40"/>
      <c r="F155" s="41"/>
      <c r="G155" s="41"/>
      <c r="H155" s="38"/>
      <c r="I155" s="38"/>
      <c r="J155" s="38"/>
      <c r="K155" s="38"/>
      <c r="L155" s="38"/>
      <c r="M155" s="33"/>
      <c r="N155" s="33"/>
      <c r="O155" s="33"/>
      <c r="P155" s="30"/>
      <c r="Q155" s="30"/>
    </row>
    <row r="156" spans="1:17" x14ac:dyDescent="0.25">
      <c r="A156" s="86"/>
      <c r="B156" s="96"/>
      <c r="C156" s="64"/>
      <c r="D156" s="64"/>
      <c r="E156" s="40"/>
      <c r="F156" s="41"/>
      <c r="G156" s="41"/>
      <c r="H156" s="38"/>
      <c r="I156" s="38"/>
      <c r="J156" s="38"/>
      <c r="K156" s="38"/>
      <c r="L156" s="38"/>
      <c r="M156" s="33"/>
      <c r="N156" s="33"/>
      <c r="O156" s="33"/>
      <c r="P156" s="30"/>
      <c r="Q156" s="30"/>
    </row>
    <row r="157" spans="1:17" x14ac:dyDescent="0.25">
      <c r="A157" s="86"/>
      <c r="B157" s="96"/>
      <c r="C157" s="64"/>
      <c r="D157" s="64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0"/>
      <c r="Q157" s="30"/>
    </row>
    <row r="158" spans="1:17" x14ac:dyDescent="0.25">
      <c r="A158" s="86"/>
      <c r="B158" s="96"/>
      <c r="C158" s="64"/>
      <c r="D158" s="64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0"/>
      <c r="Q158" s="30"/>
    </row>
    <row r="159" spans="1:17" x14ac:dyDescent="0.25">
      <c r="A159" s="86"/>
      <c r="B159" s="96"/>
      <c r="C159" s="64"/>
      <c r="D159" s="64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0"/>
      <c r="Q159" s="30"/>
    </row>
    <row r="160" spans="1:17" x14ac:dyDescent="0.25">
      <c r="A160" s="86"/>
      <c r="B160" s="96"/>
      <c r="C160" s="64"/>
      <c r="D160" s="64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0"/>
      <c r="Q160" s="30"/>
    </row>
    <row r="161" spans="1:17" x14ac:dyDescent="0.25">
      <c r="A161" s="86"/>
      <c r="B161" s="96"/>
      <c r="C161" s="64"/>
      <c r="D161" s="6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0"/>
      <c r="Q161" s="30"/>
    </row>
    <row r="162" spans="1:17" x14ac:dyDescent="0.25">
      <c r="A162" s="86"/>
      <c r="B162" s="96"/>
      <c r="C162" s="64"/>
      <c r="D162" s="64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x14ac:dyDescent="0.25">
      <c r="A163" s="86"/>
      <c r="B163" s="96"/>
      <c r="C163" s="64"/>
      <c r="D163" s="64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x14ac:dyDescent="0.25">
      <c r="A164" s="86"/>
      <c r="B164" s="96"/>
      <c r="C164" s="64"/>
      <c r="D164" s="64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x14ac:dyDescent="0.25">
      <c r="A165" s="86"/>
      <c r="B165" s="96"/>
      <c r="C165" s="64"/>
      <c r="D165" s="64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x14ac:dyDescent="0.25">
      <c r="A166" s="86"/>
      <c r="B166" s="96"/>
      <c r="C166" s="64"/>
      <c r="D166" s="64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x14ac:dyDescent="0.25">
      <c r="A167" s="86"/>
      <c r="B167" s="96"/>
      <c r="C167" s="64"/>
      <c r="D167" s="64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 x14ac:dyDescent="0.25">
      <c r="A168" s="86"/>
      <c r="B168" s="96"/>
      <c r="C168" s="64"/>
      <c r="D168" s="64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x14ac:dyDescent="0.25">
      <c r="A169" s="86"/>
      <c r="B169" s="96"/>
      <c r="C169" s="64"/>
      <c r="D169" s="64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x14ac:dyDescent="0.25">
      <c r="A170" s="86"/>
      <c r="B170" s="96"/>
      <c r="C170" s="64"/>
      <c r="D170" s="64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1:17" ht="13" x14ac:dyDescent="0.3">
      <c r="A171" s="97"/>
      <c r="B171" s="42"/>
      <c r="C171" s="42"/>
      <c r="D171" s="42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x14ac:dyDescent="0.25">
      <c r="A172" s="30"/>
      <c r="D172" s="18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x14ac:dyDescent="0.25">
      <c r="A173" s="85"/>
      <c r="B173" s="42"/>
      <c r="C173" s="19"/>
      <c r="D173" s="1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x14ac:dyDescent="0.25">
      <c r="A174" s="85"/>
      <c r="B174" s="42"/>
      <c r="C174" s="19"/>
      <c r="D174" s="19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x14ac:dyDescent="0.25">
      <c r="A175" s="85"/>
      <c r="B175" s="42"/>
      <c r="C175" s="19"/>
      <c r="D175" s="19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13" x14ac:dyDescent="0.3">
      <c r="A176" s="97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x14ac:dyDescent="0.25">
      <c r="A177" s="30"/>
      <c r="D177" s="18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x14ac:dyDescent="0.25">
      <c r="A178" s="86"/>
      <c r="B178" s="95"/>
      <c r="C178" s="64"/>
      <c r="D178" s="64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x14ac:dyDescent="0.25">
      <c r="A179" s="86"/>
      <c r="B179" s="95"/>
      <c r="C179" s="64"/>
      <c r="D179" s="64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x14ac:dyDescent="0.25">
      <c r="A180" s="86"/>
      <c r="B180" s="95"/>
      <c r="C180" s="64"/>
      <c r="D180" s="64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1:17" x14ac:dyDescent="0.25">
      <c r="A181" s="86"/>
      <c r="B181" s="95"/>
      <c r="C181" s="64"/>
      <c r="D181" s="64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x14ac:dyDescent="0.25">
      <c r="A182" s="86"/>
      <c r="B182" s="95"/>
      <c r="C182" s="64"/>
      <c r="D182" s="64"/>
    </row>
    <row r="183" spans="1:17" x14ac:dyDescent="0.25">
      <c r="A183" s="86"/>
      <c r="B183" s="95"/>
      <c r="C183" s="64"/>
      <c r="D183" s="64"/>
    </row>
    <row r="184" spans="1:17" ht="13" x14ac:dyDescent="0.25">
      <c r="A184" s="98"/>
    </row>
    <row r="185" spans="1:17" x14ac:dyDescent="0.25">
      <c r="D185" s="18"/>
    </row>
    <row r="186" spans="1:17" x14ac:dyDescent="0.25">
      <c r="A186" s="86"/>
      <c r="B186" s="19"/>
      <c r="C186" s="19"/>
      <c r="D186" s="19"/>
    </row>
    <row r="187" spans="1:17" ht="13" x14ac:dyDescent="0.3">
      <c r="A187" s="97"/>
    </row>
    <row r="188" spans="1:17" x14ac:dyDescent="0.25">
      <c r="D188" s="18"/>
    </row>
    <row r="189" spans="1:17" ht="14" x14ac:dyDescent="0.3">
      <c r="A189" s="92"/>
      <c r="B189" s="19"/>
      <c r="C189" s="19"/>
      <c r="D189" s="19"/>
    </row>
    <row r="190" spans="1:17" ht="13" x14ac:dyDescent="0.25">
      <c r="A190" s="98"/>
    </row>
    <row r="191" spans="1:17" ht="14" x14ac:dyDescent="0.25">
      <c r="A191" s="94"/>
      <c r="D191" s="18"/>
    </row>
    <row r="192" spans="1:17" x14ac:dyDescent="0.25">
      <c r="A192" s="86"/>
      <c r="B192" s="64"/>
      <c r="C192" s="64"/>
      <c r="D192" s="64"/>
    </row>
    <row r="193" spans="1:4" x14ac:dyDescent="0.25">
      <c r="A193" s="86"/>
      <c r="B193" s="64"/>
      <c r="C193" s="64"/>
      <c r="D193" s="64"/>
    </row>
    <row r="194" spans="1:4" x14ac:dyDescent="0.25">
      <c r="A194" s="86"/>
      <c r="B194" s="64"/>
      <c r="C194" s="64"/>
      <c r="D194" s="64"/>
    </row>
    <row r="195" spans="1:4" x14ac:dyDescent="0.25">
      <c r="A195" s="86"/>
      <c r="B195" s="64"/>
      <c r="C195" s="64"/>
      <c r="D195" s="64"/>
    </row>
    <row r="196" spans="1:4" x14ac:dyDescent="0.25">
      <c r="A196" s="86"/>
      <c r="B196" s="64"/>
      <c r="C196" s="64"/>
      <c r="D196" s="64"/>
    </row>
    <row r="197" spans="1:4" x14ac:dyDescent="0.25">
      <c r="A197" s="86"/>
      <c r="B197" s="64"/>
      <c r="C197" s="64"/>
      <c r="D197" s="64"/>
    </row>
    <row r="198" spans="1:4" x14ac:dyDescent="0.25">
      <c r="A198" s="86"/>
      <c r="B198" s="64"/>
      <c r="C198" s="64"/>
      <c r="D198" s="64"/>
    </row>
    <row r="199" spans="1:4" ht="13" x14ac:dyDescent="0.3">
      <c r="A199" s="59"/>
    </row>
    <row r="200" spans="1:4" x14ac:dyDescent="0.25">
      <c r="D200" s="18"/>
    </row>
    <row r="201" spans="1:4" x14ac:dyDescent="0.25">
      <c r="A201" s="86"/>
      <c r="B201" s="64"/>
      <c r="C201" s="64"/>
      <c r="D201" s="64"/>
    </row>
    <row r="202" spans="1:4" x14ac:dyDescent="0.25">
      <c r="A202" s="86"/>
      <c r="B202" s="64"/>
      <c r="C202" s="64"/>
      <c r="D202" s="64"/>
    </row>
    <row r="203" spans="1:4" x14ac:dyDescent="0.25">
      <c r="A203" s="86"/>
      <c r="B203" s="64"/>
      <c r="C203" s="64"/>
      <c r="D203" s="64"/>
    </row>
    <row r="204" spans="1:4" x14ac:dyDescent="0.25">
      <c r="A204" s="86"/>
      <c r="B204" s="64"/>
      <c r="C204" s="64"/>
      <c r="D204" s="64"/>
    </row>
    <row r="205" spans="1:4" x14ac:dyDescent="0.25">
      <c r="A205" s="86"/>
      <c r="B205" s="64"/>
      <c r="C205" s="64"/>
      <c r="D205" s="64"/>
    </row>
    <row r="206" spans="1:4" x14ac:dyDescent="0.25">
      <c r="A206" s="86"/>
      <c r="B206" s="64"/>
      <c r="C206" s="64"/>
      <c r="D206" s="64"/>
    </row>
    <row r="207" spans="1:4" x14ac:dyDescent="0.25">
      <c r="A207" s="86"/>
      <c r="B207" s="64"/>
      <c r="C207" s="64"/>
      <c r="D207" s="64"/>
    </row>
    <row r="208" spans="1:4" x14ac:dyDescent="0.25">
      <c r="A208" s="86"/>
      <c r="B208" s="64"/>
      <c r="C208" s="64"/>
      <c r="D208" s="64"/>
    </row>
    <row r="209" spans="1:4" x14ac:dyDescent="0.25">
      <c r="A209" s="86"/>
      <c r="B209" s="64"/>
      <c r="C209" s="64"/>
      <c r="D209" s="64"/>
    </row>
    <row r="210" spans="1:4" x14ac:dyDescent="0.25">
      <c r="B210" s="64"/>
      <c r="C210" s="64"/>
      <c r="D210" s="64"/>
    </row>
    <row r="211" spans="1:4" x14ac:dyDescent="0.25">
      <c r="A211" s="86"/>
      <c r="B211" s="64"/>
      <c r="C211" s="64"/>
      <c r="D211" s="64"/>
    </row>
    <row r="212" spans="1:4" x14ac:dyDescent="0.25">
      <c r="A212" s="86"/>
      <c r="B212" s="64"/>
      <c r="C212" s="64"/>
      <c r="D212" s="64"/>
    </row>
    <row r="213" spans="1:4" x14ac:dyDescent="0.25">
      <c r="A213" s="86"/>
      <c r="B213" s="64"/>
      <c r="C213" s="64"/>
      <c r="D213" s="64"/>
    </row>
    <row r="214" spans="1:4" x14ac:dyDescent="0.25">
      <c r="A214" s="86"/>
      <c r="B214" s="64"/>
      <c r="C214" s="64"/>
      <c r="D214" s="64"/>
    </row>
    <row r="215" spans="1:4" x14ac:dyDescent="0.25">
      <c r="A215" s="86"/>
      <c r="B215" s="64"/>
      <c r="C215" s="64"/>
      <c r="D215" s="64"/>
    </row>
    <row r="216" spans="1:4" x14ac:dyDescent="0.25">
      <c r="A216" s="86"/>
      <c r="B216" s="64"/>
      <c r="C216" s="64"/>
      <c r="D216" s="64"/>
    </row>
    <row r="217" spans="1:4" x14ac:dyDescent="0.25">
      <c r="A217" s="86"/>
      <c r="B217" s="64"/>
      <c r="C217" s="64"/>
      <c r="D217" s="64"/>
    </row>
    <row r="218" spans="1:4" x14ac:dyDescent="0.25">
      <c r="A218" s="86"/>
      <c r="B218" s="64"/>
      <c r="C218" s="64"/>
      <c r="D218" s="64"/>
    </row>
    <row r="219" spans="1:4" x14ac:dyDescent="0.25">
      <c r="A219" s="86"/>
      <c r="B219" s="64"/>
      <c r="C219" s="64"/>
      <c r="D219" s="64"/>
    </row>
    <row r="220" spans="1:4" x14ac:dyDescent="0.25">
      <c r="B220" s="64"/>
      <c r="C220" s="64"/>
      <c r="D220" s="64"/>
    </row>
    <row r="221" spans="1:4" x14ac:dyDescent="0.25">
      <c r="A221" s="86"/>
      <c r="B221" s="64"/>
      <c r="C221" s="64"/>
      <c r="D221" s="64"/>
    </row>
    <row r="222" spans="1:4" x14ac:dyDescent="0.25">
      <c r="A222" s="86"/>
      <c r="B222" s="64"/>
      <c r="C222" s="64"/>
      <c r="D222" s="64"/>
    </row>
    <row r="223" spans="1:4" x14ac:dyDescent="0.25">
      <c r="A223" s="86"/>
      <c r="B223" s="64"/>
      <c r="C223" s="64"/>
      <c r="D223" s="64"/>
    </row>
    <row r="224" spans="1:4" x14ac:dyDescent="0.25">
      <c r="A224" s="86"/>
      <c r="B224" s="64"/>
      <c r="C224" s="64"/>
      <c r="D224" s="64"/>
    </row>
    <row r="225" spans="1:4" x14ac:dyDescent="0.25">
      <c r="A225" s="86"/>
      <c r="B225" s="64"/>
      <c r="C225" s="64"/>
      <c r="D225" s="64"/>
    </row>
    <row r="226" spans="1:4" x14ac:dyDescent="0.25">
      <c r="A226" s="86"/>
      <c r="B226" s="64"/>
      <c r="C226" s="64"/>
      <c r="D226" s="64"/>
    </row>
    <row r="227" spans="1:4" x14ac:dyDescent="0.25">
      <c r="A227" s="86"/>
      <c r="B227" s="64"/>
      <c r="C227" s="64"/>
      <c r="D227" s="64"/>
    </row>
    <row r="228" spans="1:4" x14ac:dyDescent="0.25">
      <c r="A228" s="86"/>
      <c r="B228" s="64"/>
      <c r="C228" s="64"/>
      <c r="D228" s="64"/>
    </row>
    <row r="229" spans="1:4" x14ac:dyDescent="0.25">
      <c r="A229" s="86"/>
      <c r="B229" s="64"/>
      <c r="C229" s="64"/>
      <c r="D229" s="64"/>
    </row>
    <row r="230" spans="1:4" x14ac:dyDescent="0.25">
      <c r="A230" s="86"/>
      <c r="B230" s="64"/>
      <c r="C230" s="64"/>
      <c r="D230" s="64"/>
    </row>
    <row r="231" spans="1:4" x14ac:dyDescent="0.25">
      <c r="B231" s="64"/>
      <c r="C231" s="64"/>
      <c r="D231" s="64"/>
    </row>
    <row r="232" spans="1:4" x14ac:dyDescent="0.25">
      <c r="A232" s="86"/>
      <c r="B232" s="64"/>
      <c r="C232" s="64"/>
      <c r="D232" s="64"/>
    </row>
    <row r="233" spans="1:4" x14ac:dyDescent="0.25">
      <c r="A233" s="86"/>
      <c r="B233" s="64"/>
      <c r="C233" s="64"/>
      <c r="D233" s="64"/>
    </row>
    <row r="234" spans="1:4" x14ac:dyDescent="0.25">
      <c r="A234" s="86"/>
      <c r="B234" s="64"/>
      <c r="C234" s="64"/>
      <c r="D234" s="64"/>
    </row>
    <row r="235" spans="1:4" x14ac:dyDescent="0.25">
      <c r="A235" s="86"/>
      <c r="B235" s="64"/>
      <c r="C235" s="64"/>
      <c r="D235" s="64"/>
    </row>
    <row r="236" spans="1:4" x14ac:dyDescent="0.25">
      <c r="A236" s="86"/>
      <c r="B236" s="64"/>
      <c r="C236" s="64"/>
      <c r="D236" s="64"/>
    </row>
    <row r="237" spans="1:4" x14ac:dyDescent="0.25">
      <c r="B237" s="64"/>
      <c r="C237" s="64"/>
      <c r="D237" s="64"/>
    </row>
    <row r="238" spans="1:4" x14ac:dyDescent="0.25">
      <c r="A238" s="86"/>
      <c r="B238" s="64"/>
      <c r="C238" s="64"/>
      <c r="D238" s="64"/>
    </row>
    <row r="239" spans="1:4" x14ac:dyDescent="0.25">
      <c r="A239" s="86"/>
      <c r="B239" s="64"/>
      <c r="C239" s="64"/>
      <c r="D239" s="64"/>
    </row>
    <row r="240" spans="1:4" x14ac:dyDescent="0.25">
      <c r="A240" s="86"/>
      <c r="B240" s="64"/>
      <c r="C240" s="64"/>
      <c r="D240" s="64"/>
    </row>
    <row r="241" spans="1:4" x14ac:dyDescent="0.25">
      <c r="A241" s="86"/>
      <c r="B241" s="64"/>
      <c r="C241" s="64"/>
      <c r="D241" s="64"/>
    </row>
    <row r="242" spans="1:4" x14ac:dyDescent="0.25">
      <c r="A242" s="86"/>
      <c r="B242" s="64"/>
      <c r="C242" s="64"/>
      <c r="D242" s="64"/>
    </row>
    <row r="243" spans="1:4" x14ac:dyDescent="0.25">
      <c r="A243" s="86"/>
      <c r="B243" s="64"/>
      <c r="C243" s="64"/>
      <c r="D243" s="6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O45"/>
  <sheetViews>
    <sheetView topLeftCell="B37" workbookViewId="0">
      <selection activeCell="J13" sqref="J13"/>
    </sheetView>
  </sheetViews>
  <sheetFormatPr defaultRowHeight="13.5" x14ac:dyDescent="0.25"/>
  <cols>
    <col min="1" max="1" width="10.42578125" customWidth="1"/>
    <col min="2" max="2" width="11.0703125" customWidth="1"/>
    <col min="3" max="3" width="9.0703125" bestFit="1" customWidth="1"/>
    <col min="4" max="4" width="9.92578125" customWidth="1"/>
    <col min="5" max="5" width="10" customWidth="1"/>
    <col min="7" max="7" width="17.640625" customWidth="1"/>
  </cols>
  <sheetData>
    <row r="1" spans="1:15" s="27" customFormat="1" ht="31" thickBot="1" x14ac:dyDescent="0.3">
      <c r="A1" s="25" t="s">
        <v>21</v>
      </c>
      <c r="B1" s="26" t="s">
        <v>344</v>
      </c>
      <c r="C1" s="28" t="s">
        <v>36</v>
      </c>
      <c r="D1" s="28" t="s">
        <v>19</v>
      </c>
      <c r="E1" s="28" t="s">
        <v>37</v>
      </c>
      <c r="F1" s="29" t="s">
        <v>42</v>
      </c>
      <c r="G1" s="115" t="s">
        <v>74</v>
      </c>
      <c r="H1" s="116" t="s">
        <v>77</v>
      </c>
      <c r="I1" s="116" t="s">
        <v>76</v>
      </c>
    </row>
    <row r="2" spans="1:15" ht="15" thickBot="1" x14ac:dyDescent="0.3">
      <c r="A2" s="6" t="s">
        <v>43</v>
      </c>
      <c r="B2" s="77" t="s">
        <v>43</v>
      </c>
      <c r="C2" s="70">
        <v>37</v>
      </c>
      <c r="D2" s="80">
        <v>15</v>
      </c>
      <c r="E2" s="108">
        <v>40.54054054054054</v>
      </c>
      <c r="F2" s="21">
        <v>18</v>
      </c>
      <c r="G2" s="168">
        <v>5046</v>
      </c>
      <c r="H2" s="73" t="s">
        <v>109</v>
      </c>
      <c r="I2" s="70">
        <v>33.299999999999997</v>
      </c>
      <c r="K2" t="s">
        <v>43</v>
      </c>
      <c r="L2" s="6" t="s">
        <v>43</v>
      </c>
      <c r="M2" s="21">
        <v>18</v>
      </c>
      <c r="N2" s="99" t="s">
        <v>43</v>
      </c>
      <c r="O2" s="84">
        <v>18</v>
      </c>
    </row>
    <row r="3" spans="1:15" ht="15" thickBot="1" x14ac:dyDescent="0.3">
      <c r="A3" s="17" t="s">
        <v>44</v>
      </c>
      <c r="B3" s="78" t="s">
        <v>44</v>
      </c>
      <c r="C3" s="71">
        <v>87</v>
      </c>
      <c r="D3" s="81">
        <v>37</v>
      </c>
      <c r="E3" s="109">
        <v>42.528735632183903</v>
      </c>
      <c r="F3" s="22">
        <v>49</v>
      </c>
      <c r="G3" s="169">
        <v>274583</v>
      </c>
      <c r="H3" s="71" t="s">
        <v>78</v>
      </c>
      <c r="I3" s="71">
        <v>62.7</v>
      </c>
      <c r="K3" t="s">
        <v>44</v>
      </c>
      <c r="L3" s="17" t="s">
        <v>44</v>
      </c>
      <c r="M3" s="22">
        <v>49</v>
      </c>
      <c r="N3" s="99" t="s">
        <v>121</v>
      </c>
      <c r="O3" s="84">
        <v>49</v>
      </c>
    </row>
    <row r="4" spans="1:15" ht="15" thickBot="1" x14ac:dyDescent="0.3">
      <c r="A4" s="6" t="s">
        <v>45</v>
      </c>
      <c r="B4" s="78" t="s">
        <v>45</v>
      </c>
      <c r="C4" s="71">
        <v>41</v>
      </c>
      <c r="D4" s="81">
        <v>24</v>
      </c>
      <c r="E4" s="109">
        <v>58.536585365853654</v>
      </c>
      <c r="F4" s="22">
        <v>82</v>
      </c>
      <c r="G4" s="170">
        <v>9682</v>
      </c>
      <c r="H4" s="71" t="s">
        <v>79</v>
      </c>
      <c r="I4" s="71">
        <v>42.9</v>
      </c>
      <c r="K4" t="s">
        <v>45</v>
      </c>
      <c r="L4" s="6" t="s">
        <v>45</v>
      </c>
      <c r="M4" s="22">
        <v>82</v>
      </c>
      <c r="N4" s="99" t="s">
        <v>45</v>
      </c>
      <c r="O4" s="84">
        <v>82</v>
      </c>
    </row>
    <row r="5" spans="1:15" ht="15" thickBot="1" x14ac:dyDescent="0.3">
      <c r="A5" s="17" t="s">
        <v>2</v>
      </c>
      <c r="B5" s="78" t="s">
        <v>25</v>
      </c>
      <c r="C5" s="71">
        <v>25</v>
      </c>
      <c r="D5" s="81">
        <v>12</v>
      </c>
      <c r="E5" s="109">
        <v>48</v>
      </c>
      <c r="F5" s="22">
        <v>97</v>
      </c>
      <c r="G5" s="171">
        <v>2274</v>
      </c>
      <c r="H5" s="74" t="s">
        <v>110</v>
      </c>
      <c r="I5" s="71">
        <v>42.9</v>
      </c>
      <c r="K5" t="s">
        <v>2</v>
      </c>
      <c r="L5" s="17" t="s">
        <v>2</v>
      </c>
      <c r="M5" s="22">
        <v>97</v>
      </c>
      <c r="N5" s="99" t="s">
        <v>25</v>
      </c>
      <c r="O5" s="84">
        <v>97</v>
      </c>
    </row>
    <row r="6" spans="1:15" ht="15" thickBot="1" x14ac:dyDescent="0.3">
      <c r="A6" s="6" t="s">
        <v>3</v>
      </c>
      <c r="B6" s="78" t="s">
        <v>26</v>
      </c>
      <c r="C6" s="71">
        <v>70</v>
      </c>
      <c r="D6" s="81">
        <v>64</v>
      </c>
      <c r="E6" s="109">
        <v>91.428571428571431</v>
      </c>
      <c r="F6" s="22">
        <v>98</v>
      </c>
      <c r="G6" s="170">
        <v>23791</v>
      </c>
      <c r="H6" s="71" t="s">
        <v>80</v>
      </c>
      <c r="I6" s="71">
        <v>53.5</v>
      </c>
      <c r="K6" t="s">
        <v>3</v>
      </c>
      <c r="L6" s="6" t="s">
        <v>3</v>
      </c>
      <c r="M6" s="22">
        <v>98</v>
      </c>
      <c r="N6" s="99" t="s">
        <v>26</v>
      </c>
      <c r="O6" s="84">
        <v>54</v>
      </c>
    </row>
    <row r="7" spans="1:15" ht="15" thickBot="1" x14ac:dyDescent="0.3">
      <c r="A7" s="24" t="s">
        <v>4</v>
      </c>
      <c r="B7" s="79" t="s">
        <v>46</v>
      </c>
      <c r="C7" s="71">
        <v>69</v>
      </c>
      <c r="D7" s="81">
        <v>16</v>
      </c>
      <c r="E7" s="109">
        <v>23.188405797101449</v>
      </c>
      <c r="F7" s="22">
        <v>109</v>
      </c>
      <c r="G7" s="171">
        <v>67850</v>
      </c>
      <c r="H7" s="71" t="s">
        <v>81</v>
      </c>
      <c r="I7" s="71">
        <v>33.9</v>
      </c>
      <c r="K7" t="s">
        <v>4</v>
      </c>
      <c r="L7" s="24" t="s">
        <v>4</v>
      </c>
      <c r="M7" s="22">
        <v>109</v>
      </c>
      <c r="N7" s="99" t="s">
        <v>122</v>
      </c>
      <c r="O7" s="84">
        <v>109</v>
      </c>
    </row>
    <row r="8" spans="1:15" ht="15" thickBot="1" x14ac:dyDescent="0.3">
      <c r="A8" s="6" t="s">
        <v>47</v>
      </c>
      <c r="B8" s="78" t="s">
        <v>47</v>
      </c>
      <c r="C8" s="71">
        <v>34</v>
      </c>
      <c r="D8" s="81">
        <v>19</v>
      </c>
      <c r="E8" s="109">
        <v>55.882352941176471</v>
      </c>
      <c r="F8" s="22">
        <v>148</v>
      </c>
      <c r="G8" s="170">
        <v>6825</v>
      </c>
      <c r="H8" s="75" t="s">
        <v>111</v>
      </c>
      <c r="I8" s="71">
        <v>44.4</v>
      </c>
      <c r="K8" t="s">
        <v>47</v>
      </c>
      <c r="L8" s="6" t="s">
        <v>47</v>
      </c>
      <c r="M8" s="22">
        <v>148</v>
      </c>
      <c r="N8" s="99" t="s">
        <v>123</v>
      </c>
      <c r="O8" s="84">
        <v>148</v>
      </c>
    </row>
    <row r="9" spans="1:15" ht="15" thickBot="1" x14ac:dyDescent="0.3">
      <c r="A9" s="17" t="s">
        <v>5</v>
      </c>
      <c r="B9" s="79" t="s">
        <v>48</v>
      </c>
      <c r="C9" s="71">
        <v>81</v>
      </c>
      <c r="D9" s="81">
        <v>29</v>
      </c>
      <c r="E9" s="109">
        <v>35.802469135802468</v>
      </c>
      <c r="F9" s="22">
        <v>179</v>
      </c>
      <c r="G9" s="171">
        <v>138850</v>
      </c>
      <c r="H9" s="71" t="s">
        <v>82</v>
      </c>
      <c r="I9" s="71">
        <v>49.3</v>
      </c>
      <c r="K9" t="s">
        <v>5</v>
      </c>
      <c r="L9" s="17" t="s">
        <v>5</v>
      </c>
      <c r="M9" s="22">
        <v>179</v>
      </c>
      <c r="N9" s="99" t="s">
        <v>48</v>
      </c>
      <c r="O9" s="84">
        <v>179</v>
      </c>
    </row>
    <row r="10" spans="1:15" ht="15" thickBot="1" x14ac:dyDescent="0.3">
      <c r="A10" s="6" t="s">
        <v>49</v>
      </c>
      <c r="B10" s="78" t="s">
        <v>49</v>
      </c>
      <c r="C10" s="71">
        <v>47</v>
      </c>
      <c r="D10" s="81">
        <v>14</v>
      </c>
      <c r="E10" s="109">
        <v>29.787234042553191</v>
      </c>
      <c r="F10" s="22">
        <v>214</v>
      </c>
      <c r="G10" s="170">
        <v>11637</v>
      </c>
      <c r="H10" s="76" t="s">
        <v>79</v>
      </c>
      <c r="I10" s="71">
        <v>42.9</v>
      </c>
      <c r="K10" t="s">
        <v>49</v>
      </c>
      <c r="L10" s="6" t="s">
        <v>49</v>
      </c>
      <c r="M10" s="22">
        <v>214</v>
      </c>
      <c r="N10" s="99" t="s">
        <v>49</v>
      </c>
      <c r="O10" s="84">
        <v>214</v>
      </c>
    </row>
    <row r="11" spans="1:15" ht="15" thickBot="1" x14ac:dyDescent="0.3">
      <c r="A11" s="17" t="s">
        <v>50</v>
      </c>
      <c r="B11" s="78" t="s">
        <v>50</v>
      </c>
      <c r="C11" s="71">
        <v>25</v>
      </c>
      <c r="D11" s="81">
        <v>19</v>
      </c>
      <c r="E11" s="109">
        <v>76</v>
      </c>
      <c r="F11" s="22">
        <v>239</v>
      </c>
      <c r="G11" s="171">
        <v>2346</v>
      </c>
      <c r="H11" s="71" t="s">
        <v>83</v>
      </c>
      <c r="I11" s="71">
        <v>71.400000000000006</v>
      </c>
      <c r="K11" t="s">
        <v>50</v>
      </c>
      <c r="L11" s="17" t="s">
        <v>50</v>
      </c>
      <c r="M11" s="22">
        <v>239</v>
      </c>
      <c r="N11" s="99" t="s">
        <v>50</v>
      </c>
      <c r="O11" s="84">
        <v>239</v>
      </c>
    </row>
    <row r="12" spans="1:15" ht="15" thickBot="1" x14ac:dyDescent="0.3">
      <c r="A12" s="6" t="s">
        <v>22</v>
      </c>
      <c r="B12" s="78" t="s">
        <v>22</v>
      </c>
      <c r="C12" s="71">
        <v>38</v>
      </c>
      <c r="D12" s="81">
        <v>24</v>
      </c>
      <c r="E12" s="109">
        <v>63.157894736842103</v>
      </c>
      <c r="F12" s="22">
        <v>322</v>
      </c>
      <c r="G12" s="170">
        <v>6872</v>
      </c>
      <c r="H12" s="71" t="s">
        <v>84</v>
      </c>
      <c r="I12" s="71">
        <v>51.9</v>
      </c>
      <c r="K12" t="s">
        <v>22</v>
      </c>
      <c r="L12" s="6" t="s">
        <v>22</v>
      </c>
      <c r="M12" s="22">
        <v>322</v>
      </c>
      <c r="N12" s="99" t="s">
        <v>124</v>
      </c>
      <c r="O12" s="84">
        <v>322</v>
      </c>
    </row>
    <row r="13" spans="1:15" ht="15" thickBot="1" x14ac:dyDescent="0.3">
      <c r="A13" s="17" t="s">
        <v>51</v>
      </c>
      <c r="B13" s="78" t="s">
        <v>51</v>
      </c>
      <c r="C13" s="71">
        <v>45</v>
      </c>
      <c r="D13" s="81">
        <v>12</v>
      </c>
      <c r="E13" s="109">
        <v>26.666666666666668</v>
      </c>
      <c r="F13" s="22">
        <v>249</v>
      </c>
      <c r="G13" s="172">
        <v>10177</v>
      </c>
      <c r="H13" s="71" t="s">
        <v>85</v>
      </c>
      <c r="I13" s="71">
        <v>65.7</v>
      </c>
      <c r="K13" t="s">
        <v>51</v>
      </c>
      <c r="L13" s="17" t="s">
        <v>51</v>
      </c>
      <c r="M13" s="22">
        <v>249</v>
      </c>
      <c r="N13" s="99" t="s">
        <v>51</v>
      </c>
      <c r="O13" s="84">
        <v>249</v>
      </c>
    </row>
    <row r="14" spans="1:15" ht="15" thickBot="1" x14ac:dyDescent="0.3">
      <c r="A14" s="6" t="s">
        <v>71</v>
      </c>
      <c r="B14" s="78" t="s">
        <v>52</v>
      </c>
      <c r="C14" s="71">
        <v>60</v>
      </c>
      <c r="D14" s="81">
        <v>28</v>
      </c>
      <c r="E14" s="109">
        <v>46.666666666666664</v>
      </c>
      <c r="F14" s="22">
        <v>272</v>
      </c>
      <c r="G14" s="170">
        <v>47723</v>
      </c>
      <c r="H14" s="71" t="s">
        <v>86</v>
      </c>
      <c r="I14" s="71">
        <v>58.8</v>
      </c>
      <c r="K14" t="s">
        <v>71</v>
      </c>
      <c r="L14" s="6" t="s">
        <v>71</v>
      </c>
      <c r="M14" s="22">
        <v>272</v>
      </c>
      <c r="N14" s="99" t="s">
        <v>125</v>
      </c>
      <c r="O14" s="84">
        <v>272</v>
      </c>
    </row>
    <row r="15" spans="1:15" ht="15" thickBot="1" x14ac:dyDescent="0.3">
      <c r="A15" s="17" t="s">
        <v>6</v>
      </c>
      <c r="B15" s="78" t="s">
        <v>27</v>
      </c>
      <c r="C15" s="71">
        <v>82</v>
      </c>
      <c r="D15" s="81">
        <v>37</v>
      </c>
      <c r="E15" s="109">
        <v>45.121951219512198</v>
      </c>
      <c r="F15" s="22">
        <v>285</v>
      </c>
      <c r="G15" s="169">
        <v>54187</v>
      </c>
      <c r="H15" s="71" t="s">
        <v>87</v>
      </c>
      <c r="I15" s="71">
        <v>49</v>
      </c>
      <c r="K15" t="s">
        <v>6</v>
      </c>
      <c r="L15" s="17" t="s">
        <v>6</v>
      </c>
      <c r="M15" s="22">
        <v>285</v>
      </c>
      <c r="N15" s="99" t="s">
        <v>27</v>
      </c>
      <c r="O15" s="84">
        <v>285</v>
      </c>
    </row>
    <row r="16" spans="1:15" ht="15" thickBot="1" x14ac:dyDescent="0.3">
      <c r="A16" s="6" t="s">
        <v>72</v>
      </c>
      <c r="B16" s="78" t="s">
        <v>53</v>
      </c>
      <c r="C16" s="71">
        <v>84</v>
      </c>
      <c r="D16" s="81">
        <v>34</v>
      </c>
      <c r="E16" s="109">
        <v>40.476190476190474</v>
      </c>
      <c r="F16" s="22">
        <v>301</v>
      </c>
      <c r="G16" s="168">
        <v>21501</v>
      </c>
      <c r="H16" s="71" t="s">
        <v>88</v>
      </c>
      <c r="I16" s="71">
        <v>62.8</v>
      </c>
      <c r="K16" t="s">
        <v>72</v>
      </c>
      <c r="L16" s="6" t="s">
        <v>72</v>
      </c>
      <c r="M16" s="22">
        <v>301</v>
      </c>
      <c r="N16" s="99" t="s">
        <v>53</v>
      </c>
      <c r="O16" s="84">
        <v>301</v>
      </c>
    </row>
    <row r="17" spans="1:15" ht="15" thickBot="1" x14ac:dyDescent="0.3">
      <c r="A17" s="17" t="s">
        <v>7</v>
      </c>
      <c r="B17" s="78" t="s">
        <v>28</v>
      </c>
      <c r="C17" s="71">
        <v>49</v>
      </c>
      <c r="D17" s="81">
        <v>24</v>
      </c>
      <c r="E17" s="109">
        <v>48.979591836734691</v>
      </c>
      <c r="F17" s="22">
        <v>305</v>
      </c>
      <c r="G17" s="169">
        <v>15533</v>
      </c>
      <c r="H17" s="71" t="s">
        <v>89</v>
      </c>
      <c r="I17" s="71">
        <v>48.8</v>
      </c>
      <c r="K17" t="s">
        <v>7</v>
      </c>
      <c r="L17" s="17" t="s">
        <v>7</v>
      </c>
      <c r="M17" s="22">
        <v>305</v>
      </c>
      <c r="N17" s="99" t="s">
        <v>28</v>
      </c>
      <c r="O17" s="84">
        <v>305</v>
      </c>
    </row>
    <row r="18" spans="1:15" ht="15" thickBot="1" x14ac:dyDescent="0.3">
      <c r="A18" s="6" t="s">
        <v>8</v>
      </c>
      <c r="B18" s="78" t="s">
        <v>54</v>
      </c>
      <c r="C18" s="71">
        <v>71</v>
      </c>
      <c r="D18" s="81">
        <v>25</v>
      </c>
      <c r="E18" s="109">
        <v>35.2112676056338</v>
      </c>
      <c r="F18" s="22">
        <v>405</v>
      </c>
      <c r="G18" s="168">
        <v>72872</v>
      </c>
      <c r="H18" s="71" t="s">
        <v>90</v>
      </c>
      <c r="I18" s="71">
        <v>35.6</v>
      </c>
      <c r="K18" t="s">
        <v>8</v>
      </c>
      <c r="L18" s="6" t="s">
        <v>8</v>
      </c>
      <c r="M18" s="22">
        <v>405</v>
      </c>
      <c r="N18" s="99" t="s">
        <v>126</v>
      </c>
      <c r="O18" s="84">
        <v>405</v>
      </c>
    </row>
    <row r="19" spans="1:15" ht="15" thickBot="1" x14ac:dyDescent="0.3">
      <c r="A19" s="17" t="s">
        <v>9</v>
      </c>
      <c r="B19" s="78" t="s">
        <v>29</v>
      </c>
      <c r="C19" s="71">
        <v>54</v>
      </c>
      <c r="D19" s="81">
        <v>37</v>
      </c>
      <c r="E19" s="109">
        <v>68.518518518518519</v>
      </c>
      <c r="F19" s="22">
        <v>418</v>
      </c>
      <c r="G19" s="169">
        <v>22745</v>
      </c>
      <c r="H19" s="71" t="s">
        <v>91</v>
      </c>
      <c r="I19" s="71">
        <v>69.8</v>
      </c>
      <c r="K19" t="s">
        <v>9</v>
      </c>
      <c r="L19" s="17" t="s">
        <v>9</v>
      </c>
      <c r="M19" s="22">
        <v>418</v>
      </c>
      <c r="N19" s="99" t="s">
        <v>29</v>
      </c>
      <c r="O19" s="84">
        <v>418</v>
      </c>
    </row>
    <row r="20" spans="1:15" ht="15" thickBot="1" x14ac:dyDescent="0.3">
      <c r="A20" s="6" t="s">
        <v>55</v>
      </c>
      <c r="B20" s="78" t="s">
        <v>55</v>
      </c>
      <c r="C20" s="71">
        <v>43</v>
      </c>
      <c r="D20" s="81">
        <v>27</v>
      </c>
      <c r="E20" s="109">
        <v>62.790697674418603</v>
      </c>
      <c r="F20" s="22">
        <v>426</v>
      </c>
      <c r="G20" s="168">
        <v>12301</v>
      </c>
      <c r="H20" s="71" t="s">
        <v>92</v>
      </c>
      <c r="I20" s="71">
        <v>57.1</v>
      </c>
      <c r="K20" t="s">
        <v>55</v>
      </c>
      <c r="L20" s="6" t="s">
        <v>55</v>
      </c>
      <c r="M20" s="22">
        <v>426</v>
      </c>
      <c r="N20" s="99" t="s">
        <v>55</v>
      </c>
      <c r="O20" s="84">
        <v>426</v>
      </c>
    </row>
    <row r="21" spans="1:15" ht="15" thickBot="1" x14ac:dyDescent="0.3">
      <c r="A21" s="17" t="s">
        <v>73</v>
      </c>
      <c r="B21" s="78" t="s">
        <v>56</v>
      </c>
      <c r="C21" s="71">
        <v>67</v>
      </c>
      <c r="D21" s="81">
        <v>32</v>
      </c>
      <c r="E21" s="109">
        <v>47.761194029850742</v>
      </c>
      <c r="F21" s="22">
        <v>491</v>
      </c>
      <c r="G21" s="169">
        <v>54517</v>
      </c>
      <c r="H21" s="71" t="s">
        <v>93</v>
      </c>
      <c r="I21" s="71">
        <v>71.2</v>
      </c>
      <c r="K21" t="s">
        <v>73</v>
      </c>
      <c r="L21" s="17" t="s">
        <v>73</v>
      </c>
      <c r="M21" s="22">
        <v>491</v>
      </c>
      <c r="N21" s="99" t="s">
        <v>127</v>
      </c>
      <c r="O21" s="84">
        <v>491</v>
      </c>
    </row>
    <row r="22" spans="1:15" ht="15" thickBot="1" x14ac:dyDescent="0.3">
      <c r="A22" s="6" t="s">
        <v>10</v>
      </c>
      <c r="B22" s="78" t="s">
        <v>30</v>
      </c>
      <c r="C22" s="71">
        <v>52</v>
      </c>
      <c r="D22" s="81">
        <v>17</v>
      </c>
      <c r="E22" s="109">
        <v>32.692307692307693</v>
      </c>
      <c r="F22" s="22">
        <v>499</v>
      </c>
      <c r="G22" s="168">
        <v>19380</v>
      </c>
      <c r="H22" s="71" t="s">
        <v>94</v>
      </c>
      <c r="I22" s="71">
        <v>67.400000000000006</v>
      </c>
      <c r="K22" t="s">
        <v>10</v>
      </c>
      <c r="L22" s="6" t="s">
        <v>10</v>
      </c>
      <c r="M22" s="22">
        <v>499</v>
      </c>
      <c r="N22" s="99" t="s">
        <v>128</v>
      </c>
      <c r="O22" s="84">
        <v>499</v>
      </c>
    </row>
    <row r="23" spans="1:15" ht="15" thickBot="1" x14ac:dyDescent="0.3">
      <c r="A23" s="17" t="s">
        <v>57</v>
      </c>
      <c r="B23" s="78" t="s">
        <v>57</v>
      </c>
      <c r="C23" s="71">
        <v>43</v>
      </c>
      <c r="D23" s="81">
        <v>14</v>
      </c>
      <c r="E23" s="109">
        <v>32.558139534883722</v>
      </c>
      <c r="F23" s="22">
        <v>535</v>
      </c>
      <c r="G23" s="169">
        <v>10889</v>
      </c>
      <c r="H23" s="71" t="s">
        <v>95</v>
      </c>
      <c r="I23" s="71">
        <v>45.7</v>
      </c>
      <c r="K23" t="s">
        <v>57</v>
      </c>
      <c r="L23" s="17" t="s">
        <v>57</v>
      </c>
      <c r="M23" s="22">
        <v>535</v>
      </c>
      <c r="N23" s="99" t="s">
        <v>57</v>
      </c>
      <c r="O23" s="84">
        <v>535</v>
      </c>
    </row>
    <row r="24" spans="1:15" ht="15" thickBot="1" x14ac:dyDescent="0.3">
      <c r="A24" s="6" t="s">
        <v>11</v>
      </c>
      <c r="B24" s="78" t="s">
        <v>58</v>
      </c>
      <c r="C24" s="71">
        <v>77</v>
      </c>
      <c r="D24" s="81">
        <v>34</v>
      </c>
      <c r="E24" s="109">
        <v>44.155844155844157</v>
      </c>
      <c r="F24" s="22">
        <v>564</v>
      </c>
      <c r="G24" s="168">
        <v>200526</v>
      </c>
      <c r="H24" s="71" t="s">
        <v>96</v>
      </c>
      <c r="I24" s="71">
        <v>55.2</v>
      </c>
      <c r="K24" t="s">
        <v>11</v>
      </c>
      <c r="L24" s="6" t="s">
        <v>11</v>
      </c>
      <c r="M24" s="22">
        <v>564</v>
      </c>
      <c r="N24" s="99" t="s">
        <v>129</v>
      </c>
      <c r="O24" s="84">
        <v>464</v>
      </c>
    </row>
    <row r="25" spans="1:15" ht="15" thickBot="1" x14ac:dyDescent="0.3">
      <c r="A25" s="17" t="s">
        <v>59</v>
      </c>
      <c r="B25" s="78" t="s">
        <v>59</v>
      </c>
      <c r="C25" s="71">
        <v>27</v>
      </c>
      <c r="D25" s="81">
        <v>10</v>
      </c>
      <c r="E25" s="109">
        <v>37.037037037037038</v>
      </c>
      <c r="F25" s="22">
        <v>578</v>
      </c>
      <c r="G25" s="169">
        <v>3491</v>
      </c>
      <c r="H25" s="71" t="s">
        <v>97</v>
      </c>
      <c r="I25" s="71">
        <v>76.2</v>
      </c>
      <c r="K25" t="s">
        <v>59</v>
      </c>
      <c r="L25" s="17" t="s">
        <v>59</v>
      </c>
      <c r="M25" s="22">
        <v>578</v>
      </c>
      <c r="N25" s="99" t="s">
        <v>59</v>
      </c>
      <c r="O25" s="84">
        <v>578</v>
      </c>
    </row>
    <row r="26" spans="1:15" ht="15" thickBot="1" x14ac:dyDescent="0.3">
      <c r="A26" s="6" t="s">
        <v>60</v>
      </c>
      <c r="B26" s="78" t="s">
        <v>60</v>
      </c>
      <c r="C26" s="71">
        <v>38</v>
      </c>
      <c r="D26" s="81">
        <v>11</v>
      </c>
      <c r="E26" s="109">
        <v>28.947368421052634</v>
      </c>
      <c r="F26" s="22">
        <v>581</v>
      </c>
      <c r="G26" s="168">
        <v>6692</v>
      </c>
      <c r="H26" s="71" t="s">
        <v>98</v>
      </c>
      <c r="I26" s="71">
        <v>48.2</v>
      </c>
      <c r="K26" t="s">
        <v>60</v>
      </c>
      <c r="L26" s="6" t="s">
        <v>60</v>
      </c>
      <c r="M26" s="22">
        <v>581</v>
      </c>
      <c r="N26" s="99" t="s">
        <v>60</v>
      </c>
      <c r="O26" s="84">
        <v>581</v>
      </c>
    </row>
    <row r="27" spans="1:15" ht="15" thickBot="1" x14ac:dyDescent="0.3">
      <c r="A27" s="17" t="s">
        <v>61</v>
      </c>
      <c r="B27" s="78" t="s">
        <v>61</v>
      </c>
      <c r="C27" s="71">
        <v>35</v>
      </c>
      <c r="D27" s="81">
        <v>18</v>
      </c>
      <c r="E27" s="109">
        <v>51.428571428571423</v>
      </c>
      <c r="F27" s="22">
        <v>592</v>
      </c>
      <c r="G27" s="169">
        <v>3981</v>
      </c>
      <c r="H27" s="71" t="s">
        <v>99</v>
      </c>
      <c r="I27" s="71">
        <v>59.3</v>
      </c>
      <c r="K27" t="s">
        <v>61</v>
      </c>
      <c r="L27" s="17" t="s">
        <v>61</v>
      </c>
      <c r="M27" s="22">
        <v>592</v>
      </c>
      <c r="N27" s="99" t="s">
        <v>61</v>
      </c>
      <c r="O27" s="84">
        <v>592</v>
      </c>
    </row>
    <row r="28" spans="1:15" ht="15" thickBot="1" x14ac:dyDescent="0.3">
      <c r="A28" s="6" t="s">
        <v>12</v>
      </c>
      <c r="B28" s="78" t="s">
        <v>31</v>
      </c>
      <c r="C28" s="71">
        <v>45</v>
      </c>
      <c r="D28" s="81">
        <v>10</v>
      </c>
      <c r="E28" s="109">
        <v>22.222222222222221</v>
      </c>
      <c r="F28" s="22">
        <v>615</v>
      </c>
      <c r="G28" s="168">
        <v>8187</v>
      </c>
      <c r="H28" s="71" t="s">
        <v>79</v>
      </c>
      <c r="I28" s="71">
        <v>42.9</v>
      </c>
      <c r="K28" t="s">
        <v>12</v>
      </c>
      <c r="L28" s="6" t="s">
        <v>12</v>
      </c>
      <c r="M28" s="22">
        <v>615</v>
      </c>
      <c r="N28" s="99" t="s">
        <v>31</v>
      </c>
      <c r="O28" s="84">
        <v>615</v>
      </c>
    </row>
    <row r="29" spans="1:15" ht="15" thickBot="1" x14ac:dyDescent="0.3">
      <c r="A29" s="6" t="s">
        <v>63</v>
      </c>
      <c r="B29" s="78" t="s">
        <v>63</v>
      </c>
      <c r="C29" s="71">
        <v>65</v>
      </c>
      <c r="D29" s="81">
        <v>31</v>
      </c>
      <c r="E29" s="109">
        <v>47.692307692307693</v>
      </c>
      <c r="F29" s="22">
        <v>710</v>
      </c>
      <c r="G29" s="169">
        <v>24283</v>
      </c>
      <c r="H29" s="71" t="s">
        <v>100</v>
      </c>
      <c r="I29" s="71">
        <v>76.7</v>
      </c>
      <c r="K29" t="s">
        <v>23</v>
      </c>
      <c r="L29" s="17" t="s">
        <v>23</v>
      </c>
      <c r="M29" s="22">
        <v>710</v>
      </c>
      <c r="N29" s="99" t="s">
        <v>130</v>
      </c>
      <c r="O29" s="84">
        <v>710</v>
      </c>
    </row>
    <row r="30" spans="1:15" ht="15" thickBot="1" x14ac:dyDescent="0.3">
      <c r="A30" s="17" t="s">
        <v>64</v>
      </c>
      <c r="B30" s="78" t="s">
        <v>64</v>
      </c>
      <c r="C30" s="71">
        <v>55</v>
      </c>
      <c r="D30" s="81">
        <v>14</v>
      </c>
      <c r="E30" s="109">
        <v>25.454545454545453</v>
      </c>
      <c r="F30" s="22">
        <v>680</v>
      </c>
      <c r="G30" s="168">
        <v>3288</v>
      </c>
      <c r="H30" s="74" t="s">
        <v>112</v>
      </c>
      <c r="I30" s="71">
        <v>33.299999999999997</v>
      </c>
      <c r="K30" t="s">
        <v>63</v>
      </c>
      <c r="L30" s="6" t="s">
        <v>63</v>
      </c>
      <c r="M30" s="22">
        <v>680</v>
      </c>
      <c r="N30" s="99" t="s">
        <v>131</v>
      </c>
      <c r="O30" s="84">
        <v>680</v>
      </c>
    </row>
    <row r="31" spans="1:15" ht="15" thickBot="1" x14ac:dyDescent="0.3">
      <c r="A31" s="17" t="s">
        <v>23</v>
      </c>
      <c r="B31" s="78" t="s">
        <v>62</v>
      </c>
      <c r="C31" s="71">
        <v>35</v>
      </c>
      <c r="D31" s="81">
        <v>20</v>
      </c>
      <c r="E31" s="109">
        <v>57.142857142857139</v>
      </c>
      <c r="F31" s="22">
        <v>686</v>
      </c>
      <c r="G31" s="169">
        <v>28077</v>
      </c>
      <c r="H31" s="71" t="s">
        <v>101</v>
      </c>
      <c r="I31" s="71">
        <v>46.5</v>
      </c>
      <c r="K31" t="s">
        <v>64</v>
      </c>
      <c r="L31" s="17" t="s">
        <v>64</v>
      </c>
      <c r="M31" s="22">
        <v>686</v>
      </c>
      <c r="N31" s="99" t="s">
        <v>64</v>
      </c>
      <c r="O31" s="84">
        <v>686</v>
      </c>
    </row>
    <row r="32" spans="1:15" ht="15" thickBot="1" x14ac:dyDescent="0.3">
      <c r="A32" s="6" t="s">
        <v>13</v>
      </c>
      <c r="B32" s="78" t="s">
        <v>65</v>
      </c>
      <c r="C32" s="71">
        <v>60</v>
      </c>
      <c r="D32" s="81">
        <v>29</v>
      </c>
      <c r="E32" s="109">
        <v>48.333333333333336</v>
      </c>
      <c r="F32" s="22">
        <v>734</v>
      </c>
      <c r="G32" s="168">
        <v>53546</v>
      </c>
      <c r="H32" s="71" t="s">
        <v>102</v>
      </c>
      <c r="I32" s="71">
        <v>62.7</v>
      </c>
      <c r="K32" t="s">
        <v>13</v>
      </c>
      <c r="L32" s="6" t="s">
        <v>13</v>
      </c>
      <c r="M32" s="22">
        <v>734</v>
      </c>
      <c r="N32" s="99" t="s">
        <v>65</v>
      </c>
      <c r="O32" s="84">
        <v>734</v>
      </c>
    </row>
    <row r="33" spans="1:15" ht="15" thickBot="1" x14ac:dyDescent="0.3">
      <c r="A33" s="17" t="s">
        <v>14</v>
      </c>
      <c r="B33" s="78" t="s">
        <v>32</v>
      </c>
      <c r="C33" s="71">
        <v>53</v>
      </c>
      <c r="D33" s="81">
        <v>29</v>
      </c>
      <c r="E33" s="109">
        <v>54.716981132075468</v>
      </c>
      <c r="F33" s="22">
        <v>753</v>
      </c>
      <c r="G33" s="169">
        <v>19922</v>
      </c>
      <c r="H33" s="71" t="s">
        <v>88</v>
      </c>
      <c r="I33" s="71">
        <v>62.8</v>
      </c>
      <c r="K33" t="s">
        <v>14</v>
      </c>
      <c r="L33" s="17" t="s">
        <v>14</v>
      </c>
      <c r="M33" s="22">
        <v>753</v>
      </c>
      <c r="N33" s="99" t="s">
        <v>132</v>
      </c>
      <c r="O33" s="84">
        <v>753</v>
      </c>
    </row>
    <row r="34" spans="1:15" ht="15" thickBot="1" x14ac:dyDescent="0.3">
      <c r="A34" s="6" t="s">
        <v>66</v>
      </c>
      <c r="B34" s="78" t="s">
        <v>66</v>
      </c>
      <c r="C34" s="71">
        <v>54</v>
      </c>
      <c r="D34" s="81">
        <v>14</v>
      </c>
      <c r="E34" s="109">
        <v>25.925925925925924</v>
      </c>
      <c r="F34" s="22">
        <v>783</v>
      </c>
      <c r="G34" s="168">
        <v>6988</v>
      </c>
      <c r="H34" s="71" t="s">
        <v>103</v>
      </c>
      <c r="I34" s="71">
        <v>66.7</v>
      </c>
      <c r="K34" t="s">
        <v>66</v>
      </c>
      <c r="L34" s="6" t="s">
        <v>66</v>
      </c>
      <c r="M34" s="22">
        <v>783</v>
      </c>
      <c r="N34" s="99" t="s">
        <v>66</v>
      </c>
      <c r="O34" s="84">
        <v>783</v>
      </c>
    </row>
    <row r="35" spans="1:15" ht="15" thickBot="1" x14ac:dyDescent="0.3">
      <c r="A35" s="17" t="s">
        <v>67</v>
      </c>
      <c r="B35" s="78" t="s">
        <v>67</v>
      </c>
      <c r="C35" s="71">
        <v>73</v>
      </c>
      <c r="D35" s="81">
        <v>17</v>
      </c>
      <c r="E35" s="109">
        <v>23.287671232876711</v>
      </c>
      <c r="F35" s="22">
        <v>837</v>
      </c>
      <c r="G35" s="169">
        <v>228274</v>
      </c>
      <c r="H35" s="71" t="s">
        <v>104</v>
      </c>
      <c r="I35" s="71">
        <v>52.2</v>
      </c>
      <c r="K35" t="s">
        <v>67</v>
      </c>
      <c r="L35" s="17" t="s">
        <v>67</v>
      </c>
      <c r="M35" s="22">
        <v>837</v>
      </c>
      <c r="N35" s="99" t="s">
        <v>133</v>
      </c>
      <c r="O35" s="84">
        <v>837</v>
      </c>
    </row>
    <row r="36" spans="1:15" ht="15" thickBot="1" x14ac:dyDescent="0.3">
      <c r="A36" s="6" t="s">
        <v>68</v>
      </c>
      <c r="B36" s="78" t="s">
        <v>68</v>
      </c>
      <c r="C36" s="71">
        <v>55</v>
      </c>
      <c r="D36" s="81">
        <v>31</v>
      </c>
      <c r="E36" s="109">
        <v>56.36363636363636</v>
      </c>
      <c r="F36" s="22">
        <v>851</v>
      </c>
      <c r="G36" s="168">
        <v>22117</v>
      </c>
      <c r="H36" s="71" t="s">
        <v>80</v>
      </c>
      <c r="I36" s="71">
        <v>53.5</v>
      </c>
      <c r="K36" t="s">
        <v>68</v>
      </c>
      <c r="L36" s="6" t="s">
        <v>68</v>
      </c>
      <c r="M36" s="22">
        <v>851</v>
      </c>
      <c r="N36" s="99" t="s">
        <v>134</v>
      </c>
      <c r="O36" s="84">
        <v>851</v>
      </c>
    </row>
    <row r="37" spans="1:15" ht="15" thickBot="1" x14ac:dyDescent="0.3">
      <c r="A37" s="17" t="s">
        <v>15</v>
      </c>
      <c r="B37" s="78" t="s">
        <v>33</v>
      </c>
      <c r="C37" s="71">
        <v>83</v>
      </c>
      <c r="D37" s="81">
        <v>19</v>
      </c>
      <c r="E37" s="109">
        <v>22.891566265060241</v>
      </c>
      <c r="F37" s="22">
        <v>853</v>
      </c>
      <c r="G37" s="169">
        <v>187604</v>
      </c>
      <c r="H37" s="71" t="s">
        <v>105</v>
      </c>
      <c r="I37" s="71">
        <v>38.799999999999997</v>
      </c>
      <c r="K37" t="s">
        <v>15</v>
      </c>
      <c r="L37" s="17" t="s">
        <v>15</v>
      </c>
      <c r="M37" s="22">
        <v>853</v>
      </c>
      <c r="N37" s="99" t="s">
        <v>135</v>
      </c>
      <c r="O37" s="84">
        <v>853</v>
      </c>
    </row>
    <row r="38" spans="1:15" ht="15" thickBot="1" x14ac:dyDescent="0.3">
      <c r="A38" s="6" t="s">
        <v>16</v>
      </c>
      <c r="B38" s="78" t="s">
        <v>69</v>
      </c>
      <c r="C38" s="71">
        <v>85</v>
      </c>
      <c r="D38" s="81">
        <v>42</v>
      </c>
      <c r="E38" s="109">
        <v>49.411764705882355</v>
      </c>
      <c r="F38" s="22">
        <v>905</v>
      </c>
      <c r="G38" s="168">
        <v>67620</v>
      </c>
      <c r="H38" s="71" t="s">
        <v>106</v>
      </c>
      <c r="I38" s="71">
        <v>46.3</v>
      </c>
      <c r="K38" t="s">
        <v>16</v>
      </c>
      <c r="L38" s="6" t="s">
        <v>16</v>
      </c>
      <c r="M38" s="22">
        <v>905</v>
      </c>
      <c r="N38" s="99" t="s">
        <v>136</v>
      </c>
      <c r="O38" s="84">
        <v>905</v>
      </c>
    </row>
    <row r="39" spans="1:15" ht="15" thickBot="1" x14ac:dyDescent="0.3">
      <c r="A39" s="17" t="s">
        <v>70</v>
      </c>
      <c r="B39" s="78" t="s">
        <v>70</v>
      </c>
      <c r="C39" s="71">
        <v>86</v>
      </c>
      <c r="D39" s="81">
        <v>61</v>
      </c>
      <c r="E39" s="109">
        <v>70.930232558139537</v>
      </c>
      <c r="F39" s="22">
        <v>92</v>
      </c>
      <c r="G39" s="169">
        <v>219341</v>
      </c>
      <c r="H39" s="71" t="s">
        <v>107</v>
      </c>
      <c r="I39" s="71">
        <v>80.599999999999994</v>
      </c>
      <c r="K39" t="s">
        <v>70</v>
      </c>
      <c r="L39" s="17" t="s">
        <v>70</v>
      </c>
      <c r="M39" s="22">
        <v>92</v>
      </c>
      <c r="N39" s="99" t="s">
        <v>137</v>
      </c>
      <c r="O39" s="84">
        <v>92</v>
      </c>
    </row>
    <row r="40" spans="1:15" ht="15" thickBot="1" x14ac:dyDescent="0.3">
      <c r="A40" s="6" t="s">
        <v>17</v>
      </c>
      <c r="B40" s="78" t="s">
        <v>34</v>
      </c>
      <c r="C40" s="71">
        <v>24</v>
      </c>
      <c r="D40" s="81">
        <v>7</v>
      </c>
      <c r="E40" s="109">
        <v>29.166666666666668</v>
      </c>
      <c r="F40" s="22">
        <v>934</v>
      </c>
      <c r="G40" s="168">
        <v>3025</v>
      </c>
      <c r="H40" s="74" t="s">
        <v>113</v>
      </c>
      <c r="I40" s="71">
        <v>28.6</v>
      </c>
      <c r="K40" t="s">
        <v>17</v>
      </c>
      <c r="L40" s="6" t="s">
        <v>17</v>
      </c>
      <c r="M40" s="22">
        <v>934</v>
      </c>
      <c r="N40" s="99" t="s">
        <v>34</v>
      </c>
      <c r="O40" s="84">
        <v>934</v>
      </c>
    </row>
    <row r="41" spans="1:15" ht="15" thickBot="1" x14ac:dyDescent="0.3">
      <c r="A41" s="17" t="s">
        <v>24</v>
      </c>
      <c r="B41" s="78" t="s">
        <v>24</v>
      </c>
      <c r="C41" s="71">
        <v>37</v>
      </c>
      <c r="D41" s="81">
        <v>21</v>
      </c>
      <c r="E41" s="109">
        <v>56.756756756756758</v>
      </c>
      <c r="F41" s="22">
        <v>946</v>
      </c>
      <c r="G41" s="169">
        <v>6684</v>
      </c>
      <c r="H41" s="71" t="s">
        <v>108</v>
      </c>
      <c r="I41" s="71">
        <v>55.6</v>
      </c>
      <c r="K41" t="s">
        <v>24</v>
      </c>
      <c r="L41" s="17" t="s">
        <v>24</v>
      </c>
      <c r="M41" s="22">
        <v>946</v>
      </c>
      <c r="N41" s="99" t="s">
        <v>138</v>
      </c>
      <c r="O41" s="84">
        <v>946</v>
      </c>
    </row>
    <row r="42" spans="1:15" ht="14" thickBot="1" x14ac:dyDescent="0.3">
      <c r="B42" s="20" t="s">
        <v>35</v>
      </c>
      <c r="C42" s="62">
        <v>2191</v>
      </c>
      <c r="D42" s="61">
        <v>978</v>
      </c>
      <c r="E42" s="110">
        <v>44.637151985394794</v>
      </c>
      <c r="H42" s="72"/>
    </row>
    <row r="44" spans="1:15" ht="14.5" x14ac:dyDescent="0.25">
      <c r="A44" s="111"/>
      <c r="B44" s="112"/>
      <c r="C44" s="113"/>
      <c r="D44" s="113"/>
      <c r="E44" s="113"/>
      <c r="F44" s="114"/>
      <c r="G44" s="111"/>
      <c r="H44" s="111"/>
      <c r="I44" s="113"/>
      <c r="J44" s="111"/>
    </row>
    <row r="45" spans="1:15" ht="14.5" x14ac:dyDescent="0.25">
      <c r="A45" s="111"/>
      <c r="B45" s="112"/>
      <c r="C45" s="113"/>
      <c r="D45" s="113"/>
      <c r="E45" s="113"/>
      <c r="F45" s="114"/>
      <c r="G45" s="111"/>
      <c r="H45" s="111"/>
      <c r="I45" s="113"/>
      <c r="J45" s="111"/>
    </row>
  </sheetData>
  <sortState ref="A2:E41">
    <sortCondition ref="A2:A41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A3" sqref="A3"/>
    </sheetView>
  </sheetViews>
  <sheetFormatPr defaultColWidth="8.78515625" defaultRowHeight="13.5" x14ac:dyDescent="0.25"/>
  <cols>
    <col min="1" max="1" width="15.640625" style="103" customWidth="1"/>
    <col min="2" max="2" width="10.7109375" style="103" customWidth="1"/>
    <col min="3" max="3" width="8.78515625" style="103"/>
    <col min="4" max="4" width="28.92578125" style="103" customWidth="1"/>
    <col min="5" max="16384" width="8.78515625" style="103"/>
  </cols>
  <sheetData>
    <row r="1" spans="1:17" x14ac:dyDescent="0.25">
      <c r="A1" s="119" t="s">
        <v>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05"/>
      <c r="M1" s="105"/>
      <c r="N1" s="105"/>
      <c r="O1" s="105"/>
      <c r="P1" s="105"/>
      <c r="Q1" s="105"/>
    </row>
    <row r="2" spans="1:17" x14ac:dyDescent="0.25">
      <c r="A2" s="117" t="s">
        <v>141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05"/>
      <c r="M2" s="105"/>
      <c r="N2" s="105"/>
      <c r="O2" s="105"/>
      <c r="P2" s="105"/>
      <c r="Q2" s="105"/>
    </row>
    <row r="3" spans="1:17" x14ac:dyDescent="0.25">
      <c r="A3" s="117" t="s">
        <v>142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x14ac:dyDescent="0.25">
      <c r="A4" s="119" t="s">
        <v>143</v>
      </c>
      <c r="B4" s="119"/>
      <c r="C4" s="119"/>
      <c r="D4" s="119"/>
      <c r="E4" s="119"/>
      <c r="F4" s="119"/>
    </row>
    <row r="6" spans="1:17" x14ac:dyDescent="0.25">
      <c r="D6" s="103" t="s">
        <v>40</v>
      </c>
      <c r="E6" s="103" t="s">
        <v>145</v>
      </c>
    </row>
    <row r="7" spans="1:17" x14ac:dyDescent="0.25">
      <c r="A7" s="117" t="s">
        <v>149</v>
      </c>
      <c r="B7" s="117"/>
      <c r="C7" s="117"/>
      <c r="D7" s="103">
        <v>73.5</v>
      </c>
      <c r="E7" s="103">
        <v>570</v>
      </c>
    </row>
    <row r="8" spans="1:17" x14ac:dyDescent="0.25">
      <c r="A8" s="117" t="s">
        <v>150</v>
      </c>
      <c r="B8" s="117"/>
      <c r="C8" s="117"/>
      <c r="D8" s="103">
        <v>21.4</v>
      </c>
      <c r="E8" s="103">
        <v>166</v>
      </c>
    </row>
    <row r="9" spans="1:17" x14ac:dyDescent="0.25">
      <c r="A9" s="117" t="s">
        <v>151</v>
      </c>
      <c r="B9" s="117"/>
      <c r="C9" s="117"/>
      <c r="D9" s="103">
        <v>5.2</v>
      </c>
      <c r="E9" s="103">
        <v>40</v>
      </c>
    </row>
    <row r="10" spans="1:17" x14ac:dyDescent="0.25">
      <c r="D10" s="103">
        <v>100</v>
      </c>
      <c r="E10" s="103">
        <v>776</v>
      </c>
    </row>
    <row r="11" spans="1:17" x14ac:dyDescent="0.25">
      <c r="A11" s="119" t="s">
        <v>152</v>
      </c>
      <c r="B11" s="119"/>
      <c r="C11" s="119"/>
      <c r="D11" s="119"/>
      <c r="E11" s="119"/>
      <c r="F11" s="119"/>
    </row>
    <row r="13" spans="1:17" x14ac:dyDescent="0.25">
      <c r="A13" s="128" t="s">
        <v>344</v>
      </c>
      <c r="B13" s="127" t="s">
        <v>153</v>
      </c>
      <c r="C13" s="127" t="s">
        <v>154</v>
      </c>
      <c r="D13" s="127" t="s">
        <v>155</v>
      </c>
      <c r="E13" s="127" t="s">
        <v>145</v>
      </c>
    </row>
    <row r="14" spans="1:17" x14ac:dyDescent="0.25">
      <c r="A14" s="126" t="s">
        <v>115</v>
      </c>
      <c r="B14" s="103">
        <v>63</v>
      </c>
      <c r="C14" s="103">
        <v>30.9</v>
      </c>
      <c r="D14" s="103">
        <v>6.1</v>
      </c>
      <c r="E14" s="103">
        <v>81</v>
      </c>
    </row>
    <row r="15" spans="1:17" x14ac:dyDescent="0.25">
      <c r="A15" s="126" t="s">
        <v>116</v>
      </c>
      <c r="B15" s="103">
        <v>65.900000000000006</v>
      </c>
      <c r="C15" s="103">
        <v>26.1</v>
      </c>
      <c r="D15" s="103">
        <v>8</v>
      </c>
      <c r="E15" s="103">
        <v>88</v>
      </c>
    </row>
    <row r="16" spans="1:17" x14ac:dyDescent="0.25">
      <c r="A16" s="126" t="s">
        <v>117</v>
      </c>
      <c r="B16" s="103">
        <v>77.599999999999994</v>
      </c>
      <c r="C16" s="103">
        <v>15.7</v>
      </c>
      <c r="D16" s="103">
        <v>6.7</v>
      </c>
      <c r="E16" s="103">
        <v>134</v>
      </c>
    </row>
    <row r="17" spans="1:6" x14ac:dyDescent="0.25">
      <c r="A17" s="126" t="s">
        <v>118</v>
      </c>
      <c r="B17" s="103">
        <v>69.400000000000006</v>
      </c>
      <c r="C17" s="103">
        <v>26.6</v>
      </c>
      <c r="D17" s="103">
        <v>4</v>
      </c>
      <c r="E17" s="103">
        <v>173</v>
      </c>
    </row>
    <row r="18" spans="1:6" x14ac:dyDescent="0.25">
      <c r="A18" s="126" t="s">
        <v>119</v>
      </c>
      <c r="B18" s="103">
        <v>76.8</v>
      </c>
      <c r="C18" s="103">
        <v>15.9</v>
      </c>
      <c r="D18" s="103">
        <v>7.2</v>
      </c>
      <c r="E18" s="103">
        <v>138</v>
      </c>
    </row>
    <row r="19" spans="1:6" x14ac:dyDescent="0.25">
      <c r="A19" s="126" t="s">
        <v>120</v>
      </c>
      <c r="B19" s="103">
        <v>80.900000000000006</v>
      </c>
      <c r="C19" s="103">
        <v>17.899999999999999</v>
      </c>
      <c r="D19" s="103">
        <v>1.2</v>
      </c>
      <c r="E19" s="103">
        <v>162</v>
      </c>
    </row>
    <row r="21" spans="1:6" x14ac:dyDescent="0.25">
      <c r="A21" s="119" t="s">
        <v>144</v>
      </c>
      <c r="B21" s="119"/>
      <c r="C21" s="119"/>
      <c r="D21" s="119"/>
      <c r="E21" s="119"/>
    </row>
    <row r="23" spans="1:6" x14ac:dyDescent="0.25">
      <c r="A23" s="103" t="s">
        <v>344</v>
      </c>
      <c r="B23" s="104" t="s">
        <v>146</v>
      </c>
      <c r="C23" s="104" t="s">
        <v>147</v>
      </c>
      <c r="D23" s="104" t="s">
        <v>148</v>
      </c>
      <c r="E23" s="104" t="s">
        <v>145</v>
      </c>
      <c r="F23" s="119"/>
    </row>
    <row r="24" spans="1:6" x14ac:dyDescent="0.25">
      <c r="A24" s="103" t="s">
        <v>43</v>
      </c>
      <c r="B24" s="103">
        <v>70</v>
      </c>
      <c r="C24" s="103">
        <v>30</v>
      </c>
      <c r="D24" s="103">
        <v>0</v>
      </c>
      <c r="E24" s="103">
        <v>10</v>
      </c>
    </row>
    <row r="25" spans="1:6" x14ac:dyDescent="0.25">
      <c r="A25" s="103" t="s">
        <v>44</v>
      </c>
      <c r="B25" s="103">
        <v>79.400000000000006</v>
      </c>
      <c r="C25" s="103">
        <v>17.600000000000001</v>
      </c>
      <c r="D25" s="103">
        <v>2.9</v>
      </c>
      <c r="E25" s="103">
        <v>34</v>
      </c>
    </row>
    <row r="26" spans="1:6" x14ac:dyDescent="0.25">
      <c r="A26" s="103" t="s">
        <v>45</v>
      </c>
      <c r="B26" s="103">
        <v>78.900000000000006</v>
      </c>
      <c r="C26" s="103">
        <v>21.1</v>
      </c>
      <c r="D26" s="103">
        <v>0</v>
      </c>
      <c r="E26" s="103">
        <v>20</v>
      </c>
    </row>
    <row r="27" spans="1:6" x14ac:dyDescent="0.25">
      <c r="A27" s="103" t="s">
        <v>2</v>
      </c>
      <c r="B27" s="103">
        <v>50</v>
      </c>
      <c r="C27" s="103">
        <v>33.299999999999997</v>
      </c>
      <c r="D27" s="103">
        <v>16.7</v>
      </c>
      <c r="E27" s="103">
        <v>7</v>
      </c>
    </row>
    <row r="28" spans="1:6" x14ac:dyDescent="0.25">
      <c r="A28" s="103" t="s">
        <v>3</v>
      </c>
      <c r="B28" s="103">
        <v>69.5</v>
      </c>
      <c r="C28" s="103">
        <v>28.8</v>
      </c>
      <c r="D28" s="103">
        <v>1.7</v>
      </c>
      <c r="E28" s="103">
        <v>59</v>
      </c>
    </row>
    <row r="29" spans="1:6" x14ac:dyDescent="0.25">
      <c r="A29" s="103" t="s">
        <v>4</v>
      </c>
      <c r="B29" s="103">
        <v>76.900000000000006</v>
      </c>
      <c r="C29" s="103">
        <v>23.1</v>
      </c>
      <c r="D29" s="103">
        <v>0</v>
      </c>
      <c r="E29" s="103">
        <v>13</v>
      </c>
    </row>
    <row r="30" spans="1:6" x14ac:dyDescent="0.25">
      <c r="A30" s="103" t="s">
        <v>47</v>
      </c>
      <c r="B30" s="103">
        <v>68.8</v>
      </c>
      <c r="C30" s="103">
        <v>25</v>
      </c>
      <c r="D30" s="103">
        <v>6.3</v>
      </c>
      <c r="E30" s="103">
        <v>16</v>
      </c>
    </row>
    <row r="31" spans="1:6" x14ac:dyDescent="0.25">
      <c r="A31" s="103" t="s">
        <v>5</v>
      </c>
      <c r="B31" s="103">
        <v>86.4</v>
      </c>
      <c r="C31" s="103">
        <v>13.6</v>
      </c>
      <c r="D31" s="103">
        <v>0</v>
      </c>
      <c r="E31" s="103">
        <v>22</v>
      </c>
    </row>
    <row r="32" spans="1:6" x14ac:dyDescent="0.25">
      <c r="A32" s="103" t="s">
        <v>49</v>
      </c>
      <c r="B32" s="103">
        <v>80</v>
      </c>
      <c r="C32" s="103">
        <v>0</v>
      </c>
      <c r="D32" s="103">
        <v>20</v>
      </c>
      <c r="E32" s="103">
        <v>10</v>
      </c>
    </row>
    <row r="33" spans="1:5" x14ac:dyDescent="0.25">
      <c r="A33" s="103" t="s">
        <v>50</v>
      </c>
      <c r="B33" s="103">
        <v>73.3</v>
      </c>
      <c r="C33" s="103">
        <v>20</v>
      </c>
      <c r="D33" s="103">
        <v>6.7</v>
      </c>
      <c r="E33" s="103">
        <v>15</v>
      </c>
    </row>
    <row r="34" spans="1:5" x14ac:dyDescent="0.25">
      <c r="A34" s="103" t="s">
        <v>22</v>
      </c>
      <c r="B34" s="103">
        <v>52.6</v>
      </c>
      <c r="C34" s="103">
        <v>42.1</v>
      </c>
      <c r="D34" s="103">
        <v>5.3</v>
      </c>
      <c r="E34" s="103">
        <v>19</v>
      </c>
    </row>
    <row r="35" spans="1:5" x14ac:dyDescent="0.25">
      <c r="A35" s="103" t="s">
        <v>51</v>
      </c>
      <c r="B35" s="103">
        <v>88.9</v>
      </c>
      <c r="C35" s="103">
        <v>11.1</v>
      </c>
      <c r="D35" s="103">
        <v>0</v>
      </c>
      <c r="E35" s="103">
        <v>9</v>
      </c>
    </row>
    <row r="36" spans="1:5" x14ac:dyDescent="0.25">
      <c r="A36" s="103" t="s">
        <v>71</v>
      </c>
      <c r="B36" s="103">
        <v>71.400000000000006</v>
      </c>
      <c r="C36" s="103">
        <v>14.3</v>
      </c>
      <c r="D36" s="103">
        <v>14.3</v>
      </c>
      <c r="E36" s="103">
        <v>22</v>
      </c>
    </row>
    <row r="37" spans="1:5" x14ac:dyDescent="0.25">
      <c r="A37" s="103" t="s">
        <v>6</v>
      </c>
      <c r="B37" s="103">
        <v>83.3</v>
      </c>
      <c r="C37" s="103">
        <v>16.7</v>
      </c>
      <c r="D37" s="103">
        <v>0</v>
      </c>
      <c r="E37" s="103">
        <v>19</v>
      </c>
    </row>
    <row r="38" spans="1:5" x14ac:dyDescent="0.25">
      <c r="A38" s="103" t="s">
        <v>72</v>
      </c>
      <c r="B38" s="103">
        <v>66.7</v>
      </c>
      <c r="C38" s="103">
        <v>20</v>
      </c>
      <c r="D38" s="103">
        <v>13.3</v>
      </c>
      <c r="E38" s="103">
        <v>31</v>
      </c>
    </row>
    <row r="39" spans="1:5" x14ac:dyDescent="0.25">
      <c r="A39" s="103" t="s">
        <v>7</v>
      </c>
      <c r="B39" s="103">
        <v>86.4</v>
      </c>
      <c r="C39" s="103">
        <v>4.5</v>
      </c>
      <c r="D39" s="103">
        <v>9.1</v>
      </c>
      <c r="E39" s="103">
        <v>22</v>
      </c>
    </row>
    <row r="40" spans="1:5" x14ac:dyDescent="0.25">
      <c r="A40" s="103" t="s">
        <v>8</v>
      </c>
      <c r="B40" s="103">
        <v>71.400000000000006</v>
      </c>
      <c r="C40" s="103">
        <v>9.5</v>
      </c>
      <c r="D40" s="103">
        <v>19</v>
      </c>
      <c r="E40" s="103">
        <v>21</v>
      </c>
    </row>
    <row r="41" spans="1:5" x14ac:dyDescent="0.25">
      <c r="A41" s="103" t="s">
        <v>9</v>
      </c>
      <c r="B41" s="103">
        <v>53.3</v>
      </c>
      <c r="C41" s="103">
        <v>43.3</v>
      </c>
      <c r="D41" s="103">
        <v>3.3</v>
      </c>
      <c r="E41" s="103">
        <v>30</v>
      </c>
    </row>
    <row r="42" spans="1:5" x14ac:dyDescent="0.25">
      <c r="A42" s="103" t="s">
        <v>55</v>
      </c>
      <c r="B42" s="103">
        <v>81</v>
      </c>
      <c r="C42" s="103">
        <v>19</v>
      </c>
      <c r="D42" s="103">
        <v>0</v>
      </c>
      <c r="E42" s="103">
        <v>21</v>
      </c>
    </row>
    <row r="43" spans="1:5" x14ac:dyDescent="0.25">
      <c r="A43" s="103" t="s">
        <v>73</v>
      </c>
      <c r="B43" s="103">
        <v>78.599999999999994</v>
      </c>
      <c r="C43" s="103">
        <v>21.4</v>
      </c>
      <c r="D43" s="103">
        <v>0</v>
      </c>
      <c r="E43" s="103">
        <v>28</v>
      </c>
    </row>
    <row r="44" spans="1:5" x14ac:dyDescent="0.25">
      <c r="A44" s="103" t="s">
        <v>10</v>
      </c>
      <c r="B44" s="103">
        <v>81.8</v>
      </c>
      <c r="C44" s="103">
        <v>18.2</v>
      </c>
      <c r="D44" s="103">
        <v>0</v>
      </c>
      <c r="E44" s="103">
        <v>11</v>
      </c>
    </row>
    <row r="45" spans="1:5" x14ac:dyDescent="0.25">
      <c r="A45" s="103" t="s">
        <v>57</v>
      </c>
      <c r="B45" s="103">
        <v>77.8</v>
      </c>
      <c r="C45" s="103">
        <v>11.1</v>
      </c>
      <c r="D45" s="103">
        <v>11.1</v>
      </c>
      <c r="E45" s="103">
        <v>9</v>
      </c>
    </row>
    <row r="46" spans="1:5" x14ac:dyDescent="0.25">
      <c r="A46" s="103" t="s">
        <v>11</v>
      </c>
      <c r="B46" s="103">
        <v>86.2</v>
      </c>
      <c r="C46" s="103">
        <v>13.8</v>
      </c>
      <c r="D46" s="103">
        <v>0</v>
      </c>
      <c r="E46" s="103">
        <v>29</v>
      </c>
    </row>
    <row r="47" spans="1:5" x14ac:dyDescent="0.25">
      <c r="A47" s="103" t="s">
        <v>59</v>
      </c>
      <c r="B47" s="103">
        <v>75</v>
      </c>
      <c r="C47" s="103">
        <v>25</v>
      </c>
      <c r="D47" s="103">
        <v>0</v>
      </c>
      <c r="E47" s="103">
        <v>8</v>
      </c>
    </row>
    <row r="48" spans="1:5" x14ac:dyDescent="0.25">
      <c r="A48" s="103" t="s">
        <v>60</v>
      </c>
      <c r="B48" s="103">
        <v>81.8</v>
      </c>
      <c r="C48" s="103">
        <v>9.1</v>
      </c>
      <c r="D48" s="103">
        <v>9.1</v>
      </c>
      <c r="E48" s="103">
        <v>11</v>
      </c>
    </row>
    <row r="49" spans="1:5" x14ac:dyDescent="0.25">
      <c r="A49" s="103" t="s">
        <v>61</v>
      </c>
      <c r="B49" s="103">
        <v>53.8</v>
      </c>
      <c r="C49" s="103">
        <v>38.5</v>
      </c>
      <c r="D49" s="103">
        <v>7.7</v>
      </c>
      <c r="E49" s="103">
        <v>13</v>
      </c>
    </row>
    <row r="50" spans="1:5" x14ac:dyDescent="0.25">
      <c r="A50" s="103" t="s">
        <v>12</v>
      </c>
      <c r="B50" s="103">
        <v>57.1</v>
      </c>
      <c r="C50" s="103">
        <v>28.6</v>
      </c>
      <c r="D50" s="103">
        <v>14.3</v>
      </c>
      <c r="E50" s="103">
        <v>7</v>
      </c>
    </row>
    <row r="51" spans="1:5" x14ac:dyDescent="0.25">
      <c r="A51" s="103" t="s">
        <v>23</v>
      </c>
      <c r="B51" s="103">
        <v>85.2</v>
      </c>
      <c r="C51" s="103">
        <v>14.8</v>
      </c>
      <c r="D51" s="103">
        <v>0</v>
      </c>
      <c r="E51" s="103">
        <v>27</v>
      </c>
    </row>
    <row r="52" spans="1:5" x14ac:dyDescent="0.25">
      <c r="A52" s="103" t="s">
        <v>63</v>
      </c>
      <c r="B52" s="103">
        <v>75</v>
      </c>
      <c r="C52" s="103">
        <v>16.7</v>
      </c>
      <c r="D52" s="103">
        <v>8.3000000000000007</v>
      </c>
      <c r="E52" s="103">
        <v>12</v>
      </c>
    </row>
    <row r="53" spans="1:5" x14ac:dyDescent="0.25">
      <c r="A53" s="103" t="s">
        <v>64</v>
      </c>
      <c r="B53" s="103">
        <v>66.7</v>
      </c>
      <c r="C53" s="103">
        <v>33.299999999999997</v>
      </c>
      <c r="D53" s="103">
        <v>0</v>
      </c>
      <c r="E53" s="103">
        <v>15</v>
      </c>
    </row>
    <row r="54" spans="1:5" x14ac:dyDescent="0.25">
      <c r="A54" s="103" t="s">
        <v>13</v>
      </c>
      <c r="B54" s="103">
        <v>66.7</v>
      </c>
      <c r="C54" s="103">
        <v>16.7</v>
      </c>
      <c r="D54" s="103">
        <v>16.7</v>
      </c>
      <c r="E54" s="103">
        <v>24</v>
      </c>
    </row>
    <row r="55" spans="1:5" x14ac:dyDescent="0.25">
      <c r="A55" s="103" t="s">
        <v>14</v>
      </c>
      <c r="B55" s="103">
        <v>72.7</v>
      </c>
      <c r="C55" s="103">
        <v>27.3</v>
      </c>
      <c r="D55" s="103">
        <v>0</v>
      </c>
      <c r="E55" s="103">
        <v>22</v>
      </c>
    </row>
    <row r="56" spans="1:5" x14ac:dyDescent="0.25">
      <c r="A56" s="103" t="s">
        <v>66</v>
      </c>
      <c r="B56" s="103">
        <v>30</v>
      </c>
      <c r="C56" s="103">
        <v>50</v>
      </c>
      <c r="D56" s="103">
        <v>20</v>
      </c>
      <c r="E56" s="103">
        <v>10</v>
      </c>
    </row>
    <row r="57" spans="1:5" x14ac:dyDescent="0.25">
      <c r="A57" s="103" t="s">
        <v>67</v>
      </c>
      <c r="B57" s="103">
        <v>78.599999999999994</v>
      </c>
      <c r="C57" s="103">
        <v>21.4</v>
      </c>
      <c r="D57" s="103">
        <v>0</v>
      </c>
      <c r="E57" s="103">
        <v>14</v>
      </c>
    </row>
    <row r="58" spans="1:5" x14ac:dyDescent="0.25">
      <c r="A58" s="103" t="s">
        <v>68</v>
      </c>
      <c r="B58" s="103">
        <v>66.7</v>
      </c>
      <c r="C58" s="103">
        <v>29.2</v>
      </c>
      <c r="D58" s="103">
        <v>4.2</v>
      </c>
      <c r="E58" s="103">
        <v>25</v>
      </c>
    </row>
    <row r="59" spans="1:5" x14ac:dyDescent="0.25">
      <c r="A59" s="103" t="s">
        <v>15</v>
      </c>
      <c r="B59" s="103">
        <v>78.599999999999994</v>
      </c>
      <c r="C59" s="103">
        <v>21.4</v>
      </c>
      <c r="D59" s="103">
        <v>0</v>
      </c>
      <c r="E59" s="103">
        <v>15</v>
      </c>
    </row>
    <row r="60" spans="1:5" x14ac:dyDescent="0.25">
      <c r="A60" s="103" t="s">
        <v>16</v>
      </c>
      <c r="B60" s="103">
        <v>82.4</v>
      </c>
      <c r="C60" s="103">
        <v>11.8</v>
      </c>
      <c r="D60" s="103">
        <v>5.9</v>
      </c>
      <c r="E60" s="103">
        <v>35</v>
      </c>
    </row>
    <row r="61" spans="1:5" x14ac:dyDescent="0.25">
      <c r="A61" s="103" t="s">
        <v>70</v>
      </c>
      <c r="B61" s="103">
        <v>77.599999999999994</v>
      </c>
      <c r="C61" s="103">
        <v>20.399999999999999</v>
      </c>
      <c r="D61" s="103">
        <v>2</v>
      </c>
      <c r="E61" s="103">
        <v>50</v>
      </c>
    </row>
    <row r="62" spans="1:5" x14ac:dyDescent="0.25">
      <c r="A62" s="103" t="s">
        <v>17</v>
      </c>
      <c r="B62" s="103">
        <v>100</v>
      </c>
      <c r="C62" s="103">
        <v>0</v>
      </c>
      <c r="D62" s="103">
        <v>0</v>
      </c>
      <c r="E62" s="103">
        <v>4</v>
      </c>
    </row>
    <row r="63" spans="1:5" x14ac:dyDescent="0.25">
      <c r="A63" s="103" t="s">
        <v>24</v>
      </c>
      <c r="B63" s="103">
        <v>56.3</v>
      </c>
      <c r="C63" s="103">
        <v>25</v>
      </c>
      <c r="D63" s="103">
        <v>18.8</v>
      </c>
      <c r="E63" s="103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F11" sqref="F11"/>
    </sheetView>
  </sheetViews>
  <sheetFormatPr defaultColWidth="8.78515625" defaultRowHeight="13.5" x14ac:dyDescent="0.25"/>
  <cols>
    <col min="1" max="1" width="9.92578125" style="103" customWidth="1"/>
    <col min="2" max="2" width="10.7109375" style="103" customWidth="1"/>
    <col min="3" max="3" width="9.92578125" style="103" customWidth="1"/>
    <col min="4" max="4" width="17.5703125" style="103" customWidth="1"/>
    <col min="5" max="5" width="8.78515625" style="103"/>
    <col min="6" max="6" width="24.92578125" style="103" customWidth="1"/>
    <col min="7" max="16384" width="8.78515625" style="103"/>
  </cols>
  <sheetData>
    <row r="1" spans="1:20" x14ac:dyDescent="0.25">
      <c r="A1" s="119" t="s">
        <v>156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x14ac:dyDescent="0.25">
      <c r="A2" s="117" t="s">
        <v>141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05"/>
      <c r="M2" s="105"/>
      <c r="N2" s="105"/>
      <c r="O2" s="105"/>
      <c r="P2" s="105"/>
      <c r="Q2" s="105"/>
      <c r="R2" s="105"/>
      <c r="S2" s="105"/>
      <c r="T2" s="105"/>
    </row>
    <row r="3" spans="1:20" x14ac:dyDescent="0.25">
      <c r="A3" s="117" t="s">
        <v>157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05"/>
      <c r="Q3" s="105"/>
      <c r="R3" s="105"/>
      <c r="S3" s="105"/>
      <c r="T3" s="105"/>
    </row>
    <row r="4" spans="1:20" x14ac:dyDescent="0.25">
      <c r="A4" s="119" t="s">
        <v>143</v>
      </c>
      <c r="B4" s="119"/>
      <c r="C4" s="119"/>
      <c r="D4" s="119"/>
      <c r="E4" s="119"/>
      <c r="F4" s="119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Q5" s="105"/>
      <c r="R5" s="105"/>
      <c r="S5" s="105"/>
      <c r="T5" s="105"/>
    </row>
    <row r="6" spans="1:20" x14ac:dyDescent="0.25">
      <c r="A6" s="105"/>
      <c r="B6" s="105"/>
      <c r="C6" s="105"/>
      <c r="D6" s="105" t="s">
        <v>40</v>
      </c>
      <c r="E6" s="105" t="s">
        <v>145</v>
      </c>
      <c r="F6" s="105"/>
      <c r="G6" s="105"/>
      <c r="H6" s="105"/>
      <c r="I6" s="105"/>
      <c r="J6" s="105"/>
      <c r="K6" s="105"/>
      <c r="Q6" s="105"/>
      <c r="R6" s="105"/>
      <c r="S6" s="105"/>
      <c r="T6" s="105"/>
    </row>
    <row r="7" spans="1:20" x14ac:dyDescent="0.25">
      <c r="A7" s="117" t="s">
        <v>149</v>
      </c>
      <c r="B7" s="117"/>
      <c r="C7" s="117"/>
      <c r="D7" s="105">
        <v>14.7</v>
      </c>
      <c r="E7" s="105">
        <v>115</v>
      </c>
      <c r="F7" s="105"/>
      <c r="G7" s="105"/>
      <c r="H7" s="105"/>
      <c r="I7" s="105"/>
      <c r="J7" s="105"/>
      <c r="K7" s="105"/>
      <c r="Q7" s="105"/>
      <c r="R7" s="105"/>
      <c r="S7" s="105"/>
      <c r="T7" s="105"/>
    </row>
    <row r="8" spans="1:20" x14ac:dyDescent="0.25">
      <c r="A8" s="117" t="s">
        <v>150</v>
      </c>
      <c r="B8" s="117"/>
      <c r="C8" s="117"/>
      <c r="D8" s="105">
        <v>35.6</v>
      </c>
      <c r="E8" s="105">
        <v>279</v>
      </c>
      <c r="F8" s="105"/>
      <c r="G8" s="105"/>
      <c r="H8" s="105"/>
      <c r="I8" s="105"/>
      <c r="J8" s="105"/>
      <c r="K8" s="105"/>
      <c r="Q8" s="105"/>
      <c r="R8" s="105"/>
      <c r="S8" s="105"/>
      <c r="T8" s="105"/>
    </row>
    <row r="9" spans="1:20" x14ac:dyDescent="0.25">
      <c r="A9" s="117" t="s">
        <v>151</v>
      </c>
      <c r="B9" s="117"/>
      <c r="C9" s="117"/>
      <c r="D9" s="105">
        <v>49.7</v>
      </c>
      <c r="E9" s="105">
        <v>390</v>
      </c>
      <c r="F9" s="105"/>
      <c r="G9" s="105"/>
      <c r="H9" s="105"/>
      <c r="I9" s="105"/>
      <c r="J9" s="105"/>
      <c r="K9" s="105"/>
      <c r="Q9" s="105"/>
      <c r="R9" s="105"/>
      <c r="S9" s="105"/>
      <c r="T9" s="105"/>
    </row>
    <row r="10" spans="1:20" x14ac:dyDescent="0.25">
      <c r="A10" s="105"/>
      <c r="B10" s="105"/>
      <c r="C10" s="105"/>
      <c r="D10" s="105">
        <v>100</v>
      </c>
      <c r="E10" s="105">
        <v>784</v>
      </c>
      <c r="F10" s="105"/>
      <c r="G10" s="105"/>
      <c r="H10" s="105"/>
      <c r="I10" s="105"/>
      <c r="J10" s="105"/>
      <c r="K10" s="105"/>
      <c r="Q10" s="105"/>
      <c r="R10" s="105"/>
      <c r="S10" s="105"/>
      <c r="T10" s="105"/>
    </row>
    <row r="11" spans="1:20" x14ac:dyDescent="0.25">
      <c r="A11" s="119" t="s">
        <v>152</v>
      </c>
      <c r="B11" s="119"/>
      <c r="C11" s="119"/>
      <c r="D11" s="119"/>
      <c r="E11" s="119"/>
      <c r="F11" s="119"/>
      <c r="G11" s="105"/>
      <c r="H11" s="105"/>
      <c r="I11" s="105"/>
      <c r="J11" s="105"/>
      <c r="K11" s="105"/>
      <c r="Q11" s="105"/>
      <c r="R11" s="105"/>
      <c r="S11" s="105"/>
      <c r="T11" s="105"/>
    </row>
    <row r="12" spans="1:20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Q12" s="105"/>
      <c r="R12" s="105"/>
      <c r="S12" s="105"/>
      <c r="T12" s="105"/>
    </row>
    <row r="13" spans="1:20" x14ac:dyDescent="0.25">
      <c r="A13" s="117" t="s">
        <v>344</v>
      </c>
      <c r="B13" s="106" t="s">
        <v>153</v>
      </c>
      <c r="C13" s="106" t="s">
        <v>154</v>
      </c>
      <c r="D13" s="106" t="s">
        <v>155</v>
      </c>
      <c r="E13" s="106" t="s">
        <v>145</v>
      </c>
      <c r="F13" s="105"/>
      <c r="G13" s="105"/>
      <c r="H13" s="105"/>
      <c r="I13" s="105"/>
      <c r="O13" s="105"/>
      <c r="P13" s="105"/>
      <c r="Q13" s="105"/>
      <c r="R13" s="105"/>
    </row>
    <row r="14" spans="1:20" x14ac:dyDescent="0.25">
      <c r="A14" s="126" t="s">
        <v>115</v>
      </c>
      <c r="B14" s="105">
        <v>11</v>
      </c>
      <c r="C14" s="105">
        <v>45.1</v>
      </c>
      <c r="D14" s="105">
        <v>43.9</v>
      </c>
      <c r="E14" s="105">
        <v>82</v>
      </c>
      <c r="F14" s="105"/>
      <c r="G14" s="105"/>
      <c r="H14" s="105"/>
      <c r="I14" s="105"/>
      <c r="O14" s="105"/>
      <c r="P14" s="105"/>
      <c r="Q14" s="105"/>
      <c r="R14" s="105"/>
    </row>
    <row r="15" spans="1:20" x14ac:dyDescent="0.25">
      <c r="A15" s="126" t="s">
        <v>116</v>
      </c>
      <c r="B15" s="105">
        <v>7.9</v>
      </c>
      <c r="C15" s="105">
        <v>41.6</v>
      </c>
      <c r="D15" s="105">
        <v>50.6</v>
      </c>
      <c r="E15" s="105">
        <v>89</v>
      </c>
      <c r="F15" s="105"/>
      <c r="G15" s="105"/>
      <c r="H15" s="105"/>
      <c r="I15" s="105"/>
      <c r="O15" s="105"/>
      <c r="P15" s="105"/>
      <c r="Q15" s="105"/>
      <c r="R15" s="105"/>
    </row>
    <row r="16" spans="1:20" x14ac:dyDescent="0.25">
      <c r="A16" s="126" t="s">
        <v>117</v>
      </c>
      <c r="B16" s="105">
        <v>10.4</v>
      </c>
      <c r="C16" s="105">
        <v>43</v>
      </c>
      <c r="D16" s="105">
        <v>46.7</v>
      </c>
      <c r="E16" s="105">
        <v>135</v>
      </c>
      <c r="F16" s="105"/>
      <c r="G16" s="105"/>
      <c r="H16" s="105"/>
      <c r="I16" s="105"/>
      <c r="O16" s="105"/>
      <c r="P16" s="105"/>
      <c r="Q16" s="105"/>
      <c r="R16" s="105"/>
    </row>
    <row r="17" spans="1:20" x14ac:dyDescent="0.25">
      <c r="A17" s="126" t="s">
        <v>118</v>
      </c>
      <c r="B17" s="105">
        <v>15.5</v>
      </c>
      <c r="C17" s="105">
        <v>43.1</v>
      </c>
      <c r="D17" s="105">
        <v>41.4</v>
      </c>
      <c r="E17" s="105">
        <v>174</v>
      </c>
      <c r="F17" s="105"/>
      <c r="G17" s="105"/>
      <c r="H17" s="105"/>
      <c r="I17" s="105"/>
      <c r="O17" s="105"/>
      <c r="P17" s="105"/>
      <c r="Q17" s="105"/>
      <c r="R17" s="105"/>
    </row>
    <row r="18" spans="1:20" x14ac:dyDescent="0.25">
      <c r="A18" s="126" t="s">
        <v>119</v>
      </c>
      <c r="B18" s="105">
        <v>17.899999999999999</v>
      </c>
      <c r="C18" s="105">
        <v>25</v>
      </c>
      <c r="D18" s="105">
        <v>57.1</v>
      </c>
      <c r="E18" s="105">
        <v>140</v>
      </c>
      <c r="F18" s="105"/>
      <c r="G18" s="105"/>
      <c r="H18" s="105"/>
      <c r="I18" s="105"/>
      <c r="O18" s="105"/>
      <c r="P18" s="105"/>
      <c r="Q18" s="105"/>
      <c r="R18" s="105"/>
    </row>
    <row r="19" spans="1:20" x14ac:dyDescent="0.25">
      <c r="A19" s="126" t="s">
        <v>120</v>
      </c>
      <c r="B19" s="105">
        <v>20.100000000000001</v>
      </c>
      <c r="C19" s="105">
        <v>22.6</v>
      </c>
      <c r="D19" s="105">
        <v>57.3</v>
      </c>
      <c r="E19" s="105">
        <v>164</v>
      </c>
      <c r="F19" s="105"/>
      <c r="G19" s="105"/>
      <c r="H19" s="105"/>
      <c r="I19" s="105"/>
      <c r="O19" s="105"/>
      <c r="P19" s="105"/>
      <c r="Q19" s="105"/>
      <c r="R19" s="105"/>
    </row>
    <row r="20" spans="1:20" s="105" customFormat="1" x14ac:dyDescent="0.25">
      <c r="A20" s="118"/>
      <c r="B20" s="118"/>
      <c r="C20" s="118"/>
    </row>
    <row r="21" spans="1:20" s="105" customFormat="1" x14ac:dyDescent="0.25">
      <c r="A21" s="119" t="s">
        <v>216</v>
      </c>
      <c r="B21" s="118"/>
      <c r="C21" s="118"/>
    </row>
    <row r="22" spans="1:20" x14ac:dyDescent="0.25">
      <c r="H22" s="105"/>
      <c r="I22" s="105"/>
      <c r="J22" s="105"/>
      <c r="K22" s="105"/>
      <c r="Q22" s="105"/>
      <c r="R22" s="105"/>
      <c r="S22" s="105"/>
      <c r="T22" s="105"/>
    </row>
    <row r="23" spans="1:20" x14ac:dyDescent="0.25">
      <c r="A23" s="105" t="s">
        <v>344</v>
      </c>
      <c r="B23" s="106" t="s">
        <v>146</v>
      </c>
      <c r="C23" s="106" t="s">
        <v>147</v>
      </c>
      <c r="D23" s="106" t="s">
        <v>158</v>
      </c>
      <c r="E23" s="106" t="s">
        <v>145</v>
      </c>
      <c r="H23" s="105"/>
      <c r="I23" s="105"/>
      <c r="J23" s="105"/>
      <c r="K23" s="105"/>
      <c r="Q23" s="105"/>
      <c r="R23" s="105"/>
      <c r="S23" s="105"/>
      <c r="T23" s="105"/>
    </row>
    <row r="24" spans="1:20" x14ac:dyDescent="0.25">
      <c r="A24" s="105" t="s">
        <v>43</v>
      </c>
      <c r="B24" s="105">
        <v>20</v>
      </c>
      <c r="C24" s="105">
        <v>40</v>
      </c>
      <c r="D24" s="105">
        <v>40</v>
      </c>
      <c r="E24" s="105">
        <v>10</v>
      </c>
      <c r="H24" s="105"/>
      <c r="I24" s="105"/>
      <c r="J24" s="105"/>
      <c r="K24" s="105"/>
      <c r="Q24" s="105"/>
      <c r="R24" s="105"/>
      <c r="S24" s="105"/>
      <c r="T24" s="105"/>
    </row>
    <row r="25" spans="1:20" x14ac:dyDescent="0.25">
      <c r="A25" s="105" t="s">
        <v>44</v>
      </c>
      <c r="B25" s="105">
        <v>11.8</v>
      </c>
      <c r="C25" s="105">
        <v>14.7</v>
      </c>
      <c r="D25" s="105">
        <v>73.5</v>
      </c>
      <c r="E25" s="105">
        <v>34</v>
      </c>
      <c r="H25" s="105"/>
      <c r="I25" s="105"/>
      <c r="J25" s="105"/>
      <c r="K25" s="105"/>
      <c r="Q25" s="105"/>
      <c r="R25" s="105"/>
      <c r="S25" s="105"/>
      <c r="T25" s="105"/>
    </row>
    <row r="26" spans="1:20" x14ac:dyDescent="0.25">
      <c r="A26" s="105" t="s">
        <v>45</v>
      </c>
      <c r="B26" s="105">
        <v>5</v>
      </c>
      <c r="C26" s="105">
        <v>20</v>
      </c>
      <c r="D26" s="105">
        <v>75</v>
      </c>
      <c r="E26" s="105">
        <v>20</v>
      </c>
    </row>
    <row r="27" spans="1:20" x14ac:dyDescent="0.25">
      <c r="A27" s="105" t="s">
        <v>2</v>
      </c>
      <c r="B27" s="105">
        <v>42.9</v>
      </c>
      <c r="C27" s="105">
        <v>28.6</v>
      </c>
      <c r="D27" s="105">
        <v>28.6</v>
      </c>
      <c r="E27" s="105">
        <v>7</v>
      </c>
    </row>
    <row r="28" spans="1:20" x14ac:dyDescent="0.25">
      <c r="A28" s="105" t="s">
        <v>3</v>
      </c>
      <c r="B28" s="105">
        <v>16.899999999999999</v>
      </c>
      <c r="C28" s="105">
        <v>45.8</v>
      </c>
      <c r="D28" s="105">
        <v>37.299999999999997</v>
      </c>
      <c r="E28" s="105">
        <v>59</v>
      </c>
    </row>
    <row r="29" spans="1:20" x14ac:dyDescent="0.25">
      <c r="A29" s="105" t="s">
        <v>4</v>
      </c>
      <c r="B29" s="105">
        <v>23.1</v>
      </c>
      <c r="C29" s="105">
        <v>23.1</v>
      </c>
      <c r="D29" s="105">
        <v>53.8</v>
      </c>
      <c r="E29" s="105">
        <v>13</v>
      </c>
    </row>
    <row r="30" spans="1:20" x14ac:dyDescent="0.25">
      <c r="A30" s="105" t="s">
        <v>47</v>
      </c>
      <c r="B30" s="105">
        <v>12.5</v>
      </c>
      <c r="C30" s="105">
        <v>37.5</v>
      </c>
      <c r="D30" s="105">
        <v>50</v>
      </c>
      <c r="E30" s="105">
        <v>16</v>
      </c>
    </row>
    <row r="31" spans="1:20" x14ac:dyDescent="0.25">
      <c r="A31" s="105" t="s">
        <v>5</v>
      </c>
      <c r="B31" s="105">
        <v>18.2</v>
      </c>
      <c r="C31" s="105">
        <v>36.4</v>
      </c>
      <c r="D31" s="105">
        <v>45.5</v>
      </c>
      <c r="E31" s="105">
        <v>22</v>
      </c>
    </row>
    <row r="32" spans="1:20" x14ac:dyDescent="0.25">
      <c r="A32" s="105" t="s">
        <v>49</v>
      </c>
      <c r="B32" s="105">
        <v>30</v>
      </c>
      <c r="C32" s="105">
        <v>0</v>
      </c>
      <c r="D32" s="105">
        <v>70</v>
      </c>
      <c r="E32" s="105">
        <v>10</v>
      </c>
    </row>
    <row r="33" spans="1:5" x14ac:dyDescent="0.25">
      <c r="A33" s="105" t="s">
        <v>50</v>
      </c>
      <c r="B33" s="105">
        <v>13.3</v>
      </c>
      <c r="C33" s="105">
        <v>53.3</v>
      </c>
      <c r="D33" s="105">
        <v>33.299999999999997</v>
      </c>
      <c r="E33" s="105">
        <v>15</v>
      </c>
    </row>
    <row r="34" spans="1:5" x14ac:dyDescent="0.25">
      <c r="A34" s="105" t="s">
        <v>22</v>
      </c>
      <c r="B34" s="105">
        <v>5.3</v>
      </c>
      <c r="C34" s="105">
        <v>63.2</v>
      </c>
      <c r="D34" s="105">
        <v>31.6</v>
      </c>
      <c r="E34" s="105">
        <v>19</v>
      </c>
    </row>
    <row r="35" spans="1:5" x14ac:dyDescent="0.25">
      <c r="A35" s="105" t="s">
        <v>51</v>
      </c>
      <c r="B35" s="105">
        <v>22.2</v>
      </c>
      <c r="C35" s="105">
        <v>44.4</v>
      </c>
      <c r="D35" s="105">
        <v>33.299999999999997</v>
      </c>
      <c r="E35" s="105">
        <v>9</v>
      </c>
    </row>
    <row r="36" spans="1:5" x14ac:dyDescent="0.25">
      <c r="A36" s="105" t="s">
        <v>71</v>
      </c>
      <c r="B36" s="105">
        <v>27.3</v>
      </c>
      <c r="C36" s="105">
        <v>27.3</v>
      </c>
      <c r="D36" s="105">
        <v>45.5</v>
      </c>
      <c r="E36" s="105">
        <v>22</v>
      </c>
    </row>
    <row r="37" spans="1:5" x14ac:dyDescent="0.25">
      <c r="A37" s="105" t="s">
        <v>6</v>
      </c>
      <c r="B37" s="105">
        <v>26.3</v>
      </c>
      <c r="C37" s="105">
        <v>21.1</v>
      </c>
      <c r="D37" s="105">
        <v>52.6</v>
      </c>
      <c r="E37" s="105">
        <v>19</v>
      </c>
    </row>
    <row r="38" spans="1:5" x14ac:dyDescent="0.25">
      <c r="A38" s="105" t="s">
        <v>72</v>
      </c>
      <c r="B38" s="105">
        <v>3.2</v>
      </c>
      <c r="C38" s="105">
        <v>41.9</v>
      </c>
      <c r="D38" s="105">
        <v>54.8</v>
      </c>
      <c r="E38" s="105">
        <v>31</v>
      </c>
    </row>
    <row r="39" spans="1:5" x14ac:dyDescent="0.25">
      <c r="A39" s="105" t="s">
        <v>7</v>
      </c>
      <c r="B39" s="105">
        <v>4.5</v>
      </c>
      <c r="C39" s="105">
        <v>45.5</v>
      </c>
      <c r="D39" s="105">
        <v>50</v>
      </c>
      <c r="E39" s="105">
        <v>22</v>
      </c>
    </row>
    <row r="40" spans="1:5" x14ac:dyDescent="0.25">
      <c r="A40" s="105" t="s">
        <v>8</v>
      </c>
      <c r="B40" s="105">
        <v>33.299999999999997</v>
      </c>
      <c r="C40" s="105">
        <v>23.8</v>
      </c>
      <c r="D40" s="105">
        <v>42.9</v>
      </c>
      <c r="E40" s="105">
        <v>21</v>
      </c>
    </row>
    <row r="41" spans="1:5" x14ac:dyDescent="0.25">
      <c r="A41" s="105" t="s">
        <v>9</v>
      </c>
      <c r="B41" s="105">
        <v>3.3</v>
      </c>
      <c r="C41" s="105">
        <v>56.7</v>
      </c>
      <c r="D41" s="105">
        <v>40</v>
      </c>
      <c r="E41" s="105">
        <v>30</v>
      </c>
    </row>
    <row r="42" spans="1:5" x14ac:dyDescent="0.25">
      <c r="A42" s="103" t="s">
        <v>55</v>
      </c>
      <c r="B42" s="103">
        <v>19</v>
      </c>
      <c r="C42" s="103">
        <v>19</v>
      </c>
      <c r="D42" s="103">
        <v>61.9</v>
      </c>
      <c r="E42" s="103">
        <v>21</v>
      </c>
    </row>
    <row r="43" spans="1:5" x14ac:dyDescent="0.25">
      <c r="A43" s="103" t="s">
        <v>73</v>
      </c>
      <c r="B43" s="103">
        <v>14.3</v>
      </c>
      <c r="C43" s="103">
        <v>35.700000000000003</v>
      </c>
      <c r="D43" s="103">
        <v>50</v>
      </c>
      <c r="E43" s="103">
        <v>28</v>
      </c>
    </row>
    <row r="44" spans="1:5" x14ac:dyDescent="0.25">
      <c r="A44" s="103" t="s">
        <v>10</v>
      </c>
      <c r="B44" s="103">
        <v>0</v>
      </c>
      <c r="C44" s="103">
        <v>63.6</v>
      </c>
      <c r="D44" s="103">
        <v>36.4</v>
      </c>
      <c r="E44" s="103">
        <v>11</v>
      </c>
    </row>
    <row r="45" spans="1:5" x14ac:dyDescent="0.25">
      <c r="A45" s="103" t="s">
        <v>57</v>
      </c>
      <c r="B45" s="103">
        <v>11.1</v>
      </c>
      <c r="C45" s="103">
        <v>66.7</v>
      </c>
      <c r="D45" s="103">
        <v>22.2</v>
      </c>
      <c r="E45" s="103">
        <v>9</v>
      </c>
    </row>
    <row r="46" spans="1:5" x14ac:dyDescent="0.25">
      <c r="A46" s="103" t="s">
        <v>11</v>
      </c>
      <c r="B46" s="103">
        <v>31</v>
      </c>
      <c r="C46" s="103">
        <v>13.8</v>
      </c>
      <c r="D46" s="103">
        <v>55.2</v>
      </c>
      <c r="E46" s="103">
        <v>29</v>
      </c>
    </row>
    <row r="47" spans="1:5" x14ac:dyDescent="0.25">
      <c r="A47" s="103" t="s">
        <v>59</v>
      </c>
      <c r="B47" s="103">
        <v>0</v>
      </c>
      <c r="C47" s="103">
        <v>25</v>
      </c>
      <c r="D47" s="103">
        <v>75</v>
      </c>
      <c r="E47" s="103">
        <v>8</v>
      </c>
    </row>
    <row r="48" spans="1:5" x14ac:dyDescent="0.25">
      <c r="A48" s="103" t="s">
        <v>60</v>
      </c>
      <c r="B48" s="103">
        <v>0</v>
      </c>
      <c r="C48" s="103">
        <v>27.3</v>
      </c>
      <c r="D48" s="103">
        <v>72.7</v>
      </c>
      <c r="E48" s="103">
        <v>11</v>
      </c>
    </row>
    <row r="49" spans="1:5" x14ac:dyDescent="0.25">
      <c r="A49" s="103" t="s">
        <v>61</v>
      </c>
      <c r="B49" s="103">
        <v>15.4</v>
      </c>
      <c r="C49" s="103">
        <v>30.8</v>
      </c>
      <c r="D49" s="103">
        <v>53.8</v>
      </c>
      <c r="E49" s="103">
        <v>13</v>
      </c>
    </row>
    <row r="50" spans="1:5" x14ac:dyDescent="0.25">
      <c r="A50" s="103" t="s">
        <v>12</v>
      </c>
      <c r="B50" s="103">
        <v>14.3</v>
      </c>
      <c r="C50" s="103">
        <v>71.400000000000006</v>
      </c>
      <c r="D50" s="103">
        <v>14.3</v>
      </c>
      <c r="E50" s="103">
        <v>7</v>
      </c>
    </row>
    <row r="51" spans="1:5" x14ac:dyDescent="0.25">
      <c r="A51" s="103" t="s">
        <v>23</v>
      </c>
      <c r="B51" s="103">
        <v>14.8</v>
      </c>
      <c r="C51" s="103">
        <v>48.1</v>
      </c>
      <c r="D51" s="103">
        <v>37</v>
      </c>
      <c r="E51" s="103">
        <v>27</v>
      </c>
    </row>
    <row r="52" spans="1:5" x14ac:dyDescent="0.25">
      <c r="A52" s="103" t="s">
        <v>63</v>
      </c>
      <c r="B52" s="103">
        <v>8.3000000000000007</v>
      </c>
      <c r="C52" s="103">
        <v>25</v>
      </c>
      <c r="D52" s="103">
        <v>66.7</v>
      </c>
      <c r="E52" s="103">
        <v>12</v>
      </c>
    </row>
    <row r="53" spans="1:5" x14ac:dyDescent="0.25">
      <c r="A53" s="103" t="s">
        <v>64</v>
      </c>
      <c r="B53" s="103">
        <v>0</v>
      </c>
      <c r="C53" s="103">
        <v>46.7</v>
      </c>
      <c r="D53" s="103">
        <v>53.3</v>
      </c>
      <c r="E53" s="103">
        <v>15</v>
      </c>
    </row>
    <row r="54" spans="1:5" x14ac:dyDescent="0.25">
      <c r="A54" s="103" t="s">
        <v>13</v>
      </c>
      <c r="B54" s="103">
        <v>4.2</v>
      </c>
      <c r="C54" s="103">
        <v>37.5</v>
      </c>
      <c r="D54" s="103">
        <v>58.3</v>
      </c>
      <c r="E54" s="103">
        <v>24</v>
      </c>
    </row>
    <row r="55" spans="1:5" x14ac:dyDescent="0.25">
      <c r="A55" s="103" t="s">
        <v>14</v>
      </c>
      <c r="B55" s="103">
        <v>9.1</v>
      </c>
      <c r="C55" s="103">
        <v>63.6</v>
      </c>
      <c r="D55" s="103">
        <v>27.3</v>
      </c>
      <c r="E55" s="103">
        <v>22</v>
      </c>
    </row>
    <row r="56" spans="1:5" x14ac:dyDescent="0.25">
      <c r="A56" s="103" t="s">
        <v>66</v>
      </c>
      <c r="B56" s="103">
        <v>0</v>
      </c>
      <c r="C56" s="103">
        <v>80</v>
      </c>
      <c r="D56" s="103">
        <v>20</v>
      </c>
      <c r="E56" s="103">
        <v>10</v>
      </c>
    </row>
    <row r="57" spans="1:5" x14ac:dyDescent="0.25">
      <c r="A57" s="103" t="s">
        <v>67</v>
      </c>
      <c r="B57" s="103">
        <v>28.6</v>
      </c>
      <c r="C57" s="103">
        <v>14.3</v>
      </c>
      <c r="D57" s="103">
        <v>57.1</v>
      </c>
      <c r="E57" s="103">
        <v>14</v>
      </c>
    </row>
    <row r="58" spans="1:5" x14ac:dyDescent="0.25">
      <c r="A58" s="103" t="s">
        <v>68</v>
      </c>
      <c r="B58" s="103">
        <v>20.8</v>
      </c>
      <c r="C58" s="103">
        <v>37.5</v>
      </c>
      <c r="D58" s="103">
        <v>41.7</v>
      </c>
      <c r="E58" s="103">
        <v>25</v>
      </c>
    </row>
    <row r="59" spans="1:5" x14ac:dyDescent="0.25">
      <c r="A59" s="103" t="s">
        <v>15</v>
      </c>
      <c r="B59" s="103">
        <v>26.7</v>
      </c>
      <c r="C59" s="103">
        <v>20</v>
      </c>
      <c r="D59" s="103">
        <v>53.3</v>
      </c>
      <c r="E59" s="103">
        <v>15</v>
      </c>
    </row>
    <row r="60" spans="1:5" x14ac:dyDescent="0.25">
      <c r="A60" s="103" t="s">
        <v>16</v>
      </c>
      <c r="B60" s="103">
        <v>14.3</v>
      </c>
      <c r="C60" s="103">
        <v>11.4</v>
      </c>
      <c r="D60" s="103">
        <v>74.3</v>
      </c>
      <c r="E60" s="103">
        <v>35</v>
      </c>
    </row>
    <row r="61" spans="1:5" x14ac:dyDescent="0.25">
      <c r="A61" s="103" t="s">
        <v>70</v>
      </c>
      <c r="B61" s="103">
        <v>16</v>
      </c>
      <c r="C61" s="103">
        <v>30</v>
      </c>
      <c r="D61" s="103">
        <v>54</v>
      </c>
      <c r="E61" s="103">
        <v>50</v>
      </c>
    </row>
    <row r="62" spans="1:5" x14ac:dyDescent="0.25">
      <c r="A62" s="103" t="s">
        <v>17</v>
      </c>
      <c r="B62" s="103">
        <v>0</v>
      </c>
      <c r="C62" s="103">
        <v>50</v>
      </c>
      <c r="D62" s="103">
        <v>50</v>
      </c>
      <c r="E62" s="103">
        <v>4</v>
      </c>
    </row>
    <row r="63" spans="1:5" x14ac:dyDescent="0.25">
      <c r="A63" s="103" t="s">
        <v>24</v>
      </c>
      <c r="B63" s="103">
        <v>12.5</v>
      </c>
      <c r="C63" s="103">
        <v>43.8</v>
      </c>
      <c r="D63" s="103">
        <v>43.8</v>
      </c>
      <c r="E63" s="103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12" workbookViewId="0">
      <selection activeCell="A27" sqref="A27:N27"/>
    </sheetView>
  </sheetViews>
  <sheetFormatPr defaultColWidth="8.78515625" defaultRowHeight="13.5" x14ac:dyDescent="0.25"/>
  <cols>
    <col min="1" max="1" width="12.78515625" style="103" customWidth="1"/>
    <col min="2" max="16384" width="8.78515625" style="103"/>
  </cols>
  <sheetData>
    <row r="1" spans="1:24" x14ac:dyDescent="0.25">
      <c r="A1" s="193" t="s">
        <v>159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4" x14ac:dyDescent="0.25">
      <c r="A2" s="194" t="s">
        <v>160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4" x14ac:dyDescent="0.25">
      <c r="A3" s="194" t="s">
        <v>161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4" x14ac:dyDescent="0.25">
      <c r="A4" s="194" t="s">
        <v>162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</row>
    <row r="6" spans="1:24" x14ac:dyDescent="0.25">
      <c r="A6" s="156"/>
      <c r="B6" s="192" t="s">
        <v>163</v>
      </c>
      <c r="C6" s="192"/>
      <c r="D6" s="192"/>
      <c r="E6" s="192"/>
      <c r="F6" s="192"/>
      <c r="G6" s="192"/>
      <c r="H6" s="192"/>
      <c r="I6" s="156"/>
      <c r="J6" s="156"/>
      <c r="K6" s="156"/>
      <c r="L6" s="156"/>
      <c r="M6" s="156"/>
      <c r="N6" s="156"/>
    </row>
    <row r="7" spans="1:24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</row>
    <row r="8" spans="1:24" x14ac:dyDescent="0.25">
      <c r="A8" s="156"/>
      <c r="B8" s="156"/>
      <c r="C8" s="156"/>
      <c r="D8" s="156"/>
      <c r="E8" s="156"/>
      <c r="F8" s="156"/>
      <c r="G8" s="156" t="s">
        <v>165</v>
      </c>
      <c r="H8" s="156" t="s">
        <v>145</v>
      </c>
      <c r="J8" s="156"/>
      <c r="K8" s="156"/>
      <c r="L8" s="156"/>
      <c r="M8" s="156"/>
      <c r="N8" s="156"/>
    </row>
    <row r="9" spans="1:24" x14ac:dyDescent="0.25">
      <c r="A9" s="119" t="s">
        <v>166</v>
      </c>
      <c r="B9" s="156" t="s">
        <v>174</v>
      </c>
      <c r="C9" s="156"/>
      <c r="D9" s="156"/>
      <c r="E9" s="156"/>
      <c r="F9" s="156"/>
      <c r="G9" s="156">
        <v>36.1</v>
      </c>
      <c r="H9" s="156">
        <v>778</v>
      </c>
      <c r="J9" s="156"/>
      <c r="K9" s="156"/>
      <c r="L9" s="156"/>
      <c r="M9" s="156"/>
      <c r="N9" s="156"/>
    </row>
    <row r="10" spans="1:24" x14ac:dyDescent="0.25">
      <c r="A10" s="119" t="s">
        <v>167</v>
      </c>
      <c r="B10" s="156" t="s">
        <v>175</v>
      </c>
      <c r="C10" s="156"/>
      <c r="D10" s="156"/>
      <c r="E10" s="156"/>
      <c r="F10" s="156"/>
      <c r="G10" s="156">
        <v>57.5</v>
      </c>
      <c r="H10" s="156">
        <v>778</v>
      </c>
      <c r="J10" s="156"/>
      <c r="K10" s="156"/>
      <c r="L10" s="156"/>
      <c r="M10" s="156"/>
      <c r="N10" s="156"/>
    </row>
    <row r="11" spans="1:24" x14ac:dyDescent="0.25">
      <c r="A11" s="119" t="s">
        <v>168</v>
      </c>
      <c r="B11" s="156" t="s">
        <v>176</v>
      </c>
      <c r="C11" s="156"/>
      <c r="D11" s="156"/>
      <c r="E11" s="156"/>
      <c r="F11" s="156"/>
      <c r="G11" s="156">
        <v>45.8</v>
      </c>
      <c r="H11" s="156">
        <v>775</v>
      </c>
      <c r="J11" s="156"/>
      <c r="K11" s="156"/>
      <c r="L11" s="156"/>
      <c r="M11" s="156"/>
      <c r="N11" s="156"/>
    </row>
    <row r="12" spans="1:24" x14ac:dyDescent="0.25">
      <c r="A12" s="119" t="s">
        <v>169</v>
      </c>
      <c r="B12" s="157" t="s">
        <v>177</v>
      </c>
      <c r="C12" s="157"/>
      <c r="D12" s="157"/>
      <c r="E12" s="157"/>
      <c r="F12" s="157"/>
      <c r="G12" s="157">
        <v>74.5</v>
      </c>
      <c r="H12" s="156">
        <v>776</v>
      </c>
      <c r="J12" s="156"/>
      <c r="K12" s="156"/>
      <c r="L12" s="156"/>
      <c r="M12" s="156"/>
      <c r="N12" s="156"/>
    </row>
    <row r="13" spans="1:24" x14ac:dyDescent="0.25">
      <c r="A13" s="119" t="s">
        <v>170</v>
      </c>
      <c r="B13" s="157" t="s">
        <v>178</v>
      </c>
      <c r="C13" s="157"/>
      <c r="D13" s="157"/>
      <c r="E13" s="157"/>
      <c r="F13" s="157"/>
      <c r="G13" s="157">
        <v>7.6</v>
      </c>
      <c r="H13" s="156">
        <v>776</v>
      </c>
      <c r="J13" s="156"/>
      <c r="K13" s="156"/>
      <c r="L13" s="156"/>
      <c r="M13" s="156"/>
      <c r="N13" s="156"/>
    </row>
    <row r="14" spans="1:24" x14ac:dyDescent="0.25">
      <c r="A14" s="119" t="s">
        <v>171</v>
      </c>
      <c r="B14" s="157" t="s">
        <v>179</v>
      </c>
      <c r="C14" s="157"/>
      <c r="D14" s="157"/>
      <c r="E14" s="157"/>
      <c r="F14" s="157"/>
      <c r="G14" s="157">
        <v>25.2</v>
      </c>
      <c r="H14" s="156">
        <v>775</v>
      </c>
      <c r="J14" s="156"/>
      <c r="K14" s="156"/>
      <c r="L14" s="156"/>
      <c r="M14" s="156"/>
      <c r="N14" s="156"/>
    </row>
    <row r="15" spans="1:24" x14ac:dyDescent="0.25">
      <c r="A15" s="119" t="s">
        <v>172</v>
      </c>
      <c r="B15" s="157" t="s">
        <v>180</v>
      </c>
      <c r="C15" s="157"/>
      <c r="D15" s="157"/>
      <c r="E15" s="157"/>
      <c r="F15" s="157"/>
      <c r="G15" s="157">
        <v>40.1</v>
      </c>
      <c r="H15" s="156">
        <v>776</v>
      </c>
      <c r="J15" s="156"/>
      <c r="K15" s="156"/>
      <c r="L15" s="156"/>
      <c r="M15" s="156"/>
      <c r="N15" s="156"/>
    </row>
    <row r="16" spans="1:24" x14ac:dyDescent="0.25">
      <c r="A16" s="119" t="s">
        <v>173</v>
      </c>
      <c r="B16" s="157" t="s">
        <v>181</v>
      </c>
      <c r="C16" s="157"/>
      <c r="D16" s="157"/>
      <c r="E16" s="157"/>
      <c r="F16" s="157"/>
      <c r="G16" s="157">
        <v>21.2</v>
      </c>
      <c r="H16" s="156">
        <v>777</v>
      </c>
      <c r="J16" s="156"/>
      <c r="K16" s="156"/>
      <c r="L16" s="156"/>
      <c r="M16" s="156"/>
      <c r="N16" s="156"/>
    </row>
    <row r="17" spans="1:14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</row>
    <row r="18" spans="1:14" x14ac:dyDescent="0.25">
      <c r="A18" s="192" t="s">
        <v>182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56"/>
      <c r="L18" s="156"/>
      <c r="M18" s="156"/>
      <c r="N18" s="156"/>
    </row>
    <row r="19" spans="1:14" x14ac:dyDescent="0.25">
      <c r="A19" s="119" t="s">
        <v>183</v>
      </c>
      <c r="B19" s="119" t="s">
        <v>166</v>
      </c>
      <c r="C19" s="119" t="s">
        <v>167</v>
      </c>
      <c r="D19" s="119" t="s">
        <v>168</v>
      </c>
      <c r="E19" s="119" t="s">
        <v>169</v>
      </c>
      <c r="F19" s="119" t="s">
        <v>170</v>
      </c>
      <c r="G19" s="119" t="s">
        <v>171</v>
      </c>
      <c r="H19" s="119" t="s">
        <v>172</v>
      </c>
      <c r="I19" s="119" t="s">
        <v>173</v>
      </c>
      <c r="J19" s="119" t="s">
        <v>145</v>
      </c>
      <c r="K19" s="156"/>
      <c r="L19" s="156"/>
      <c r="M19" s="156"/>
      <c r="N19" s="156"/>
    </row>
    <row r="20" spans="1:14" x14ac:dyDescent="0.25">
      <c r="A20" s="156" t="s">
        <v>115</v>
      </c>
      <c r="B20" s="156">
        <v>34.1</v>
      </c>
      <c r="C20" s="156">
        <v>68.3</v>
      </c>
      <c r="D20" s="156">
        <v>45.7</v>
      </c>
      <c r="E20" s="156"/>
      <c r="F20" s="156">
        <v>6.1</v>
      </c>
      <c r="G20" s="156">
        <v>21.3</v>
      </c>
      <c r="H20" s="156">
        <v>31.7</v>
      </c>
      <c r="I20" s="156">
        <v>18.5</v>
      </c>
      <c r="J20" s="156">
        <v>82</v>
      </c>
      <c r="K20" s="156"/>
      <c r="L20" s="156"/>
      <c r="M20" s="156"/>
      <c r="N20" s="156"/>
    </row>
    <row r="21" spans="1:14" x14ac:dyDescent="0.25">
      <c r="A21" s="156" t="s">
        <v>116</v>
      </c>
      <c r="B21" s="156">
        <v>20.5</v>
      </c>
      <c r="C21" s="156">
        <v>71.900000000000006</v>
      </c>
      <c r="D21" s="156">
        <v>63.2</v>
      </c>
      <c r="E21" s="156">
        <v>77.3</v>
      </c>
      <c r="F21" s="156">
        <v>8</v>
      </c>
      <c r="G21" s="156">
        <v>21.6</v>
      </c>
      <c r="H21" s="156">
        <v>37.5</v>
      </c>
      <c r="I21" s="156">
        <v>12.5</v>
      </c>
      <c r="J21" s="156">
        <v>89</v>
      </c>
      <c r="K21" s="156"/>
      <c r="L21" s="156"/>
      <c r="M21" s="156"/>
      <c r="N21" s="156"/>
    </row>
    <row r="22" spans="1:14" x14ac:dyDescent="0.25">
      <c r="A22" s="156" t="s">
        <v>117</v>
      </c>
      <c r="B22" s="156">
        <v>23</v>
      </c>
      <c r="C22" s="156">
        <v>49.6</v>
      </c>
      <c r="D22" s="156">
        <v>43.6</v>
      </c>
      <c r="E22" s="156">
        <v>79.900000000000006</v>
      </c>
      <c r="F22" s="156">
        <v>6</v>
      </c>
      <c r="G22" s="156">
        <v>26.1</v>
      </c>
      <c r="H22" s="156">
        <v>40.299999999999997</v>
      </c>
      <c r="I22" s="156">
        <v>13.4</v>
      </c>
      <c r="J22" s="156">
        <v>135</v>
      </c>
      <c r="K22" s="156"/>
      <c r="L22" s="156"/>
      <c r="M22" s="156"/>
      <c r="N22" s="156"/>
    </row>
    <row r="23" spans="1:14" x14ac:dyDescent="0.25">
      <c r="A23" s="156" t="s">
        <v>118</v>
      </c>
      <c r="B23" s="156">
        <v>55.2</v>
      </c>
      <c r="C23" s="156">
        <v>57.8</v>
      </c>
      <c r="D23" s="156">
        <v>35.299999999999997</v>
      </c>
      <c r="E23" s="156">
        <v>72.400000000000006</v>
      </c>
      <c r="F23" s="156">
        <v>13.8</v>
      </c>
      <c r="G23" s="156">
        <v>27</v>
      </c>
      <c r="H23" s="156">
        <v>31</v>
      </c>
      <c r="I23" s="156">
        <v>26.6</v>
      </c>
      <c r="J23" s="156">
        <v>175</v>
      </c>
      <c r="K23" s="156"/>
      <c r="L23" s="156"/>
      <c r="M23" s="156"/>
      <c r="N23" s="156"/>
    </row>
    <row r="24" spans="1:14" x14ac:dyDescent="0.25">
      <c r="A24" s="156" t="s">
        <v>119</v>
      </c>
      <c r="B24" s="156">
        <v>51.1</v>
      </c>
      <c r="C24" s="156">
        <v>53.2</v>
      </c>
      <c r="D24" s="156">
        <v>55</v>
      </c>
      <c r="E24" s="156">
        <v>74.099999999999994</v>
      </c>
      <c r="F24" s="156">
        <v>7.2</v>
      </c>
      <c r="G24" s="156">
        <v>27.9</v>
      </c>
      <c r="H24" s="156">
        <v>48.6</v>
      </c>
      <c r="I24" s="156">
        <v>33.6</v>
      </c>
      <c r="J24" s="156">
        <v>140</v>
      </c>
      <c r="K24" s="156"/>
      <c r="L24" s="156"/>
      <c r="M24" s="156"/>
      <c r="N24" s="156"/>
    </row>
    <row r="25" spans="1:14" x14ac:dyDescent="0.25">
      <c r="A25" s="156" t="s">
        <v>120</v>
      </c>
      <c r="B25" s="156">
        <v>23.1</v>
      </c>
      <c r="C25" s="156">
        <v>53.8</v>
      </c>
      <c r="D25" s="156">
        <v>41.6</v>
      </c>
      <c r="E25" s="156">
        <v>70.400000000000006</v>
      </c>
      <c r="F25" s="156">
        <v>3.1</v>
      </c>
      <c r="G25" s="156">
        <v>23.9</v>
      </c>
      <c r="H25" s="156">
        <v>48.1</v>
      </c>
      <c r="I25" s="156">
        <v>17.399999999999999</v>
      </c>
      <c r="J25" s="156">
        <v>164</v>
      </c>
      <c r="K25" s="156"/>
      <c r="L25" s="156"/>
      <c r="M25" s="156"/>
      <c r="N25" s="156"/>
    </row>
    <row r="26" spans="1:14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</row>
    <row r="27" spans="1:14" x14ac:dyDescent="0.25">
      <c r="A27" s="192" t="s">
        <v>164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</row>
    <row r="28" spans="1:14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</row>
    <row r="29" spans="1:14" x14ac:dyDescent="0.25">
      <c r="A29" s="156" t="s">
        <v>344</v>
      </c>
      <c r="B29" s="119" t="s">
        <v>166</v>
      </c>
      <c r="C29" s="119" t="s">
        <v>167</v>
      </c>
      <c r="D29" s="119" t="s">
        <v>168</v>
      </c>
      <c r="E29" s="119" t="s">
        <v>169</v>
      </c>
      <c r="F29" s="119" t="s">
        <v>170</v>
      </c>
      <c r="G29" s="119" t="s">
        <v>171</v>
      </c>
      <c r="H29" s="119" t="s">
        <v>172</v>
      </c>
      <c r="I29" s="119" t="s">
        <v>173</v>
      </c>
      <c r="J29" s="119" t="s">
        <v>145</v>
      </c>
      <c r="K29" s="156"/>
      <c r="L29" s="156"/>
      <c r="M29" s="156"/>
      <c r="N29" s="156"/>
    </row>
    <row r="30" spans="1:14" x14ac:dyDescent="0.25">
      <c r="A30" s="156" t="s">
        <v>43</v>
      </c>
      <c r="B30" s="156">
        <v>80</v>
      </c>
      <c r="C30" s="156">
        <v>60</v>
      </c>
      <c r="D30" s="156">
        <v>66.7</v>
      </c>
      <c r="E30" s="156">
        <v>50</v>
      </c>
      <c r="F30" s="156">
        <v>0</v>
      </c>
      <c r="G30" s="156">
        <v>22.2</v>
      </c>
      <c r="H30" s="156">
        <v>70</v>
      </c>
      <c r="I30" s="156">
        <v>55.6</v>
      </c>
      <c r="J30" s="156">
        <v>10</v>
      </c>
      <c r="K30" s="156"/>
      <c r="L30" s="156"/>
      <c r="M30" s="156"/>
      <c r="N30" s="156"/>
    </row>
    <row r="31" spans="1:14" x14ac:dyDescent="0.25">
      <c r="A31" s="156" t="s">
        <v>44</v>
      </c>
      <c r="B31" s="156">
        <v>5.9</v>
      </c>
      <c r="C31" s="156">
        <v>52.9</v>
      </c>
      <c r="D31" s="156">
        <v>44.1</v>
      </c>
      <c r="E31" s="156">
        <v>60.6</v>
      </c>
      <c r="F31" s="156">
        <v>0</v>
      </c>
      <c r="G31" s="156">
        <v>17.600000000000001</v>
      </c>
      <c r="H31" s="156">
        <v>47.1</v>
      </c>
      <c r="I31" s="156">
        <v>8.8000000000000007</v>
      </c>
      <c r="J31" s="156">
        <v>34</v>
      </c>
      <c r="K31" s="156"/>
      <c r="L31" s="156"/>
      <c r="M31" s="156"/>
      <c r="N31" s="156"/>
    </row>
    <row r="32" spans="1:14" x14ac:dyDescent="0.25">
      <c r="A32" s="156" t="s">
        <v>45</v>
      </c>
      <c r="B32" s="156">
        <v>15</v>
      </c>
      <c r="C32" s="156">
        <v>80</v>
      </c>
      <c r="D32" s="156">
        <v>40</v>
      </c>
      <c r="E32" s="156">
        <v>75</v>
      </c>
      <c r="F32" s="156">
        <v>10</v>
      </c>
      <c r="G32" s="156">
        <v>15</v>
      </c>
      <c r="H32" s="156">
        <v>10</v>
      </c>
      <c r="I32" s="156">
        <v>5</v>
      </c>
      <c r="J32" s="156">
        <v>20</v>
      </c>
      <c r="K32" s="156"/>
      <c r="L32" s="156"/>
      <c r="M32" s="156"/>
      <c r="N32" s="156"/>
    </row>
    <row r="33" spans="1:14" x14ac:dyDescent="0.25">
      <c r="A33" s="156" t="s">
        <v>2</v>
      </c>
      <c r="B33" s="156">
        <v>14.3</v>
      </c>
      <c r="C33" s="156">
        <v>57.1</v>
      </c>
      <c r="D33" s="156">
        <v>71.400000000000006</v>
      </c>
      <c r="E33" s="156">
        <v>85.7</v>
      </c>
      <c r="F33" s="156">
        <v>0</v>
      </c>
      <c r="G33" s="156">
        <v>0</v>
      </c>
      <c r="H33" s="156">
        <v>42.9</v>
      </c>
      <c r="I33" s="156">
        <v>0</v>
      </c>
      <c r="J33" s="156">
        <v>7</v>
      </c>
      <c r="K33" s="156"/>
      <c r="L33" s="156"/>
      <c r="M33" s="156"/>
      <c r="N33" s="156"/>
    </row>
    <row r="34" spans="1:14" x14ac:dyDescent="0.25">
      <c r="A34" s="156" t="s">
        <v>3</v>
      </c>
      <c r="B34" s="156">
        <v>49.2</v>
      </c>
      <c r="C34" s="156">
        <v>53.4</v>
      </c>
      <c r="D34" s="156">
        <v>27.6</v>
      </c>
      <c r="E34" s="156">
        <v>72.900000000000006</v>
      </c>
      <c r="F34" s="156">
        <v>18.600000000000001</v>
      </c>
      <c r="G34" s="156">
        <v>30.5</v>
      </c>
      <c r="H34" s="156">
        <v>22</v>
      </c>
      <c r="I34" s="156">
        <v>22.4</v>
      </c>
      <c r="J34" s="156">
        <v>59</v>
      </c>
      <c r="K34" s="156"/>
      <c r="L34" s="156"/>
      <c r="M34" s="156"/>
      <c r="N34" s="156"/>
    </row>
    <row r="35" spans="1:14" x14ac:dyDescent="0.25">
      <c r="A35" s="156" t="s">
        <v>4</v>
      </c>
      <c r="B35" s="156">
        <v>46.2</v>
      </c>
      <c r="C35" s="156">
        <v>38.5</v>
      </c>
      <c r="D35" s="156">
        <v>76.900000000000006</v>
      </c>
      <c r="E35" s="156">
        <v>66.7</v>
      </c>
      <c r="F35" s="156">
        <v>0</v>
      </c>
      <c r="G35" s="156">
        <v>23.1</v>
      </c>
      <c r="H35" s="156">
        <v>61.5</v>
      </c>
      <c r="I35" s="156">
        <v>46.2</v>
      </c>
      <c r="J35" s="156">
        <v>13</v>
      </c>
      <c r="K35" s="156"/>
      <c r="L35" s="156"/>
      <c r="M35" s="156"/>
      <c r="N35" s="156"/>
    </row>
    <row r="36" spans="1:14" x14ac:dyDescent="0.25">
      <c r="A36" s="156" t="s">
        <v>47</v>
      </c>
      <c r="B36" s="156">
        <v>20</v>
      </c>
      <c r="C36" s="156">
        <v>56.3</v>
      </c>
      <c r="D36" s="156">
        <v>53.3</v>
      </c>
      <c r="E36" s="156">
        <v>80</v>
      </c>
      <c r="F36" s="156">
        <v>13.3</v>
      </c>
      <c r="G36" s="156">
        <v>46.7</v>
      </c>
      <c r="H36" s="156">
        <v>33.299999999999997</v>
      </c>
      <c r="I36" s="156">
        <v>6.7</v>
      </c>
      <c r="J36" s="156">
        <v>16</v>
      </c>
      <c r="K36" s="156"/>
      <c r="L36" s="156"/>
      <c r="M36" s="156"/>
      <c r="N36" s="156"/>
    </row>
    <row r="37" spans="1:14" x14ac:dyDescent="0.25">
      <c r="A37" s="156" t="s">
        <v>5</v>
      </c>
      <c r="B37" s="156">
        <v>22.7</v>
      </c>
      <c r="C37" s="156">
        <v>59.1</v>
      </c>
      <c r="D37" s="156">
        <v>50</v>
      </c>
      <c r="E37" s="156">
        <v>86.4</v>
      </c>
      <c r="F37" s="156">
        <v>4.5</v>
      </c>
      <c r="G37" s="156">
        <v>33.299999999999997</v>
      </c>
      <c r="H37" s="156">
        <v>61.9</v>
      </c>
      <c r="I37" s="156">
        <v>9.1</v>
      </c>
      <c r="J37" s="156">
        <v>22</v>
      </c>
      <c r="K37" s="156"/>
      <c r="L37" s="156"/>
      <c r="M37" s="156"/>
      <c r="N37" s="156"/>
    </row>
    <row r="38" spans="1:14" x14ac:dyDescent="0.25">
      <c r="A38" s="156" t="s">
        <v>49</v>
      </c>
      <c r="B38" s="156">
        <v>20</v>
      </c>
      <c r="C38" s="156">
        <v>30</v>
      </c>
      <c r="D38" s="156">
        <v>40</v>
      </c>
      <c r="E38" s="156">
        <v>90</v>
      </c>
      <c r="F38" s="156">
        <v>10</v>
      </c>
      <c r="G38" s="156">
        <v>60</v>
      </c>
      <c r="H38" s="156">
        <v>60</v>
      </c>
      <c r="I38" s="156">
        <v>10</v>
      </c>
      <c r="J38" s="156">
        <v>10</v>
      </c>
      <c r="K38" s="156"/>
      <c r="L38" s="156"/>
      <c r="M38" s="156"/>
      <c r="N38" s="156"/>
    </row>
    <row r="39" spans="1:14" x14ac:dyDescent="0.25">
      <c r="A39" s="156" t="s">
        <v>50</v>
      </c>
      <c r="B39" s="156">
        <v>6.7</v>
      </c>
      <c r="C39" s="156">
        <v>73.3</v>
      </c>
      <c r="D39" s="156">
        <v>13.3</v>
      </c>
      <c r="E39" s="156">
        <v>73.3</v>
      </c>
      <c r="F39" s="156">
        <v>0</v>
      </c>
      <c r="G39" s="156">
        <v>6.7</v>
      </c>
      <c r="H39" s="156">
        <v>6.7</v>
      </c>
      <c r="I39" s="156">
        <v>13.3</v>
      </c>
      <c r="J39" s="156">
        <v>15</v>
      </c>
      <c r="K39" s="156"/>
      <c r="L39" s="156"/>
      <c r="M39" s="156"/>
      <c r="N39" s="156"/>
    </row>
    <row r="40" spans="1:14" x14ac:dyDescent="0.25">
      <c r="A40" s="156" t="s">
        <v>22</v>
      </c>
      <c r="B40" s="156">
        <v>10.5</v>
      </c>
      <c r="C40" s="156">
        <v>84.2</v>
      </c>
      <c r="D40" s="156">
        <v>88.9</v>
      </c>
      <c r="E40" s="156">
        <v>84.2</v>
      </c>
      <c r="F40" s="156">
        <v>0</v>
      </c>
      <c r="G40" s="156">
        <v>26.3</v>
      </c>
      <c r="H40" s="156">
        <v>57.9</v>
      </c>
      <c r="I40" s="156">
        <v>5.3</v>
      </c>
      <c r="J40" s="156">
        <v>19</v>
      </c>
      <c r="K40" s="156"/>
      <c r="L40" s="156"/>
      <c r="M40" s="156"/>
      <c r="N40" s="156"/>
    </row>
    <row r="41" spans="1:14" x14ac:dyDescent="0.25">
      <c r="A41" s="156" t="s">
        <v>51</v>
      </c>
      <c r="B41" s="156">
        <v>22.2</v>
      </c>
      <c r="C41" s="156">
        <v>55.6</v>
      </c>
      <c r="D41" s="156">
        <v>55.6</v>
      </c>
      <c r="E41" s="156">
        <v>88.9</v>
      </c>
      <c r="F41" s="156">
        <v>0</v>
      </c>
      <c r="G41" s="156">
        <v>22.2</v>
      </c>
      <c r="H41" s="156">
        <v>33.299999999999997</v>
      </c>
      <c r="I41" s="156">
        <v>33.299999999999997</v>
      </c>
      <c r="J41" s="156">
        <v>9</v>
      </c>
      <c r="K41" s="156"/>
      <c r="L41" s="156"/>
      <c r="M41" s="156"/>
      <c r="N41" s="156"/>
    </row>
    <row r="42" spans="1:14" x14ac:dyDescent="0.25">
      <c r="A42" s="156" t="s">
        <v>71</v>
      </c>
      <c r="B42" s="156">
        <v>81.8</v>
      </c>
      <c r="C42" s="156">
        <v>57.1</v>
      </c>
      <c r="D42" s="156">
        <v>47.6</v>
      </c>
      <c r="E42" s="156">
        <v>71.400000000000006</v>
      </c>
      <c r="F42" s="156">
        <v>33.299999999999997</v>
      </c>
      <c r="G42" s="156">
        <v>33.299999999999997</v>
      </c>
      <c r="H42" s="156">
        <v>33.299999999999997</v>
      </c>
      <c r="I42" s="156">
        <v>38.1</v>
      </c>
      <c r="J42" s="156">
        <v>22</v>
      </c>
      <c r="K42" s="156"/>
      <c r="L42" s="156"/>
      <c r="M42" s="156"/>
      <c r="N42" s="156"/>
    </row>
    <row r="43" spans="1:14" x14ac:dyDescent="0.25">
      <c r="A43" s="156" t="s">
        <v>6</v>
      </c>
      <c r="B43" s="156">
        <v>68.400000000000006</v>
      </c>
      <c r="C43" s="156">
        <v>31.6</v>
      </c>
      <c r="D43" s="156">
        <v>84.2</v>
      </c>
      <c r="E43" s="156">
        <v>68.400000000000006</v>
      </c>
      <c r="F43" s="156">
        <v>11.1</v>
      </c>
      <c r="G43" s="156">
        <v>31.6</v>
      </c>
      <c r="H43" s="156">
        <v>57.9</v>
      </c>
      <c r="I43" s="156">
        <v>57.9</v>
      </c>
      <c r="J43" s="156">
        <v>19</v>
      </c>
      <c r="K43" s="156"/>
      <c r="L43" s="156"/>
      <c r="M43" s="156"/>
      <c r="N43" s="156"/>
    </row>
    <row r="44" spans="1:14" x14ac:dyDescent="0.25">
      <c r="A44" s="156" t="s">
        <v>72</v>
      </c>
      <c r="B44" s="156">
        <v>41.9</v>
      </c>
      <c r="C44" s="156">
        <v>51.6</v>
      </c>
      <c r="D44" s="156">
        <v>74.2</v>
      </c>
      <c r="E44" s="156">
        <v>74.2</v>
      </c>
      <c r="F44" s="156">
        <v>12.9</v>
      </c>
      <c r="G44" s="156">
        <v>41.9</v>
      </c>
      <c r="H44" s="156">
        <v>64.5</v>
      </c>
      <c r="I44" s="156">
        <v>25.8</v>
      </c>
      <c r="J44" s="156">
        <v>31</v>
      </c>
      <c r="K44" s="156"/>
      <c r="L44" s="156"/>
      <c r="M44" s="156"/>
      <c r="N44" s="156"/>
    </row>
    <row r="45" spans="1:14" x14ac:dyDescent="0.25">
      <c r="A45" s="156" t="s">
        <v>7</v>
      </c>
      <c r="B45" s="156">
        <v>0</v>
      </c>
      <c r="C45" s="156">
        <v>31.8</v>
      </c>
      <c r="D45" s="156">
        <v>40.9</v>
      </c>
      <c r="E45" s="156">
        <v>77.3</v>
      </c>
      <c r="F45" s="156">
        <v>0</v>
      </c>
      <c r="G45" s="156">
        <v>13.6</v>
      </c>
      <c r="H45" s="156">
        <v>31.8</v>
      </c>
      <c r="I45" s="156">
        <v>4.5</v>
      </c>
      <c r="J45" s="156">
        <v>22</v>
      </c>
      <c r="K45" s="156"/>
      <c r="L45" s="156"/>
      <c r="M45" s="156"/>
      <c r="N45" s="156"/>
    </row>
    <row r="46" spans="1:14" x14ac:dyDescent="0.25">
      <c r="A46" s="156" t="s">
        <v>8</v>
      </c>
      <c r="B46" s="156">
        <v>38.1</v>
      </c>
      <c r="C46" s="156">
        <v>47.6</v>
      </c>
      <c r="D46" s="156">
        <v>42.9</v>
      </c>
      <c r="E46" s="156">
        <v>76.2</v>
      </c>
      <c r="F46" s="156">
        <v>0</v>
      </c>
      <c r="G46" s="156">
        <v>33.299999999999997</v>
      </c>
      <c r="H46" s="156">
        <v>71.400000000000006</v>
      </c>
      <c r="I46" s="156">
        <v>19</v>
      </c>
      <c r="J46" s="156">
        <v>21</v>
      </c>
      <c r="K46" s="156"/>
      <c r="L46" s="156"/>
      <c r="M46" s="156"/>
      <c r="N46" s="156"/>
    </row>
    <row r="47" spans="1:14" x14ac:dyDescent="0.25">
      <c r="A47" s="156" t="s">
        <v>9</v>
      </c>
      <c r="B47" s="156">
        <v>30</v>
      </c>
      <c r="C47" s="156">
        <v>66.7</v>
      </c>
      <c r="D47" s="156">
        <v>20</v>
      </c>
      <c r="E47" s="156">
        <v>66.7</v>
      </c>
      <c r="F47" s="156">
        <v>6.7</v>
      </c>
      <c r="G47" s="156">
        <v>30</v>
      </c>
      <c r="H47" s="156">
        <v>20</v>
      </c>
      <c r="I47" s="156">
        <v>16.7</v>
      </c>
      <c r="J47" s="156">
        <v>30</v>
      </c>
      <c r="K47" s="156"/>
      <c r="L47" s="156"/>
      <c r="M47" s="156"/>
      <c r="N47" s="156"/>
    </row>
    <row r="48" spans="1:14" x14ac:dyDescent="0.25">
      <c r="A48" s="156" t="s">
        <v>55</v>
      </c>
      <c r="B48" s="156">
        <v>14.3</v>
      </c>
      <c r="C48" s="156">
        <v>52.4</v>
      </c>
      <c r="D48" s="156">
        <v>30</v>
      </c>
      <c r="E48" s="156">
        <v>75</v>
      </c>
      <c r="F48" s="156">
        <v>0</v>
      </c>
      <c r="G48" s="156">
        <v>20</v>
      </c>
      <c r="H48" s="156">
        <v>40</v>
      </c>
      <c r="I48" s="156">
        <v>5</v>
      </c>
      <c r="J48" s="156">
        <v>21</v>
      </c>
      <c r="K48" s="156"/>
      <c r="L48" s="156"/>
      <c r="M48" s="156"/>
      <c r="N48" s="156"/>
    </row>
    <row r="49" spans="1:14" x14ac:dyDescent="0.25">
      <c r="A49" s="156" t="s">
        <v>73</v>
      </c>
      <c r="B49" s="156">
        <v>50</v>
      </c>
      <c r="C49" s="156">
        <v>51.9</v>
      </c>
      <c r="D49" s="156">
        <v>64.3</v>
      </c>
      <c r="E49" s="156">
        <v>78.599999999999994</v>
      </c>
      <c r="F49" s="156">
        <v>10.7</v>
      </c>
      <c r="G49" s="156">
        <v>17.899999999999999</v>
      </c>
      <c r="H49" s="156">
        <v>39.299999999999997</v>
      </c>
      <c r="I49" s="156">
        <v>42.9</v>
      </c>
      <c r="J49" s="156">
        <v>28</v>
      </c>
      <c r="K49" s="156"/>
      <c r="L49" s="156"/>
      <c r="M49" s="156"/>
      <c r="N49" s="156"/>
    </row>
    <row r="50" spans="1:14" x14ac:dyDescent="0.25">
      <c r="A50" s="156" t="s">
        <v>10</v>
      </c>
      <c r="B50" s="156">
        <v>72.7</v>
      </c>
      <c r="C50" s="156">
        <v>72.7</v>
      </c>
      <c r="D50" s="156">
        <v>81.8</v>
      </c>
      <c r="E50" s="156">
        <v>72.7</v>
      </c>
      <c r="F50" s="156">
        <v>27.3</v>
      </c>
      <c r="G50" s="156">
        <v>27.3</v>
      </c>
      <c r="H50" s="156">
        <v>63.6</v>
      </c>
      <c r="I50" s="156">
        <v>18.2</v>
      </c>
      <c r="J50" s="156">
        <v>11</v>
      </c>
      <c r="K50" s="156"/>
      <c r="L50" s="156"/>
      <c r="M50" s="156"/>
      <c r="N50" s="156"/>
    </row>
    <row r="51" spans="1:14" x14ac:dyDescent="0.25">
      <c r="A51" s="156" t="s">
        <v>57</v>
      </c>
      <c r="B51" s="156">
        <v>22.2</v>
      </c>
      <c r="C51" s="156">
        <v>22.2</v>
      </c>
      <c r="D51" s="156">
        <v>11.1</v>
      </c>
      <c r="E51" s="156">
        <v>100</v>
      </c>
      <c r="F51" s="156">
        <v>0</v>
      </c>
      <c r="G51" s="156">
        <v>22.2</v>
      </c>
      <c r="H51" s="156">
        <v>11.1</v>
      </c>
      <c r="I51" s="156">
        <v>22.2</v>
      </c>
      <c r="J51" s="156">
        <v>9</v>
      </c>
      <c r="K51" s="156"/>
      <c r="L51" s="156"/>
      <c r="M51" s="156"/>
      <c r="N51" s="156"/>
    </row>
    <row r="52" spans="1:14" x14ac:dyDescent="0.25">
      <c r="A52" s="156" t="s">
        <v>11</v>
      </c>
      <c r="B52" s="156">
        <v>55.6</v>
      </c>
      <c r="C52" s="156">
        <v>42.9</v>
      </c>
      <c r="D52" s="156">
        <v>58.6</v>
      </c>
      <c r="E52" s="156">
        <v>75</v>
      </c>
      <c r="F52" s="156">
        <v>3.6</v>
      </c>
      <c r="G52" s="156">
        <v>21.4</v>
      </c>
      <c r="H52" s="156">
        <v>37</v>
      </c>
      <c r="I52" s="156">
        <v>37</v>
      </c>
      <c r="J52" s="156">
        <v>29</v>
      </c>
      <c r="K52" s="156"/>
      <c r="L52" s="156"/>
      <c r="M52" s="156"/>
      <c r="N52" s="156"/>
    </row>
    <row r="53" spans="1:14" x14ac:dyDescent="0.25">
      <c r="A53" s="156" t="s">
        <v>59</v>
      </c>
      <c r="B53" s="156">
        <v>25</v>
      </c>
      <c r="C53" s="156">
        <v>62.5</v>
      </c>
      <c r="D53" s="156">
        <v>25</v>
      </c>
      <c r="E53" s="156">
        <v>87.5</v>
      </c>
      <c r="F53" s="156">
        <v>12.5</v>
      </c>
      <c r="G53" s="156">
        <v>42.9</v>
      </c>
      <c r="H53" s="156">
        <v>25</v>
      </c>
      <c r="I53" s="156">
        <v>12.5</v>
      </c>
      <c r="J53" s="156">
        <v>8</v>
      </c>
      <c r="K53" s="156"/>
      <c r="L53" s="156"/>
      <c r="M53" s="156"/>
      <c r="N53" s="156"/>
    </row>
    <row r="54" spans="1:14" x14ac:dyDescent="0.25">
      <c r="A54" s="156" t="s">
        <v>60</v>
      </c>
      <c r="B54" s="156">
        <v>54.5</v>
      </c>
      <c r="C54" s="156">
        <v>81.8</v>
      </c>
      <c r="D54" s="156">
        <v>54.5</v>
      </c>
      <c r="E54" s="156">
        <v>63.6</v>
      </c>
      <c r="F54" s="156">
        <v>0</v>
      </c>
      <c r="G54" s="156">
        <v>9.1</v>
      </c>
      <c r="H54" s="156">
        <v>9.1</v>
      </c>
      <c r="I54" s="156">
        <v>18.2</v>
      </c>
      <c r="J54" s="156">
        <v>11</v>
      </c>
      <c r="K54" s="156"/>
      <c r="L54" s="156"/>
      <c r="M54" s="156"/>
      <c r="N54" s="156"/>
    </row>
    <row r="55" spans="1:14" x14ac:dyDescent="0.25">
      <c r="A55" s="156" t="s">
        <v>61</v>
      </c>
      <c r="B55" s="156">
        <v>30.8</v>
      </c>
      <c r="C55" s="156">
        <v>84.6</v>
      </c>
      <c r="D55" s="156">
        <v>46.2</v>
      </c>
      <c r="E55" s="156">
        <v>69.2</v>
      </c>
      <c r="F55" s="156">
        <v>15.4</v>
      </c>
      <c r="G55" s="156">
        <v>23.1</v>
      </c>
      <c r="H55" s="156">
        <v>30.8</v>
      </c>
      <c r="I55" s="156">
        <v>15.4</v>
      </c>
      <c r="J55" s="156">
        <v>13</v>
      </c>
      <c r="K55" s="156"/>
      <c r="L55" s="156"/>
      <c r="M55" s="156"/>
      <c r="N55" s="156"/>
    </row>
    <row r="56" spans="1:14" x14ac:dyDescent="0.25">
      <c r="A56" s="156" t="s">
        <v>12</v>
      </c>
      <c r="B56" s="156">
        <v>14.3</v>
      </c>
      <c r="C56" s="156">
        <v>28.6</v>
      </c>
      <c r="D56" s="156">
        <v>28.6</v>
      </c>
      <c r="E56" s="156">
        <v>71.400000000000006</v>
      </c>
      <c r="F56" s="156">
        <v>0</v>
      </c>
      <c r="G56" s="156">
        <v>14.3</v>
      </c>
      <c r="H56" s="156">
        <v>28.6</v>
      </c>
      <c r="I56" s="156">
        <v>0</v>
      </c>
      <c r="J56" s="156">
        <v>7</v>
      </c>
      <c r="K56" s="156"/>
      <c r="L56" s="156"/>
      <c r="M56" s="156"/>
      <c r="N56" s="156"/>
    </row>
    <row r="57" spans="1:14" x14ac:dyDescent="0.25">
      <c r="A57" s="156" t="s">
        <v>23</v>
      </c>
      <c r="B57" s="156">
        <v>88.5</v>
      </c>
      <c r="C57" s="156">
        <v>70.400000000000006</v>
      </c>
      <c r="D57" s="156">
        <v>59.3</v>
      </c>
      <c r="E57" s="156">
        <v>77.8</v>
      </c>
      <c r="F57" s="156">
        <v>11.1</v>
      </c>
      <c r="G57" s="156">
        <v>22.2</v>
      </c>
      <c r="H57" s="156">
        <v>81.5</v>
      </c>
      <c r="I57" s="156">
        <v>51.9</v>
      </c>
      <c r="J57" s="156">
        <v>27</v>
      </c>
      <c r="K57" s="156"/>
      <c r="L57" s="156"/>
      <c r="M57" s="156"/>
      <c r="N57" s="156"/>
    </row>
    <row r="58" spans="1:14" x14ac:dyDescent="0.25">
      <c r="A58" s="156" t="s">
        <v>63</v>
      </c>
      <c r="B58" s="156">
        <v>33.299999999999997</v>
      </c>
      <c r="C58" s="156">
        <v>25</v>
      </c>
      <c r="D58" s="156">
        <v>16.7</v>
      </c>
      <c r="E58" s="156">
        <v>58.3</v>
      </c>
      <c r="F58" s="156">
        <v>0</v>
      </c>
      <c r="G58" s="156">
        <v>8.3000000000000007</v>
      </c>
      <c r="H58" s="156">
        <v>0</v>
      </c>
      <c r="I58" s="156">
        <v>0</v>
      </c>
      <c r="J58" s="156">
        <v>12</v>
      </c>
      <c r="K58" s="156"/>
      <c r="L58" s="156"/>
      <c r="M58" s="156"/>
      <c r="N58" s="156"/>
    </row>
    <row r="59" spans="1:14" x14ac:dyDescent="0.25">
      <c r="A59" s="156" t="s">
        <v>64</v>
      </c>
      <c r="B59" s="156">
        <v>20</v>
      </c>
      <c r="C59" s="156">
        <v>66.7</v>
      </c>
      <c r="D59" s="156">
        <v>53.3</v>
      </c>
      <c r="E59" s="156">
        <v>86.7</v>
      </c>
      <c r="F59" s="156">
        <v>6.7</v>
      </c>
      <c r="G59" s="156">
        <v>26.7</v>
      </c>
      <c r="H59" s="156">
        <v>20</v>
      </c>
      <c r="I59" s="156">
        <v>13.3</v>
      </c>
      <c r="J59" s="156">
        <v>15</v>
      </c>
      <c r="K59" s="156"/>
      <c r="L59" s="156"/>
      <c r="M59" s="156"/>
      <c r="N59" s="156"/>
    </row>
    <row r="60" spans="1:14" x14ac:dyDescent="0.25">
      <c r="A60" s="156" t="s">
        <v>13</v>
      </c>
      <c r="B60" s="156">
        <v>69.599999999999994</v>
      </c>
      <c r="C60" s="156">
        <v>50</v>
      </c>
      <c r="D60" s="156">
        <v>45.8</v>
      </c>
      <c r="E60" s="156">
        <v>62.5</v>
      </c>
      <c r="F60" s="156">
        <v>12.5</v>
      </c>
      <c r="G60" s="156">
        <v>50</v>
      </c>
      <c r="H60" s="156">
        <v>50</v>
      </c>
      <c r="I60" s="156">
        <v>37.5</v>
      </c>
      <c r="J60" s="156">
        <v>24</v>
      </c>
      <c r="K60" s="156"/>
      <c r="L60" s="156"/>
      <c r="M60" s="156"/>
      <c r="N60" s="156"/>
    </row>
    <row r="61" spans="1:14" x14ac:dyDescent="0.25">
      <c r="A61" s="156" t="s">
        <v>14</v>
      </c>
      <c r="B61" s="156">
        <v>4.5</v>
      </c>
      <c r="C61" s="156">
        <v>68.2</v>
      </c>
      <c r="D61" s="156">
        <v>4.8</v>
      </c>
      <c r="E61" s="156">
        <v>81.8</v>
      </c>
      <c r="F61" s="156">
        <v>0</v>
      </c>
      <c r="G61" s="156">
        <v>9.1</v>
      </c>
      <c r="H61" s="156">
        <v>9.1</v>
      </c>
      <c r="I61" s="156">
        <v>0</v>
      </c>
      <c r="J61" s="156">
        <v>22</v>
      </c>
      <c r="K61" s="156"/>
      <c r="L61" s="156"/>
      <c r="M61" s="156"/>
      <c r="N61" s="156"/>
    </row>
    <row r="62" spans="1:14" x14ac:dyDescent="0.25">
      <c r="A62" s="156" t="s">
        <v>66</v>
      </c>
      <c r="B62" s="156">
        <v>60</v>
      </c>
      <c r="C62" s="156">
        <v>80</v>
      </c>
      <c r="D62" s="156">
        <v>40</v>
      </c>
      <c r="E62" s="156">
        <v>70</v>
      </c>
      <c r="F62" s="156">
        <v>10</v>
      </c>
      <c r="G62" s="156">
        <v>20</v>
      </c>
      <c r="H62" s="156">
        <v>40</v>
      </c>
      <c r="I62" s="156">
        <v>20</v>
      </c>
      <c r="J62" s="156">
        <v>10</v>
      </c>
      <c r="K62" s="156"/>
      <c r="L62" s="156"/>
      <c r="M62" s="156"/>
      <c r="N62" s="156"/>
    </row>
    <row r="63" spans="1:14" x14ac:dyDescent="0.25">
      <c r="A63" s="156" t="s">
        <v>67</v>
      </c>
      <c r="B63" s="156">
        <v>30.8</v>
      </c>
      <c r="C63" s="156">
        <v>63.6</v>
      </c>
      <c r="D63" s="156">
        <v>50</v>
      </c>
      <c r="E63" s="156">
        <v>83.3</v>
      </c>
      <c r="F63" s="156">
        <v>8.3000000000000007</v>
      </c>
      <c r="G63" s="156">
        <v>25</v>
      </c>
      <c r="H63" s="156">
        <v>66.7</v>
      </c>
      <c r="I63" s="156">
        <v>7.7</v>
      </c>
      <c r="J63" s="156">
        <v>14</v>
      </c>
      <c r="K63" s="156"/>
      <c r="L63" s="156"/>
      <c r="M63" s="156"/>
      <c r="N63" s="156"/>
    </row>
    <row r="64" spans="1:14" x14ac:dyDescent="0.25">
      <c r="A64" s="156" t="s">
        <v>68</v>
      </c>
      <c r="B64" s="156">
        <v>52</v>
      </c>
      <c r="C64" s="156">
        <v>60</v>
      </c>
      <c r="D64" s="156">
        <v>44</v>
      </c>
      <c r="E64" s="156">
        <v>80</v>
      </c>
      <c r="F64" s="156">
        <v>4</v>
      </c>
      <c r="G64" s="156">
        <v>24</v>
      </c>
      <c r="H64" s="156">
        <v>24</v>
      </c>
      <c r="I64" s="156">
        <v>24</v>
      </c>
      <c r="J64" s="156">
        <v>25</v>
      </c>
      <c r="K64" s="156"/>
      <c r="L64" s="156"/>
      <c r="M64" s="156"/>
      <c r="N64" s="156"/>
    </row>
    <row r="65" spans="1:14" x14ac:dyDescent="0.25">
      <c r="A65" s="156" t="s">
        <v>15</v>
      </c>
      <c r="B65" s="156">
        <v>7.1</v>
      </c>
      <c r="C65" s="156">
        <v>33.299999999999997</v>
      </c>
      <c r="D65" s="156">
        <v>35.700000000000003</v>
      </c>
      <c r="E65" s="156">
        <v>92.9</v>
      </c>
      <c r="F65" s="156">
        <v>0</v>
      </c>
      <c r="G65" s="156">
        <v>7.1</v>
      </c>
      <c r="H65" s="156">
        <v>28.6</v>
      </c>
      <c r="I65" s="156">
        <v>0</v>
      </c>
      <c r="J65" s="156">
        <v>15</v>
      </c>
      <c r="K65" s="156"/>
      <c r="L65" s="156"/>
      <c r="M65" s="156"/>
      <c r="N65" s="156"/>
    </row>
    <row r="66" spans="1:14" x14ac:dyDescent="0.25">
      <c r="A66" s="156" t="s">
        <v>16</v>
      </c>
      <c r="B66" s="156">
        <v>40</v>
      </c>
      <c r="C66" s="156">
        <v>77.099999999999994</v>
      </c>
      <c r="D66" s="156">
        <v>37.1</v>
      </c>
      <c r="E66" s="156">
        <v>82.9</v>
      </c>
      <c r="F66" s="156">
        <v>5.7</v>
      </c>
      <c r="G66" s="156">
        <v>17.100000000000001</v>
      </c>
      <c r="H66" s="156">
        <v>31.4</v>
      </c>
      <c r="I66" s="156">
        <v>14.3</v>
      </c>
      <c r="J66" s="156">
        <v>35</v>
      </c>
      <c r="K66" s="156"/>
      <c r="L66" s="156"/>
      <c r="M66" s="156"/>
      <c r="N66" s="156"/>
    </row>
    <row r="67" spans="1:14" x14ac:dyDescent="0.25">
      <c r="A67" s="156" t="s">
        <v>70</v>
      </c>
      <c r="B67" s="156">
        <v>20</v>
      </c>
      <c r="C67" s="156">
        <v>62</v>
      </c>
      <c r="D67" s="156">
        <v>26</v>
      </c>
      <c r="E67" s="156">
        <v>58</v>
      </c>
      <c r="F67" s="156">
        <v>4.0999999999999996</v>
      </c>
      <c r="G67" s="156">
        <v>30</v>
      </c>
      <c r="H67" s="156">
        <v>50</v>
      </c>
      <c r="I67" s="156">
        <v>24</v>
      </c>
      <c r="J67" s="156">
        <v>50</v>
      </c>
      <c r="K67" s="156"/>
      <c r="L67" s="156"/>
      <c r="M67" s="156"/>
      <c r="N67" s="156"/>
    </row>
    <row r="68" spans="1:14" x14ac:dyDescent="0.25">
      <c r="A68" s="156" t="s">
        <v>17</v>
      </c>
      <c r="B68" s="156">
        <v>75</v>
      </c>
      <c r="C68" s="156">
        <v>25</v>
      </c>
      <c r="D68" s="156">
        <v>100</v>
      </c>
      <c r="E68" s="156">
        <v>100</v>
      </c>
      <c r="F68" s="156">
        <v>0</v>
      </c>
      <c r="G68" s="156">
        <v>50</v>
      </c>
      <c r="H68" s="156">
        <v>50</v>
      </c>
      <c r="I68" s="156">
        <v>25</v>
      </c>
      <c r="J68" s="156">
        <v>4</v>
      </c>
      <c r="K68" s="156"/>
      <c r="L68" s="156"/>
      <c r="M68" s="156"/>
      <c r="N68" s="156"/>
    </row>
    <row r="69" spans="1:14" x14ac:dyDescent="0.25">
      <c r="A69" s="156" t="s">
        <v>24</v>
      </c>
      <c r="B69" s="156">
        <v>18.8</v>
      </c>
      <c r="C69" s="156">
        <v>75</v>
      </c>
      <c r="D69" s="156">
        <v>93.8</v>
      </c>
      <c r="E69" s="156">
        <v>81.3</v>
      </c>
      <c r="F69" s="156">
        <v>18.8</v>
      </c>
      <c r="G69" s="156">
        <v>12.5</v>
      </c>
      <c r="H69" s="156">
        <v>75</v>
      </c>
      <c r="I69" s="156">
        <v>37.5</v>
      </c>
      <c r="J69" s="156">
        <v>16</v>
      </c>
      <c r="K69" s="156"/>
      <c r="L69" s="156"/>
      <c r="M69" s="156"/>
      <c r="N69" s="156"/>
    </row>
    <row r="70" spans="1:14" x14ac:dyDescent="0.25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</row>
    <row r="71" spans="1:14" x14ac:dyDescent="0.25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</row>
    <row r="72" spans="1:14" x14ac:dyDescent="0.25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</row>
    <row r="73" spans="1:14" x14ac:dyDescent="0.25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</row>
    <row r="74" spans="1:14" x14ac:dyDescent="0.25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</row>
    <row r="75" spans="1:14" x14ac:dyDescent="0.25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</row>
  </sheetData>
  <mergeCells count="7">
    <mergeCell ref="A18:J18"/>
    <mergeCell ref="A27:N27"/>
    <mergeCell ref="A1:X1"/>
    <mergeCell ref="A2:V2"/>
    <mergeCell ref="A3:V3"/>
    <mergeCell ref="A4:U4"/>
    <mergeCell ref="B6:H6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C21" sqref="C21"/>
    </sheetView>
  </sheetViews>
  <sheetFormatPr defaultColWidth="8.78515625" defaultRowHeight="13.5" x14ac:dyDescent="0.25"/>
  <cols>
    <col min="1" max="1" width="12.35546875" style="103" customWidth="1"/>
    <col min="2" max="16384" width="8.78515625" style="103"/>
  </cols>
  <sheetData>
    <row r="1" spans="1:21" x14ac:dyDescent="0.25">
      <c r="A1" s="119" t="s">
        <v>184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05"/>
    </row>
    <row r="2" spans="1:21" x14ac:dyDescent="0.25">
      <c r="A2" s="117" t="s">
        <v>185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05"/>
    </row>
    <row r="3" spans="1:21" x14ac:dyDescent="0.25">
      <c r="A3" s="117" t="s">
        <v>186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07"/>
      <c r="T3" s="107"/>
      <c r="U3" s="105"/>
    </row>
    <row r="4" spans="1:21" x14ac:dyDescent="0.25">
      <c r="A4" s="117" t="s">
        <v>187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05"/>
      <c r="O4" s="105"/>
      <c r="P4" s="105"/>
      <c r="Q4" s="105"/>
      <c r="R4" s="105"/>
      <c r="S4" s="105"/>
      <c r="T4" s="105"/>
      <c r="U4" s="105"/>
    </row>
    <row r="5" spans="1:2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 x14ac:dyDescent="0.25">
      <c r="A6" s="119" t="s">
        <v>188</v>
      </c>
      <c r="B6" s="119"/>
      <c r="C6" s="119"/>
      <c r="D6" s="119"/>
      <c r="E6" s="119"/>
      <c r="F6" s="119"/>
      <c r="G6" s="119"/>
      <c r="H6" s="105"/>
      <c r="I6" s="105"/>
      <c r="J6" s="105"/>
      <c r="O6" s="117"/>
      <c r="P6" s="117"/>
      <c r="Q6" s="117"/>
      <c r="R6" s="117"/>
      <c r="S6" s="117"/>
      <c r="T6" s="117"/>
      <c r="U6" s="117"/>
    </row>
    <row r="7" spans="1:2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O7" s="105"/>
      <c r="P7" s="105"/>
      <c r="Q7" s="105"/>
      <c r="R7" s="105"/>
      <c r="S7" s="105"/>
      <c r="T7" s="105"/>
      <c r="U7" s="105"/>
    </row>
    <row r="8" spans="1:21" x14ac:dyDescent="0.25">
      <c r="A8" s="106" t="s">
        <v>183</v>
      </c>
      <c r="B8" s="106" t="s">
        <v>190</v>
      </c>
      <c r="C8" s="106" t="s">
        <v>145</v>
      </c>
      <c r="D8" s="106"/>
      <c r="E8" s="105"/>
      <c r="F8" s="105"/>
      <c r="G8" s="105"/>
      <c r="H8" s="105"/>
      <c r="I8" s="105"/>
      <c r="J8" s="105"/>
      <c r="K8" s="105"/>
      <c r="O8" s="105"/>
      <c r="P8" s="105"/>
      <c r="Q8" s="105"/>
      <c r="R8" s="105"/>
      <c r="S8" s="105"/>
      <c r="T8" s="105"/>
      <c r="U8" s="105"/>
    </row>
    <row r="9" spans="1:21" x14ac:dyDescent="0.25">
      <c r="A9" s="126" t="s">
        <v>115</v>
      </c>
      <c r="B9" s="105">
        <v>67.3</v>
      </c>
      <c r="C9" s="105">
        <v>115</v>
      </c>
      <c r="D9" s="105"/>
      <c r="E9" s="105"/>
      <c r="F9" s="105"/>
      <c r="G9" s="105"/>
      <c r="H9" s="105"/>
      <c r="I9" s="105"/>
      <c r="J9" s="105"/>
      <c r="K9" s="105"/>
      <c r="O9" s="105"/>
      <c r="P9" s="105"/>
      <c r="Q9" s="105"/>
      <c r="R9" s="105"/>
      <c r="S9" s="105"/>
      <c r="T9" s="105"/>
      <c r="U9" s="105"/>
    </row>
    <row r="10" spans="1:21" x14ac:dyDescent="0.25">
      <c r="A10" s="126" t="s">
        <v>116</v>
      </c>
      <c r="B10" s="105">
        <v>74.3</v>
      </c>
      <c r="C10" s="105">
        <v>109</v>
      </c>
      <c r="D10" s="105"/>
      <c r="E10" s="105"/>
      <c r="F10" s="105"/>
      <c r="G10" s="105"/>
      <c r="H10" s="105"/>
      <c r="I10" s="105"/>
      <c r="J10" s="105"/>
      <c r="K10" s="105"/>
      <c r="O10" s="105"/>
      <c r="P10" s="105"/>
      <c r="Q10" s="105"/>
      <c r="R10" s="105"/>
      <c r="S10" s="105"/>
      <c r="T10" s="105"/>
      <c r="U10" s="105"/>
    </row>
    <row r="11" spans="1:21" x14ac:dyDescent="0.25">
      <c r="A11" s="126" t="s">
        <v>117</v>
      </c>
      <c r="B11" s="105">
        <v>77.2</v>
      </c>
      <c r="C11" s="105">
        <v>171</v>
      </c>
      <c r="D11" s="105"/>
      <c r="E11" s="105"/>
      <c r="F11" s="105"/>
      <c r="G11" s="105"/>
      <c r="H11" s="105"/>
      <c r="I11" s="105"/>
      <c r="J11" s="105"/>
      <c r="K11" s="105"/>
      <c r="O11" s="105"/>
      <c r="P11" s="105"/>
      <c r="Q11" s="105"/>
      <c r="R11" s="105"/>
      <c r="S11" s="105"/>
      <c r="T11" s="105"/>
      <c r="U11" s="105"/>
    </row>
    <row r="12" spans="1:21" x14ac:dyDescent="0.25">
      <c r="A12" s="126" t="s">
        <v>118</v>
      </c>
      <c r="B12" s="105">
        <v>74</v>
      </c>
      <c r="C12" s="105">
        <v>205</v>
      </c>
      <c r="D12" s="105"/>
      <c r="E12" s="105"/>
      <c r="F12" s="105"/>
      <c r="G12" s="105"/>
      <c r="H12" s="105"/>
      <c r="I12" s="105"/>
      <c r="J12" s="105"/>
      <c r="K12" s="105"/>
      <c r="O12" s="105"/>
      <c r="P12" s="105"/>
      <c r="Q12" s="105"/>
      <c r="R12" s="105"/>
      <c r="S12" s="105"/>
      <c r="T12" s="105"/>
      <c r="U12" s="105"/>
    </row>
    <row r="13" spans="1:21" x14ac:dyDescent="0.25">
      <c r="A13" s="126" t="s">
        <v>119</v>
      </c>
      <c r="B13" s="105">
        <v>56.5</v>
      </c>
      <c r="C13" s="105">
        <v>183</v>
      </c>
      <c r="D13" s="105"/>
      <c r="E13" s="105"/>
      <c r="F13" s="105"/>
      <c r="G13" s="105"/>
      <c r="H13" s="105"/>
      <c r="I13" s="105"/>
      <c r="J13" s="105"/>
      <c r="K13" s="105"/>
      <c r="O13" s="105"/>
      <c r="P13" s="105"/>
      <c r="Q13" s="105"/>
      <c r="R13" s="105"/>
      <c r="S13" s="105"/>
      <c r="T13" s="105"/>
      <c r="U13" s="105"/>
    </row>
    <row r="14" spans="1:21" x14ac:dyDescent="0.25">
      <c r="A14" s="126" t="s">
        <v>120</v>
      </c>
      <c r="B14" s="105">
        <v>85.7</v>
      </c>
      <c r="C14" s="105">
        <v>198</v>
      </c>
      <c r="D14" s="105"/>
      <c r="E14" s="105"/>
      <c r="F14" s="105"/>
      <c r="G14" s="105"/>
      <c r="H14" s="105"/>
      <c r="I14" s="105"/>
      <c r="J14" s="105"/>
      <c r="K14" s="105"/>
      <c r="O14" s="105"/>
      <c r="P14" s="105"/>
      <c r="Q14" s="105"/>
      <c r="R14" s="105"/>
      <c r="S14" s="105"/>
      <c r="T14" s="105"/>
      <c r="U14" s="105"/>
    </row>
    <row r="15" spans="1:21" s="153" customFormat="1" x14ac:dyDescent="0.25"/>
    <row r="16" spans="1:21" x14ac:dyDescent="0.25">
      <c r="A16" s="105" t="s">
        <v>114</v>
      </c>
      <c r="B16" s="105">
        <v>72.8</v>
      </c>
      <c r="C16" s="105">
        <v>954</v>
      </c>
      <c r="D16" s="105"/>
      <c r="E16" s="105"/>
      <c r="F16" s="105"/>
      <c r="G16" s="105"/>
      <c r="H16" s="105"/>
      <c r="I16" s="105"/>
      <c r="J16" s="105"/>
      <c r="K16" s="105"/>
      <c r="O16" s="105"/>
      <c r="P16" s="105"/>
      <c r="Q16" s="105"/>
      <c r="R16" s="105"/>
      <c r="S16" s="105"/>
      <c r="T16" s="105"/>
      <c r="U16" s="105"/>
    </row>
    <row r="17" spans="1:21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O17" s="105"/>
      <c r="P17" s="105"/>
      <c r="Q17" s="105"/>
      <c r="R17" s="105"/>
      <c r="S17" s="105"/>
      <c r="T17" s="105"/>
      <c r="U17" s="105"/>
    </row>
    <row r="18" spans="1:21" x14ac:dyDescent="0.25">
      <c r="A18" s="119" t="s">
        <v>189</v>
      </c>
      <c r="B18" s="117"/>
      <c r="C18" s="117"/>
      <c r="D18" s="105"/>
      <c r="E18" s="105"/>
      <c r="F18" s="105"/>
      <c r="G18" s="105"/>
      <c r="H18" s="105"/>
      <c r="I18" s="105"/>
      <c r="J18" s="105"/>
      <c r="K18" s="105"/>
      <c r="O18" s="105"/>
      <c r="P18" s="105"/>
      <c r="Q18" s="105"/>
      <c r="R18" s="105"/>
      <c r="S18" s="105"/>
      <c r="T18" s="105"/>
      <c r="U18" s="105"/>
    </row>
    <row r="19" spans="1:21" x14ac:dyDescent="0.25">
      <c r="A19" s="105" t="s">
        <v>344</v>
      </c>
      <c r="B19" s="106" t="s">
        <v>190</v>
      </c>
      <c r="C19" s="106" t="s">
        <v>145</v>
      </c>
      <c r="D19" s="105"/>
      <c r="E19" s="105"/>
      <c r="F19" s="105"/>
      <c r="G19" s="105"/>
      <c r="H19" s="105"/>
      <c r="I19" s="105"/>
      <c r="J19" s="105"/>
      <c r="K19" s="105"/>
      <c r="O19" s="105"/>
      <c r="P19" s="105"/>
      <c r="Q19" s="105"/>
      <c r="R19" s="105"/>
      <c r="S19" s="105"/>
      <c r="T19" s="105"/>
      <c r="U19" s="105"/>
    </row>
    <row r="20" spans="1:21" x14ac:dyDescent="0.25">
      <c r="A20" s="105" t="s">
        <v>43</v>
      </c>
      <c r="B20" s="105">
        <v>60</v>
      </c>
      <c r="C20" s="105">
        <v>15</v>
      </c>
      <c r="D20" s="105"/>
      <c r="E20" s="105"/>
      <c r="F20" s="105"/>
      <c r="G20" s="105"/>
      <c r="H20" s="105"/>
      <c r="I20" s="105"/>
      <c r="J20" s="105"/>
      <c r="K20" s="105"/>
      <c r="O20" s="105"/>
      <c r="P20" s="105"/>
      <c r="Q20" s="105"/>
      <c r="R20" s="105"/>
      <c r="S20" s="105"/>
      <c r="T20" s="105"/>
      <c r="U20" s="105"/>
    </row>
    <row r="21" spans="1:21" x14ac:dyDescent="0.25">
      <c r="A21" s="105" t="s">
        <v>44</v>
      </c>
      <c r="B21" s="105">
        <v>100</v>
      </c>
      <c r="C21" s="105">
        <v>37</v>
      </c>
      <c r="D21" s="105"/>
      <c r="E21" s="105"/>
      <c r="F21" s="105"/>
      <c r="G21" s="105"/>
      <c r="H21" s="105"/>
      <c r="I21" s="105"/>
      <c r="J21" s="105"/>
      <c r="K21" s="105"/>
      <c r="O21" s="105"/>
      <c r="P21" s="105"/>
      <c r="Q21" s="105"/>
      <c r="R21" s="105"/>
      <c r="S21" s="105"/>
      <c r="T21" s="105"/>
      <c r="U21" s="105"/>
    </row>
    <row r="22" spans="1:21" x14ac:dyDescent="0.25">
      <c r="A22" s="105" t="s">
        <v>45</v>
      </c>
      <c r="B22" s="105">
        <v>95.8</v>
      </c>
      <c r="C22" s="105">
        <v>24</v>
      </c>
    </row>
    <row r="23" spans="1:21" x14ac:dyDescent="0.25">
      <c r="A23" s="105" t="s">
        <v>2</v>
      </c>
      <c r="B23" s="105">
        <v>75</v>
      </c>
      <c r="C23" s="105">
        <v>12</v>
      </c>
    </row>
    <row r="24" spans="1:21" x14ac:dyDescent="0.25">
      <c r="A24" s="105" t="s">
        <v>3</v>
      </c>
      <c r="B24" s="105">
        <v>83.6</v>
      </c>
      <c r="C24" s="105">
        <v>64</v>
      </c>
    </row>
    <row r="25" spans="1:21" x14ac:dyDescent="0.25">
      <c r="A25" s="105" t="s">
        <v>4</v>
      </c>
      <c r="B25" s="105">
        <v>73.3</v>
      </c>
      <c r="C25" s="105">
        <v>16</v>
      </c>
    </row>
    <row r="26" spans="1:21" x14ac:dyDescent="0.25">
      <c r="A26" s="105" t="s">
        <v>47</v>
      </c>
      <c r="B26" s="105">
        <v>84.2</v>
      </c>
      <c r="C26" s="105">
        <v>19</v>
      </c>
    </row>
    <row r="27" spans="1:21" x14ac:dyDescent="0.25">
      <c r="A27" s="105" t="s">
        <v>5</v>
      </c>
      <c r="B27" s="105">
        <v>82.8</v>
      </c>
      <c r="C27" s="105">
        <v>29</v>
      </c>
    </row>
    <row r="28" spans="1:21" x14ac:dyDescent="0.25">
      <c r="A28" s="105" t="s">
        <v>49</v>
      </c>
      <c r="B28" s="105">
        <v>64.3</v>
      </c>
      <c r="C28" s="105">
        <v>14</v>
      </c>
    </row>
    <row r="29" spans="1:21" x14ac:dyDescent="0.25">
      <c r="A29" s="105" t="s">
        <v>50</v>
      </c>
      <c r="B29" s="105">
        <v>73.7</v>
      </c>
      <c r="C29" s="105">
        <v>19</v>
      </c>
    </row>
    <row r="30" spans="1:21" x14ac:dyDescent="0.25">
      <c r="A30" s="105" t="s">
        <v>22</v>
      </c>
      <c r="B30" s="105">
        <v>91.3</v>
      </c>
      <c r="C30" s="105">
        <v>24</v>
      </c>
    </row>
    <row r="31" spans="1:21" x14ac:dyDescent="0.25">
      <c r="A31" s="105" t="s">
        <v>51</v>
      </c>
      <c r="B31" s="105">
        <v>81.8</v>
      </c>
      <c r="C31" s="105">
        <v>12</v>
      </c>
    </row>
    <row r="32" spans="1:21" x14ac:dyDescent="0.25">
      <c r="A32" s="105" t="s">
        <v>71</v>
      </c>
      <c r="B32" s="105">
        <v>68</v>
      </c>
      <c r="C32" s="105">
        <v>28</v>
      </c>
    </row>
    <row r="33" spans="1:3" x14ac:dyDescent="0.25">
      <c r="A33" s="103" t="s">
        <v>6</v>
      </c>
      <c r="B33" s="103">
        <v>14.3</v>
      </c>
      <c r="C33" s="103">
        <v>37</v>
      </c>
    </row>
    <row r="34" spans="1:3" x14ac:dyDescent="0.25">
      <c r="A34" s="103" t="s">
        <v>72</v>
      </c>
      <c r="B34" s="103">
        <v>45.5</v>
      </c>
      <c r="C34" s="103">
        <v>34</v>
      </c>
    </row>
    <row r="35" spans="1:3" x14ac:dyDescent="0.25">
      <c r="A35" s="103" t="s">
        <v>7</v>
      </c>
      <c r="B35" s="103">
        <v>83.3</v>
      </c>
      <c r="C35" s="103">
        <v>24</v>
      </c>
    </row>
    <row r="36" spans="1:3" x14ac:dyDescent="0.25">
      <c r="A36" s="103" t="s">
        <v>8</v>
      </c>
      <c r="B36" s="103">
        <v>72</v>
      </c>
      <c r="C36" s="103">
        <v>25</v>
      </c>
    </row>
    <row r="37" spans="1:3" x14ac:dyDescent="0.25">
      <c r="A37" s="103" t="s">
        <v>9</v>
      </c>
      <c r="B37" s="103">
        <v>97.3</v>
      </c>
      <c r="C37" s="103">
        <v>37</v>
      </c>
    </row>
    <row r="38" spans="1:3" x14ac:dyDescent="0.25">
      <c r="A38" s="103" t="s">
        <v>55</v>
      </c>
      <c r="B38" s="103">
        <v>88.5</v>
      </c>
      <c r="C38" s="103">
        <v>27</v>
      </c>
    </row>
    <row r="39" spans="1:3" x14ac:dyDescent="0.25">
      <c r="A39" s="103" t="s">
        <v>73</v>
      </c>
      <c r="B39" s="103">
        <v>54.8</v>
      </c>
      <c r="C39" s="103">
        <v>32</v>
      </c>
    </row>
    <row r="40" spans="1:3" x14ac:dyDescent="0.25">
      <c r="A40" s="103" t="s">
        <v>10</v>
      </c>
      <c r="B40" s="103">
        <v>94.1</v>
      </c>
      <c r="C40" s="103">
        <v>17</v>
      </c>
    </row>
    <row r="41" spans="1:3" x14ac:dyDescent="0.25">
      <c r="A41" s="103" t="s">
        <v>57</v>
      </c>
      <c r="B41" s="103">
        <v>69.2</v>
      </c>
      <c r="C41" s="103">
        <v>14</v>
      </c>
    </row>
    <row r="42" spans="1:3" x14ac:dyDescent="0.25">
      <c r="A42" s="103" t="s">
        <v>11</v>
      </c>
      <c r="B42" s="103">
        <v>73.5</v>
      </c>
      <c r="C42" s="103">
        <v>34</v>
      </c>
    </row>
    <row r="43" spans="1:3" x14ac:dyDescent="0.25">
      <c r="A43" s="103" t="s">
        <v>59</v>
      </c>
      <c r="B43" s="103">
        <v>60</v>
      </c>
      <c r="C43" s="103">
        <v>10</v>
      </c>
    </row>
    <row r="44" spans="1:3" x14ac:dyDescent="0.25">
      <c r="A44" s="103" t="s">
        <v>60</v>
      </c>
      <c r="B44" s="103">
        <v>54.5</v>
      </c>
      <c r="C44" s="103">
        <v>11</v>
      </c>
    </row>
    <row r="45" spans="1:3" x14ac:dyDescent="0.25">
      <c r="A45" s="103" t="s">
        <v>61</v>
      </c>
      <c r="B45" s="103">
        <v>76.5</v>
      </c>
      <c r="C45" s="103">
        <v>18</v>
      </c>
    </row>
    <row r="46" spans="1:3" x14ac:dyDescent="0.25">
      <c r="A46" s="103" t="s">
        <v>12</v>
      </c>
      <c r="B46" s="103">
        <v>22.2</v>
      </c>
      <c r="C46" s="103">
        <v>10</v>
      </c>
    </row>
    <row r="47" spans="1:3" x14ac:dyDescent="0.25">
      <c r="A47" s="103" t="s">
        <v>23</v>
      </c>
      <c r="B47" s="103">
        <v>34.5</v>
      </c>
      <c r="C47" s="103">
        <v>31</v>
      </c>
    </row>
    <row r="48" spans="1:3" x14ac:dyDescent="0.25">
      <c r="A48" s="103" t="s">
        <v>63</v>
      </c>
      <c r="B48" s="103">
        <v>64.3</v>
      </c>
      <c r="C48" s="103">
        <v>14</v>
      </c>
    </row>
    <row r="49" spans="1:3" x14ac:dyDescent="0.25">
      <c r="A49" s="103" t="s">
        <v>64</v>
      </c>
      <c r="B49" s="103">
        <v>60</v>
      </c>
      <c r="C49" s="103">
        <v>20</v>
      </c>
    </row>
    <row r="50" spans="1:3" x14ac:dyDescent="0.25">
      <c r="A50" s="103" t="s">
        <v>13</v>
      </c>
      <c r="B50" s="103">
        <v>46.4</v>
      </c>
      <c r="C50" s="103">
        <v>30</v>
      </c>
    </row>
    <row r="51" spans="1:3" x14ac:dyDescent="0.25">
      <c r="A51" s="103" t="s">
        <v>14</v>
      </c>
      <c r="B51" s="103">
        <v>96.6</v>
      </c>
      <c r="C51" s="103">
        <v>29</v>
      </c>
    </row>
    <row r="52" spans="1:3" x14ac:dyDescent="0.25">
      <c r="A52" s="103" t="s">
        <v>66</v>
      </c>
      <c r="B52" s="103">
        <v>76.900000000000006</v>
      </c>
      <c r="C52" s="103">
        <v>14</v>
      </c>
    </row>
    <row r="53" spans="1:3" x14ac:dyDescent="0.25">
      <c r="A53" s="103" t="s">
        <v>67</v>
      </c>
      <c r="B53" s="103">
        <v>94.1</v>
      </c>
      <c r="C53" s="103">
        <v>17</v>
      </c>
    </row>
    <row r="54" spans="1:3" x14ac:dyDescent="0.25">
      <c r="A54" s="103" t="s">
        <v>68</v>
      </c>
      <c r="B54" s="103">
        <v>73.3</v>
      </c>
      <c r="C54" s="103">
        <v>31</v>
      </c>
    </row>
    <row r="55" spans="1:3" x14ac:dyDescent="0.25">
      <c r="A55" s="103" t="s">
        <v>15</v>
      </c>
      <c r="B55" s="103">
        <v>89.5</v>
      </c>
      <c r="C55" s="103">
        <v>19</v>
      </c>
    </row>
    <row r="56" spans="1:3" x14ac:dyDescent="0.25">
      <c r="A56" s="103" t="s">
        <v>16</v>
      </c>
      <c r="B56" s="103">
        <v>83.7</v>
      </c>
      <c r="C56" s="103">
        <v>43</v>
      </c>
    </row>
    <row r="57" spans="1:3" x14ac:dyDescent="0.25">
      <c r="A57" s="103" t="s">
        <v>70</v>
      </c>
      <c r="B57" s="103">
        <v>81.400000000000006</v>
      </c>
      <c r="C57" s="103">
        <v>61</v>
      </c>
    </row>
    <row r="58" spans="1:3" x14ac:dyDescent="0.25">
      <c r="A58" s="103" t="s">
        <v>17</v>
      </c>
      <c r="B58" s="103">
        <v>42.9</v>
      </c>
      <c r="C58" s="103">
        <v>7</v>
      </c>
    </row>
    <row r="59" spans="1:3" x14ac:dyDescent="0.25">
      <c r="A59" s="103" t="s">
        <v>24</v>
      </c>
      <c r="B59" s="103">
        <v>52.6</v>
      </c>
      <c r="C59" s="103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="90" zoomScaleNormal="90" workbookViewId="0">
      <selection activeCell="L30" sqref="L30"/>
    </sheetView>
  </sheetViews>
  <sheetFormatPr defaultColWidth="8.78515625" defaultRowHeight="13.5" x14ac:dyDescent="0.25"/>
  <cols>
    <col min="1" max="1" width="12.35546875" style="103" customWidth="1"/>
    <col min="2" max="4" width="8.78515625" style="103"/>
    <col min="5" max="6" width="9.640625" style="103" customWidth="1"/>
    <col min="7" max="10" width="8.78515625" style="103"/>
    <col min="11" max="11" width="8.92578125" style="103" customWidth="1"/>
    <col min="12" max="16384" width="8.78515625" style="103"/>
  </cols>
  <sheetData>
    <row r="1" spans="1:19" x14ac:dyDescent="0.25">
      <c r="A1" s="193" t="s">
        <v>191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x14ac:dyDescent="0.25">
      <c r="A2" s="194" t="s">
        <v>185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x14ac:dyDescent="0.25">
      <c r="A3" s="194" t="s">
        <v>192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5" spans="1:19" ht="67.5" x14ac:dyDescent="0.25">
      <c r="E5" s="160" t="s">
        <v>194</v>
      </c>
      <c r="F5" s="104" t="s">
        <v>145</v>
      </c>
    </row>
    <row r="6" spans="1:19" x14ac:dyDescent="0.25">
      <c r="A6" s="156" t="s">
        <v>204</v>
      </c>
      <c r="B6" s="156"/>
      <c r="C6" s="156"/>
      <c r="D6" s="156"/>
      <c r="E6" s="156">
        <v>10.7</v>
      </c>
      <c r="F6" s="155">
        <v>981</v>
      </c>
      <c r="H6" s="155"/>
      <c r="I6" s="155"/>
      <c r="J6" s="155"/>
      <c r="K6" s="155"/>
      <c r="L6" s="155"/>
    </row>
    <row r="7" spans="1:19" x14ac:dyDescent="0.25">
      <c r="A7" s="156" t="s">
        <v>205</v>
      </c>
      <c r="B7" s="156"/>
      <c r="C7" s="156"/>
      <c r="D7" s="156"/>
      <c r="E7" s="156">
        <v>66.099999999999994</v>
      </c>
      <c r="F7" s="155">
        <v>981</v>
      </c>
      <c r="H7" s="155"/>
      <c r="I7" s="155"/>
      <c r="J7" s="155"/>
      <c r="K7" s="155"/>
      <c r="L7" s="155"/>
    </row>
    <row r="8" spans="1:19" x14ac:dyDescent="0.25">
      <c r="A8" s="156" t="s">
        <v>206</v>
      </c>
      <c r="B8" s="156"/>
      <c r="C8" s="156"/>
      <c r="D8" s="156"/>
      <c r="E8" s="156">
        <v>23.4</v>
      </c>
      <c r="F8" s="155">
        <v>981</v>
      </c>
      <c r="H8" s="155"/>
      <c r="I8" s="155"/>
      <c r="J8" s="155"/>
      <c r="K8" s="155"/>
      <c r="L8" s="155"/>
    </row>
    <row r="9" spans="1:19" x14ac:dyDescent="0.25">
      <c r="A9" s="157" t="s">
        <v>207</v>
      </c>
      <c r="B9" s="157"/>
      <c r="C9" s="157"/>
      <c r="D9" s="157"/>
      <c r="E9" s="157">
        <v>28.8</v>
      </c>
      <c r="F9" s="155">
        <v>981</v>
      </c>
      <c r="H9" s="155"/>
      <c r="I9" s="155"/>
      <c r="J9" s="155"/>
      <c r="K9" s="155"/>
      <c r="L9" s="155"/>
    </row>
    <row r="10" spans="1:19" x14ac:dyDescent="0.25">
      <c r="A10" s="157" t="s">
        <v>208</v>
      </c>
      <c r="B10" s="157"/>
      <c r="C10" s="157"/>
      <c r="D10" s="157"/>
      <c r="E10" s="157">
        <v>66.099999999999994</v>
      </c>
      <c r="F10" s="155">
        <v>981</v>
      </c>
      <c r="H10" s="155"/>
      <c r="I10" s="155"/>
      <c r="J10" s="155"/>
      <c r="K10" s="155"/>
      <c r="L10" s="155"/>
    </row>
    <row r="11" spans="1:19" x14ac:dyDescent="0.25">
      <c r="A11" s="157" t="s">
        <v>209</v>
      </c>
      <c r="B11" s="157"/>
      <c r="C11" s="157"/>
      <c r="D11" s="157"/>
      <c r="E11" s="157">
        <v>21.9</v>
      </c>
      <c r="F11" s="155">
        <v>981</v>
      </c>
      <c r="H11" s="155"/>
      <c r="I11" s="155"/>
      <c r="J11" s="155"/>
      <c r="K11" s="155"/>
      <c r="L11" s="155"/>
    </row>
    <row r="12" spans="1:19" x14ac:dyDescent="0.25">
      <c r="A12" s="157" t="s">
        <v>210</v>
      </c>
      <c r="B12" s="157"/>
      <c r="C12" s="157"/>
      <c r="D12" s="157"/>
      <c r="E12" s="157">
        <v>12.1</v>
      </c>
      <c r="F12" s="155">
        <v>981</v>
      </c>
      <c r="H12" s="155"/>
      <c r="I12" s="155"/>
      <c r="J12" s="155"/>
      <c r="K12" s="155"/>
      <c r="L12" s="155"/>
    </row>
    <row r="13" spans="1:19" x14ac:dyDescent="0.25">
      <c r="A13" s="157" t="s">
        <v>211</v>
      </c>
      <c r="B13" s="157"/>
      <c r="C13" s="157"/>
      <c r="D13" s="157"/>
      <c r="E13" s="161">
        <v>30</v>
      </c>
      <c r="F13" s="155">
        <v>981</v>
      </c>
      <c r="H13" s="155"/>
      <c r="I13" s="155"/>
      <c r="J13" s="155"/>
      <c r="K13" s="155"/>
      <c r="L13" s="155"/>
    </row>
    <row r="14" spans="1:19" x14ac:dyDescent="0.25">
      <c r="A14" s="157" t="s">
        <v>212</v>
      </c>
      <c r="B14" s="157"/>
      <c r="C14" s="157"/>
      <c r="D14" s="157"/>
      <c r="E14" s="161">
        <v>38</v>
      </c>
      <c r="F14" s="155">
        <v>981</v>
      </c>
      <c r="H14" s="155"/>
      <c r="I14" s="155"/>
      <c r="J14" s="155"/>
      <c r="K14" s="155"/>
      <c r="L14" s="155"/>
    </row>
    <row r="15" spans="1:19" x14ac:dyDescent="0.25">
      <c r="A15" s="157" t="s">
        <v>213</v>
      </c>
      <c r="B15" s="157"/>
      <c r="C15" s="157"/>
      <c r="D15" s="157"/>
      <c r="E15" s="157">
        <v>3.5</v>
      </c>
      <c r="F15" s="155">
        <v>981</v>
      </c>
      <c r="H15" s="155"/>
      <c r="I15" s="155"/>
      <c r="J15" s="155"/>
      <c r="K15" s="155"/>
      <c r="L15" s="155"/>
    </row>
    <row r="16" spans="1:19" x14ac:dyDescent="0.25">
      <c r="A16" s="156"/>
      <c r="B16" s="156"/>
      <c r="C16" s="156"/>
      <c r="D16" s="156"/>
      <c r="E16" s="155"/>
      <c r="F16" s="155"/>
      <c r="G16" s="155"/>
      <c r="H16" s="155"/>
      <c r="I16" s="155"/>
      <c r="J16" s="155"/>
      <c r="K16" s="155"/>
      <c r="L16" s="155"/>
    </row>
    <row r="17" spans="1:12" x14ac:dyDescent="0.25">
      <c r="A17" s="119" t="s">
        <v>214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9" spans="1:12" x14ac:dyDescent="0.25">
      <c r="A19" s="104" t="s">
        <v>183</v>
      </c>
      <c r="B19" s="104" t="s">
        <v>195</v>
      </c>
      <c r="C19" s="104" t="s">
        <v>196</v>
      </c>
      <c r="D19" s="104" t="s">
        <v>197</v>
      </c>
      <c r="E19" s="104" t="s">
        <v>198</v>
      </c>
      <c r="F19" s="104" t="s">
        <v>199</v>
      </c>
      <c r="G19" s="104" t="s">
        <v>200</v>
      </c>
      <c r="H19" s="104" t="s">
        <v>201</v>
      </c>
      <c r="I19" s="104" t="s">
        <v>202</v>
      </c>
      <c r="J19" s="104" t="s">
        <v>203</v>
      </c>
      <c r="K19" s="104" t="s">
        <v>215</v>
      </c>
      <c r="L19" s="104" t="s">
        <v>145</v>
      </c>
    </row>
    <row r="20" spans="1:12" x14ac:dyDescent="0.25">
      <c r="A20" s="126" t="s">
        <v>115</v>
      </c>
      <c r="B20" s="103">
        <v>6.1</v>
      </c>
      <c r="C20" s="103">
        <v>72.2</v>
      </c>
      <c r="D20" s="103">
        <v>35.700000000000003</v>
      </c>
      <c r="E20" s="103">
        <v>13.9</v>
      </c>
      <c r="F20" s="103">
        <v>53.9</v>
      </c>
      <c r="G20" s="103">
        <v>22.6</v>
      </c>
      <c r="H20" s="103">
        <v>25.2</v>
      </c>
      <c r="I20" s="103">
        <v>36.5</v>
      </c>
      <c r="J20" s="103">
        <v>29.6</v>
      </c>
      <c r="K20" s="103">
        <v>3.5</v>
      </c>
      <c r="L20" s="103">
        <v>115</v>
      </c>
    </row>
    <row r="21" spans="1:12" x14ac:dyDescent="0.25">
      <c r="A21" s="126" t="s">
        <v>116</v>
      </c>
      <c r="B21" s="103">
        <v>10.1</v>
      </c>
      <c r="C21" s="103">
        <v>68.8</v>
      </c>
      <c r="D21" s="103">
        <v>33</v>
      </c>
      <c r="E21" s="103">
        <v>23.9</v>
      </c>
      <c r="F21" s="103">
        <v>67</v>
      </c>
      <c r="G21" s="103">
        <v>18.3</v>
      </c>
      <c r="H21" s="103">
        <v>10.1</v>
      </c>
      <c r="I21" s="103">
        <v>36.700000000000003</v>
      </c>
      <c r="J21" s="103">
        <v>30.3</v>
      </c>
      <c r="K21" s="103">
        <v>3.7</v>
      </c>
      <c r="L21" s="103">
        <v>109</v>
      </c>
    </row>
    <row r="22" spans="1:12" x14ac:dyDescent="0.25">
      <c r="A22" s="126" t="s">
        <v>117</v>
      </c>
      <c r="B22" s="103">
        <v>6.4</v>
      </c>
      <c r="C22" s="103">
        <v>67.8</v>
      </c>
      <c r="D22" s="103">
        <v>28.1</v>
      </c>
      <c r="E22" s="103">
        <v>18.100000000000001</v>
      </c>
      <c r="F22" s="103">
        <v>68.400000000000006</v>
      </c>
      <c r="G22" s="103">
        <v>28.1</v>
      </c>
      <c r="H22" s="103">
        <v>13.5</v>
      </c>
      <c r="I22" s="103">
        <v>30.4</v>
      </c>
      <c r="J22" s="103">
        <v>38</v>
      </c>
      <c r="K22" s="103">
        <v>0.6</v>
      </c>
      <c r="L22" s="103">
        <v>171</v>
      </c>
    </row>
    <row r="23" spans="1:12" x14ac:dyDescent="0.25">
      <c r="A23" s="126" t="s">
        <v>118</v>
      </c>
      <c r="B23" s="103">
        <v>12.2</v>
      </c>
      <c r="C23" s="103">
        <v>65.400000000000006</v>
      </c>
      <c r="D23" s="103">
        <v>19</v>
      </c>
      <c r="E23" s="103">
        <v>39</v>
      </c>
      <c r="F23" s="103">
        <v>65.900000000000006</v>
      </c>
      <c r="G23" s="103">
        <v>19.5</v>
      </c>
      <c r="H23" s="103">
        <v>11.2</v>
      </c>
      <c r="I23" s="103">
        <v>35.1</v>
      </c>
      <c r="J23" s="103">
        <v>31.2</v>
      </c>
      <c r="K23" s="103">
        <v>3.4</v>
      </c>
      <c r="L23" s="103">
        <v>205</v>
      </c>
    </row>
    <row r="24" spans="1:12" x14ac:dyDescent="0.25">
      <c r="A24" s="126" t="s">
        <v>119</v>
      </c>
      <c r="B24" s="103">
        <v>10.9</v>
      </c>
      <c r="C24" s="103">
        <v>61.7</v>
      </c>
      <c r="D24" s="103">
        <v>17.5</v>
      </c>
      <c r="E24" s="103">
        <v>25.1</v>
      </c>
      <c r="F24" s="103">
        <v>69.900000000000006</v>
      </c>
      <c r="G24" s="103">
        <v>23.5</v>
      </c>
      <c r="H24" s="103">
        <v>10.9</v>
      </c>
      <c r="I24" s="103">
        <v>23.5</v>
      </c>
      <c r="J24" s="103">
        <v>51.9</v>
      </c>
      <c r="K24" s="103">
        <v>3.3</v>
      </c>
      <c r="L24" s="103">
        <v>183</v>
      </c>
    </row>
    <row r="25" spans="1:12" x14ac:dyDescent="0.25">
      <c r="A25" s="126" t="s">
        <v>120</v>
      </c>
      <c r="B25" s="103">
        <v>15.7</v>
      </c>
      <c r="C25" s="103">
        <v>64.099999999999994</v>
      </c>
      <c r="D25" s="103">
        <v>17.2</v>
      </c>
      <c r="E25" s="103">
        <v>42.4</v>
      </c>
      <c r="F25" s="103">
        <v>67.2</v>
      </c>
      <c r="G25" s="103">
        <v>19.2</v>
      </c>
      <c r="H25" s="103">
        <v>6.6</v>
      </c>
      <c r="I25" s="103">
        <v>22.7</v>
      </c>
      <c r="J25" s="103">
        <v>41.4</v>
      </c>
      <c r="K25" s="103">
        <v>6.1</v>
      </c>
      <c r="L25" s="103">
        <v>198</v>
      </c>
    </row>
    <row r="27" spans="1:12" x14ac:dyDescent="0.25">
      <c r="A27" s="195" t="s">
        <v>193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</row>
    <row r="28" spans="1:12" x14ac:dyDescent="0.25">
      <c r="A28" s="103" t="s">
        <v>344</v>
      </c>
      <c r="B28" s="104" t="s">
        <v>195</v>
      </c>
      <c r="C28" s="104" t="s">
        <v>196</v>
      </c>
      <c r="D28" s="104" t="s">
        <v>197</v>
      </c>
      <c r="E28" s="104" t="s">
        <v>198</v>
      </c>
      <c r="F28" s="104" t="s">
        <v>199</v>
      </c>
      <c r="G28" s="104" t="s">
        <v>200</v>
      </c>
      <c r="H28" s="104" t="s">
        <v>201</v>
      </c>
      <c r="I28" s="104" t="s">
        <v>202</v>
      </c>
      <c r="J28" s="104" t="s">
        <v>203</v>
      </c>
      <c r="K28" s="104" t="s">
        <v>424</v>
      </c>
      <c r="L28" s="104" t="s">
        <v>145</v>
      </c>
    </row>
    <row r="29" spans="1:12" x14ac:dyDescent="0.25">
      <c r="A29" s="103" t="s">
        <v>43</v>
      </c>
      <c r="B29" s="103">
        <v>13.3</v>
      </c>
      <c r="C29" s="103">
        <v>80</v>
      </c>
      <c r="D29" s="103">
        <v>33.299999999999997</v>
      </c>
      <c r="E29" s="103">
        <v>6.7</v>
      </c>
      <c r="F29" s="103">
        <v>60</v>
      </c>
      <c r="G29" s="103">
        <v>26.7</v>
      </c>
      <c r="H29" s="103">
        <v>6.7</v>
      </c>
      <c r="I29" s="103">
        <v>53.3</v>
      </c>
      <c r="J29" s="103">
        <v>6.7</v>
      </c>
      <c r="K29" s="103">
        <v>13.3</v>
      </c>
      <c r="L29" s="103">
        <v>15</v>
      </c>
    </row>
    <row r="30" spans="1:12" x14ac:dyDescent="0.25">
      <c r="A30" s="103" t="s">
        <v>44</v>
      </c>
      <c r="B30" s="103">
        <v>21.1</v>
      </c>
      <c r="C30" s="103">
        <v>68.400000000000006</v>
      </c>
      <c r="D30" s="103">
        <v>42.1</v>
      </c>
      <c r="E30" s="103">
        <v>34.200000000000003</v>
      </c>
      <c r="F30" s="103">
        <v>68.400000000000006</v>
      </c>
      <c r="G30" s="103">
        <v>15.8</v>
      </c>
      <c r="H30" s="103">
        <v>2.6</v>
      </c>
      <c r="I30" s="103">
        <v>31.6</v>
      </c>
      <c r="J30" s="103">
        <v>23.7</v>
      </c>
      <c r="K30" s="103">
        <v>7.9</v>
      </c>
      <c r="L30" s="103">
        <v>37</v>
      </c>
    </row>
    <row r="31" spans="1:12" x14ac:dyDescent="0.25">
      <c r="A31" s="103" t="s">
        <v>45</v>
      </c>
      <c r="B31" s="103">
        <v>8.3000000000000007</v>
      </c>
      <c r="C31" s="103">
        <v>70.8</v>
      </c>
      <c r="D31" s="103">
        <v>25</v>
      </c>
      <c r="E31" s="103">
        <v>41.7</v>
      </c>
      <c r="F31" s="103">
        <v>83.3</v>
      </c>
      <c r="G31" s="103">
        <v>12.5</v>
      </c>
      <c r="H31" s="103">
        <v>12.5</v>
      </c>
      <c r="I31" s="103">
        <v>29.2</v>
      </c>
      <c r="J31" s="103">
        <v>8.3000000000000007</v>
      </c>
      <c r="K31" s="103">
        <v>0</v>
      </c>
      <c r="L31" s="103">
        <v>24</v>
      </c>
    </row>
    <row r="32" spans="1:12" x14ac:dyDescent="0.25">
      <c r="A32" s="103" t="s">
        <v>2</v>
      </c>
      <c r="B32" s="103">
        <v>8.3000000000000007</v>
      </c>
      <c r="C32" s="103">
        <v>83.3</v>
      </c>
      <c r="D32" s="103">
        <v>58.3</v>
      </c>
      <c r="E32" s="103">
        <v>8.3000000000000007</v>
      </c>
      <c r="F32" s="103">
        <v>33.299999999999997</v>
      </c>
      <c r="G32" s="103">
        <v>8.3000000000000007</v>
      </c>
      <c r="H32" s="103">
        <v>16.7</v>
      </c>
      <c r="I32" s="103">
        <v>41.7</v>
      </c>
      <c r="J32" s="103">
        <v>25</v>
      </c>
      <c r="K32" s="103">
        <v>8.3000000000000007</v>
      </c>
      <c r="L32" s="103">
        <v>12</v>
      </c>
    </row>
    <row r="33" spans="1:12" x14ac:dyDescent="0.25">
      <c r="A33" s="103" t="s">
        <v>3</v>
      </c>
      <c r="B33" s="103">
        <v>14.1</v>
      </c>
      <c r="C33" s="103">
        <v>70.3</v>
      </c>
      <c r="D33" s="103">
        <v>39.1</v>
      </c>
      <c r="E33" s="103">
        <v>35.9</v>
      </c>
      <c r="F33" s="103">
        <v>70.3</v>
      </c>
      <c r="G33" s="103">
        <v>15.6</v>
      </c>
      <c r="H33" s="103">
        <v>10.9</v>
      </c>
      <c r="I33" s="103">
        <v>29.7</v>
      </c>
      <c r="J33" s="103">
        <v>14.1</v>
      </c>
      <c r="K33" s="103">
        <v>0</v>
      </c>
      <c r="L33" s="103">
        <v>64</v>
      </c>
    </row>
    <row r="34" spans="1:12" x14ac:dyDescent="0.25">
      <c r="A34" s="103" t="s">
        <v>4</v>
      </c>
      <c r="B34" s="103">
        <v>12.5</v>
      </c>
      <c r="C34" s="103">
        <v>56.3</v>
      </c>
      <c r="D34" s="103">
        <v>18.8</v>
      </c>
      <c r="E34" s="103">
        <v>31.3</v>
      </c>
      <c r="F34" s="103">
        <v>87.5</v>
      </c>
      <c r="G34" s="103">
        <v>37.5</v>
      </c>
      <c r="H34" s="103">
        <v>0</v>
      </c>
      <c r="I34" s="103">
        <v>31.3</v>
      </c>
      <c r="J34" s="103">
        <v>25</v>
      </c>
      <c r="K34" s="103">
        <v>0</v>
      </c>
      <c r="L34" s="103">
        <v>16</v>
      </c>
    </row>
    <row r="35" spans="1:12" x14ac:dyDescent="0.25">
      <c r="A35" s="103" t="s">
        <v>47</v>
      </c>
      <c r="B35" s="103">
        <v>10.5</v>
      </c>
      <c r="C35" s="103">
        <v>57.9</v>
      </c>
      <c r="D35" s="103">
        <v>57.9</v>
      </c>
      <c r="E35" s="103">
        <v>10.5</v>
      </c>
      <c r="F35" s="103">
        <v>52.6</v>
      </c>
      <c r="G35" s="103">
        <v>26.3</v>
      </c>
      <c r="H35" s="103">
        <v>0</v>
      </c>
      <c r="I35" s="103">
        <v>31.6</v>
      </c>
      <c r="J35" s="103">
        <v>36.799999999999997</v>
      </c>
      <c r="K35" s="103">
        <v>10.5</v>
      </c>
      <c r="L35" s="103">
        <v>19</v>
      </c>
    </row>
    <row r="36" spans="1:12" x14ac:dyDescent="0.25">
      <c r="A36" s="103" t="s">
        <v>5</v>
      </c>
      <c r="B36" s="103">
        <v>3.4</v>
      </c>
      <c r="C36" s="103">
        <v>72.400000000000006</v>
      </c>
      <c r="D36" s="103">
        <v>10.3</v>
      </c>
      <c r="E36" s="103">
        <v>17.2</v>
      </c>
      <c r="F36" s="103">
        <v>75.900000000000006</v>
      </c>
      <c r="G36" s="103">
        <v>13.8</v>
      </c>
      <c r="H36" s="103">
        <v>13.8</v>
      </c>
      <c r="I36" s="103">
        <v>20.7</v>
      </c>
      <c r="J36" s="103">
        <v>65.5</v>
      </c>
      <c r="K36" s="103">
        <v>6.9</v>
      </c>
      <c r="L36" s="103">
        <v>29</v>
      </c>
    </row>
    <row r="37" spans="1:12" x14ac:dyDescent="0.25">
      <c r="A37" s="103" t="s">
        <v>49</v>
      </c>
      <c r="B37" s="103">
        <v>0</v>
      </c>
      <c r="C37" s="103">
        <v>71.400000000000006</v>
      </c>
      <c r="D37" s="103">
        <v>28.6</v>
      </c>
      <c r="E37" s="103">
        <v>0</v>
      </c>
      <c r="F37" s="103">
        <v>71.400000000000006</v>
      </c>
      <c r="G37" s="103">
        <v>28.6</v>
      </c>
      <c r="H37" s="103">
        <v>7.1</v>
      </c>
      <c r="I37" s="103">
        <v>50</v>
      </c>
      <c r="J37" s="103">
        <v>35.700000000000003</v>
      </c>
      <c r="K37" s="103">
        <v>7.1</v>
      </c>
      <c r="L37" s="103">
        <v>14</v>
      </c>
    </row>
    <row r="38" spans="1:12" x14ac:dyDescent="0.25">
      <c r="A38" s="103" t="s">
        <v>50</v>
      </c>
      <c r="B38" s="103">
        <v>10.5</v>
      </c>
      <c r="C38" s="103">
        <v>57.9</v>
      </c>
      <c r="D38" s="103">
        <v>31.6</v>
      </c>
      <c r="E38" s="103">
        <v>5.3</v>
      </c>
      <c r="F38" s="103">
        <v>52.6</v>
      </c>
      <c r="G38" s="103">
        <v>26.3</v>
      </c>
      <c r="H38" s="103">
        <v>26.3</v>
      </c>
      <c r="I38" s="103">
        <v>31.6</v>
      </c>
      <c r="J38" s="103">
        <v>57.9</v>
      </c>
      <c r="K38" s="103">
        <v>0</v>
      </c>
      <c r="L38" s="103">
        <v>19</v>
      </c>
    </row>
    <row r="39" spans="1:12" x14ac:dyDescent="0.25">
      <c r="A39" s="103" t="s">
        <v>22</v>
      </c>
      <c r="B39" s="103">
        <v>12.5</v>
      </c>
      <c r="C39" s="103">
        <v>75</v>
      </c>
      <c r="D39" s="103">
        <v>37.5</v>
      </c>
      <c r="E39" s="103">
        <v>8.3000000000000007</v>
      </c>
      <c r="F39" s="103">
        <v>75</v>
      </c>
      <c r="G39" s="103">
        <v>12.5</v>
      </c>
      <c r="H39" s="103">
        <v>20.8</v>
      </c>
      <c r="I39" s="103">
        <v>33.299999999999997</v>
      </c>
      <c r="J39" s="103">
        <v>25</v>
      </c>
      <c r="K39" s="103">
        <v>8.3000000000000007</v>
      </c>
      <c r="L39" s="103">
        <v>24</v>
      </c>
    </row>
    <row r="40" spans="1:12" x14ac:dyDescent="0.25">
      <c r="A40" s="103" t="s">
        <v>51</v>
      </c>
      <c r="B40" s="103">
        <v>0</v>
      </c>
      <c r="C40" s="103">
        <v>83.3</v>
      </c>
      <c r="D40" s="103">
        <v>50</v>
      </c>
      <c r="E40" s="103">
        <v>8.3000000000000007</v>
      </c>
      <c r="F40" s="103">
        <v>66.7</v>
      </c>
      <c r="G40" s="103">
        <v>16.7</v>
      </c>
      <c r="H40" s="103">
        <v>16.7</v>
      </c>
      <c r="I40" s="103">
        <v>16.7</v>
      </c>
      <c r="J40" s="103">
        <v>41.7</v>
      </c>
      <c r="K40" s="103">
        <v>0</v>
      </c>
      <c r="L40" s="103">
        <v>12</v>
      </c>
    </row>
    <row r="41" spans="1:12" x14ac:dyDescent="0.25">
      <c r="A41" s="103" t="s">
        <v>71</v>
      </c>
      <c r="B41" s="103">
        <v>10.7</v>
      </c>
      <c r="C41" s="103">
        <v>57.1</v>
      </c>
      <c r="D41" s="103">
        <v>7.1</v>
      </c>
      <c r="E41" s="103">
        <v>32.1</v>
      </c>
      <c r="F41" s="103">
        <v>64.3</v>
      </c>
      <c r="G41" s="103">
        <v>32.1</v>
      </c>
      <c r="H41" s="103">
        <v>10.7</v>
      </c>
      <c r="I41" s="103">
        <v>28.6</v>
      </c>
      <c r="J41" s="103">
        <v>60.7</v>
      </c>
      <c r="K41" s="103">
        <v>7.1</v>
      </c>
      <c r="L41" s="103">
        <v>28</v>
      </c>
    </row>
    <row r="42" spans="1:12" x14ac:dyDescent="0.25">
      <c r="A42" s="103" t="s">
        <v>6</v>
      </c>
      <c r="B42" s="103">
        <v>16.2</v>
      </c>
      <c r="C42" s="103">
        <v>62.2</v>
      </c>
      <c r="D42" s="103">
        <v>18.899999999999999</v>
      </c>
      <c r="E42" s="103">
        <v>21.6</v>
      </c>
      <c r="F42" s="103">
        <v>70.3</v>
      </c>
      <c r="G42" s="103">
        <v>16.2</v>
      </c>
      <c r="H42" s="103">
        <v>21.6</v>
      </c>
      <c r="I42" s="103">
        <v>16.2</v>
      </c>
      <c r="J42" s="103">
        <v>54.1</v>
      </c>
      <c r="K42" s="103">
        <v>2.7</v>
      </c>
      <c r="L42" s="103">
        <v>37</v>
      </c>
    </row>
    <row r="43" spans="1:12" x14ac:dyDescent="0.25">
      <c r="A43" s="103" t="s">
        <v>72</v>
      </c>
      <c r="B43" s="103">
        <v>11.8</v>
      </c>
      <c r="C43" s="103">
        <v>58.8</v>
      </c>
      <c r="D43" s="103">
        <v>14.7</v>
      </c>
      <c r="E43" s="103">
        <v>23.5</v>
      </c>
      <c r="F43" s="103">
        <v>79.400000000000006</v>
      </c>
      <c r="G43" s="103">
        <v>20.6</v>
      </c>
      <c r="H43" s="103">
        <v>11.8</v>
      </c>
      <c r="I43" s="103">
        <v>26.5</v>
      </c>
      <c r="J43" s="103">
        <v>52.9</v>
      </c>
      <c r="K43" s="103">
        <v>0</v>
      </c>
      <c r="L43" s="103">
        <v>34</v>
      </c>
    </row>
    <row r="44" spans="1:12" x14ac:dyDescent="0.25">
      <c r="A44" s="103" t="s">
        <v>7</v>
      </c>
      <c r="B44" s="103">
        <v>4.2</v>
      </c>
      <c r="C44" s="103">
        <v>50</v>
      </c>
      <c r="D44" s="103">
        <v>20.8</v>
      </c>
      <c r="E44" s="103">
        <v>0</v>
      </c>
      <c r="F44" s="103">
        <v>75</v>
      </c>
      <c r="G44" s="103">
        <v>54.2</v>
      </c>
      <c r="H44" s="103">
        <v>4.2</v>
      </c>
      <c r="I44" s="103">
        <v>45.8</v>
      </c>
      <c r="J44" s="103">
        <v>45.8</v>
      </c>
      <c r="K44" s="103">
        <v>0</v>
      </c>
      <c r="L44" s="103">
        <v>24</v>
      </c>
    </row>
    <row r="45" spans="1:12" x14ac:dyDescent="0.25">
      <c r="A45" s="103" t="s">
        <v>8</v>
      </c>
      <c r="B45" s="103">
        <v>8</v>
      </c>
      <c r="C45" s="103">
        <v>56</v>
      </c>
      <c r="D45" s="103">
        <v>20</v>
      </c>
      <c r="E45" s="103">
        <v>16</v>
      </c>
      <c r="F45" s="103">
        <v>64</v>
      </c>
      <c r="G45" s="103">
        <v>40</v>
      </c>
      <c r="H45" s="103">
        <v>12</v>
      </c>
      <c r="I45" s="103">
        <v>32</v>
      </c>
      <c r="J45" s="103">
        <v>48</v>
      </c>
      <c r="K45" s="103">
        <v>8</v>
      </c>
      <c r="L45" s="103">
        <v>25</v>
      </c>
    </row>
    <row r="46" spans="1:12" x14ac:dyDescent="0.25">
      <c r="A46" s="103" t="s">
        <v>9</v>
      </c>
      <c r="B46" s="103">
        <v>8.1</v>
      </c>
      <c r="C46" s="103">
        <v>64.900000000000006</v>
      </c>
      <c r="D46" s="103">
        <v>10.8</v>
      </c>
      <c r="E46" s="103">
        <v>67.599999999999994</v>
      </c>
      <c r="F46" s="103">
        <v>67.599999999999994</v>
      </c>
      <c r="G46" s="103">
        <v>16.2</v>
      </c>
      <c r="H46" s="103">
        <v>16.2</v>
      </c>
      <c r="I46" s="103">
        <v>43.2</v>
      </c>
      <c r="J46" s="103">
        <v>5.4</v>
      </c>
      <c r="K46" s="103">
        <v>0</v>
      </c>
      <c r="L46" s="103">
        <v>37</v>
      </c>
    </row>
    <row r="47" spans="1:12" x14ac:dyDescent="0.25">
      <c r="A47" s="103" t="s">
        <v>55</v>
      </c>
      <c r="B47" s="103">
        <v>7.4</v>
      </c>
      <c r="C47" s="103">
        <v>70.400000000000006</v>
      </c>
      <c r="D47" s="103">
        <v>29.6</v>
      </c>
      <c r="E47" s="103">
        <v>29.6</v>
      </c>
      <c r="F47" s="103">
        <v>63</v>
      </c>
      <c r="G47" s="103">
        <v>33.299999999999997</v>
      </c>
      <c r="H47" s="103">
        <v>18.5</v>
      </c>
      <c r="I47" s="103">
        <v>25.9</v>
      </c>
      <c r="J47" s="103">
        <v>18.5</v>
      </c>
      <c r="K47" s="103">
        <v>0</v>
      </c>
      <c r="L47" s="103">
        <v>27</v>
      </c>
    </row>
    <row r="48" spans="1:12" x14ac:dyDescent="0.25">
      <c r="A48" s="103" t="s">
        <v>73</v>
      </c>
      <c r="B48" s="103">
        <v>12.5</v>
      </c>
      <c r="C48" s="103">
        <v>65.599999999999994</v>
      </c>
      <c r="D48" s="103">
        <v>18.8</v>
      </c>
      <c r="E48" s="103">
        <v>31.3</v>
      </c>
      <c r="F48" s="103">
        <v>68.8</v>
      </c>
      <c r="G48" s="103">
        <v>18.8</v>
      </c>
      <c r="H48" s="103">
        <v>9.4</v>
      </c>
      <c r="I48" s="103">
        <v>21.9</v>
      </c>
      <c r="J48" s="103">
        <v>43.8</v>
      </c>
      <c r="K48" s="103">
        <v>6.3</v>
      </c>
      <c r="L48" s="103">
        <v>32</v>
      </c>
    </row>
    <row r="49" spans="1:12" x14ac:dyDescent="0.25">
      <c r="A49" s="103" t="s">
        <v>10</v>
      </c>
      <c r="B49" s="103">
        <v>11.8</v>
      </c>
      <c r="C49" s="103">
        <v>70.599999999999994</v>
      </c>
      <c r="D49" s="103">
        <v>35.299999999999997</v>
      </c>
      <c r="E49" s="103">
        <v>41.2</v>
      </c>
      <c r="F49" s="103">
        <v>76.5</v>
      </c>
      <c r="G49" s="103">
        <v>17.600000000000001</v>
      </c>
      <c r="H49" s="103">
        <v>0</v>
      </c>
      <c r="I49" s="103">
        <v>5.9</v>
      </c>
      <c r="J49" s="103">
        <v>41.2</v>
      </c>
      <c r="K49" s="103">
        <v>0</v>
      </c>
      <c r="L49" s="103">
        <v>17</v>
      </c>
    </row>
    <row r="50" spans="1:12" x14ac:dyDescent="0.25">
      <c r="A50" s="103" t="s">
        <v>57</v>
      </c>
      <c r="B50" s="103">
        <v>0</v>
      </c>
      <c r="C50" s="103">
        <v>57.1</v>
      </c>
      <c r="D50" s="103">
        <v>7.1</v>
      </c>
      <c r="E50" s="103">
        <v>7.1</v>
      </c>
      <c r="F50" s="103">
        <v>85.7</v>
      </c>
      <c r="G50" s="103">
        <v>28.6</v>
      </c>
      <c r="H50" s="103">
        <v>14.3</v>
      </c>
      <c r="I50" s="103">
        <v>28.6</v>
      </c>
      <c r="J50" s="103">
        <v>71.400000000000006</v>
      </c>
      <c r="K50" s="103">
        <v>0</v>
      </c>
      <c r="L50" s="103">
        <v>14</v>
      </c>
    </row>
    <row r="51" spans="1:12" x14ac:dyDescent="0.25">
      <c r="A51" s="103" t="s">
        <v>11</v>
      </c>
      <c r="B51" s="103">
        <v>11.8</v>
      </c>
      <c r="C51" s="103">
        <v>61.8</v>
      </c>
      <c r="D51" s="103">
        <v>17.600000000000001</v>
      </c>
      <c r="E51" s="103">
        <v>26.5</v>
      </c>
      <c r="F51" s="103">
        <v>64.7</v>
      </c>
      <c r="G51" s="103">
        <v>32.4</v>
      </c>
      <c r="H51" s="103">
        <v>8.8000000000000007</v>
      </c>
      <c r="I51" s="103">
        <v>20.6</v>
      </c>
      <c r="J51" s="103">
        <v>47.1</v>
      </c>
      <c r="K51" s="103">
        <v>8.8000000000000007</v>
      </c>
      <c r="L51" s="103">
        <v>34</v>
      </c>
    </row>
    <row r="52" spans="1:12" x14ac:dyDescent="0.25">
      <c r="A52" s="103" t="s">
        <v>59</v>
      </c>
      <c r="B52" s="103">
        <v>0</v>
      </c>
      <c r="C52" s="103">
        <v>70</v>
      </c>
      <c r="D52" s="103">
        <v>20</v>
      </c>
      <c r="E52" s="103">
        <v>30</v>
      </c>
      <c r="F52" s="103">
        <v>60</v>
      </c>
      <c r="G52" s="103">
        <v>20</v>
      </c>
      <c r="H52" s="103">
        <v>40</v>
      </c>
      <c r="I52" s="103">
        <v>20</v>
      </c>
      <c r="J52" s="103">
        <v>40</v>
      </c>
      <c r="K52" s="103">
        <v>0</v>
      </c>
      <c r="L52" s="103">
        <v>10</v>
      </c>
    </row>
    <row r="53" spans="1:12" x14ac:dyDescent="0.25">
      <c r="A53" s="103" t="s">
        <v>60</v>
      </c>
      <c r="B53" s="103">
        <v>0</v>
      </c>
      <c r="C53" s="103">
        <v>63.6</v>
      </c>
      <c r="D53" s="103">
        <v>36.4</v>
      </c>
      <c r="E53" s="103">
        <v>36.4</v>
      </c>
      <c r="F53" s="103">
        <v>54.5</v>
      </c>
      <c r="G53" s="103">
        <v>27.3</v>
      </c>
      <c r="H53" s="103">
        <v>9.1</v>
      </c>
      <c r="I53" s="103">
        <v>27.3</v>
      </c>
      <c r="J53" s="103">
        <v>45.5</v>
      </c>
      <c r="K53" s="103">
        <v>0</v>
      </c>
      <c r="L53" s="103">
        <v>11</v>
      </c>
    </row>
    <row r="54" spans="1:12" x14ac:dyDescent="0.25">
      <c r="A54" s="103" t="s">
        <v>61</v>
      </c>
      <c r="B54" s="103">
        <v>5.6</v>
      </c>
      <c r="C54" s="103">
        <v>88.9</v>
      </c>
      <c r="D54" s="103">
        <v>33.299999999999997</v>
      </c>
      <c r="E54" s="103">
        <v>38.9</v>
      </c>
      <c r="F54" s="103">
        <v>55.6</v>
      </c>
      <c r="G54" s="103">
        <v>22.2</v>
      </c>
      <c r="H54" s="103">
        <v>16.7</v>
      </c>
      <c r="I54" s="103">
        <v>33.299999999999997</v>
      </c>
      <c r="J54" s="103">
        <v>5.6</v>
      </c>
      <c r="K54" s="103">
        <v>0</v>
      </c>
      <c r="L54" s="103">
        <v>18</v>
      </c>
    </row>
    <row r="55" spans="1:12" x14ac:dyDescent="0.25">
      <c r="A55" s="103" t="s">
        <v>12</v>
      </c>
      <c r="B55" s="103">
        <v>10</v>
      </c>
      <c r="C55" s="103">
        <v>50</v>
      </c>
      <c r="D55" s="103">
        <v>10</v>
      </c>
      <c r="E55" s="103">
        <v>10</v>
      </c>
      <c r="F55" s="103">
        <v>60</v>
      </c>
      <c r="G55" s="103">
        <v>30</v>
      </c>
      <c r="H55" s="103">
        <v>0</v>
      </c>
      <c r="I55" s="103">
        <v>60</v>
      </c>
      <c r="J55" s="103">
        <v>60</v>
      </c>
      <c r="K55" s="103">
        <v>0</v>
      </c>
      <c r="L55" s="103">
        <v>10</v>
      </c>
    </row>
    <row r="56" spans="1:12" x14ac:dyDescent="0.25">
      <c r="A56" s="103" t="s">
        <v>23</v>
      </c>
      <c r="B56" s="103">
        <v>12.9</v>
      </c>
      <c r="C56" s="103">
        <v>67.7</v>
      </c>
      <c r="D56" s="103">
        <v>16.100000000000001</v>
      </c>
      <c r="E56" s="103">
        <v>41.9</v>
      </c>
      <c r="F56" s="103">
        <v>58.1</v>
      </c>
      <c r="G56" s="103">
        <v>16.100000000000001</v>
      </c>
      <c r="H56" s="103">
        <v>12.9</v>
      </c>
      <c r="I56" s="103">
        <v>38.700000000000003</v>
      </c>
      <c r="J56" s="103">
        <v>35.5</v>
      </c>
      <c r="K56" s="103">
        <v>6.5</v>
      </c>
      <c r="L56" s="103">
        <v>31</v>
      </c>
    </row>
    <row r="57" spans="1:12" x14ac:dyDescent="0.25">
      <c r="A57" s="103" t="s">
        <v>63</v>
      </c>
      <c r="B57" s="103">
        <v>14.3</v>
      </c>
      <c r="C57" s="103">
        <v>71.400000000000006</v>
      </c>
      <c r="D57" s="103">
        <v>7.1</v>
      </c>
      <c r="E57" s="103">
        <v>50</v>
      </c>
      <c r="F57" s="103">
        <v>78.599999999999994</v>
      </c>
      <c r="G57" s="103">
        <v>7.1</v>
      </c>
      <c r="H57" s="103">
        <v>0</v>
      </c>
      <c r="I57" s="103">
        <v>21.4</v>
      </c>
      <c r="J57" s="103">
        <v>50</v>
      </c>
      <c r="K57" s="103">
        <v>0</v>
      </c>
      <c r="L57" s="103">
        <v>14</v>
      </c>
    </row>
    <row r="58" spans="1:12" x14ac:dyDescent="0.25">
      <c r="A58" s="103" t="s">
        <v>64</v>
      </c>
      <c r="B58" s="103">
        <v>5</v>
      </c>
      <c r="C58" s="103">
        <v>65</v>
      </c>
      <c r="D58" s="103">
        <v>30</v>
      </c>
      <c r="E58" s="103">
        <v>10</v>
      </c>
      <c r="F58" s="103">
        <v>55</v>
      </c>
      <c r="G58" s="103">
        <v>30</v>
      </c>
      <c r="H58" s="103">
        <v>35</v>
      </c>
      <c r="I58" s="103">
        <v>35</v>
      </c>
      <c r="J58" s="103">
        <v>35</v>
      </c>
      <c r="K58" s="103">
        <v>0</v>
      </c>
      <c r="L58" s="103">
        <v>20</v>
      </c>
    </row>
    <row r="59" spans="1:12" x14ac:dyDescent="0.25">
      <c r="A59" s="103" t="s">
        <v>13</v>
      </c>
      <c r="B59" s="103">
        <v>3.3</v>
      </c>
      <c r="C59" s="103">
        <v>63.3</v>
      </c>
      <c r="D59" s="103">
        <v>16.7</v>
      </c>
      <c r="E59" s="103">
        <v>46.7</v>
      </c>
      <c r="F59" s="103">
        <v>63.3</v>
      </c>
      <c r="G59" s="103">
        <v>10</v>
      </c>
      <c r="H59" s="103">
        <v>13.3</v>
      </c>
      <c r="I59" s="103">
        <v>20</v>
      </c>
      <c r="J59" s="103">
        <v>53.3</v>
      </c>
      <c r="K59" s="103">
        <v>0</v>
      </c>
      <c r="L59" s="103">
        <v>30</v>
      </c>
    </row>
    <row r="60" spans="1:12" x14ac:dyDescent="0.25">
      <c r="A60" s="103" t="s">
        <v>14</v>
      </c>
      <c r="B60" s="103">
        <v>6.9</v>
      </c>
      <c r="C60" s="103">
        <v>86.2</v>
      </c>
      <c r="D60" s="103">
        <v>44.8</v>
      </c>
      <c r="E60" s="103">
        <v>20.7</v>
      </c>
      <c r="F60" s="103">
        <v>41.4</v>
      </c>
      <c r="G60" s="103">
        <v>20.7</v>
      </c>
      <c r="H60" s="103">
        <v>27.6</v>
      </c>
      <c r="I60" s="103">
        <v>37.9</v>
      </c>
      <c r="J60" s="103">
        <v>13.8</v>
      </c>
      <c r="K60" s="103">
        <v>0</v>
      </c>
      <c r="L60" s="103">
        <v>29</v>
      </c>
    </row>
    <row r="61" spans="1:12" x14ac:dyDescent="0.25">
      <c r="A61" s="103" t="s">
        <v>66</v>
      </c>
      <c r="B61" s="103">
        <v>0</v>
      </c>
      <c r="C61" s="103">
        <v>57.1</v>
      </c>
      <c r="D61" s="103">
        <v>35.700000000000003</v>
      </c>
      <c r="E61" s="103">
        <v>7.1</v>
      </c>
      <c r="F61" s="103">
        <v>78.599999999999994</v>
      </c>
      <c r="G61" s="103">
        <v>14.3</v>
      </c>
      <c r="H61" s="103">
        <v>21.4</v>
      </c>
      <c r="I61" s="103">
        <v>35.700000000000003</v>
      </c>
      <c r="J61" s="103">
        <v>42.9</v>
      </c>
      <c r="K61" s="103">
        <v>7.1</v>
      </c>
      <c r="L61" s="103">
        <v>14</v>
      </c>
    </row>
    <row r="62" spans="1:12" x14ac:dyDescent="0.25">
      <c r="A62" s="103" t="s">
        <v>67</v>
      </c>
      <c r="B62" s="103">
        <v>17.600000000000001</v>
      </c>
      <c r="C62" s="103">
        <v>58.8</v>
      </c>
      <c r="D62" s="103">
        <v>0</v>
      </c>
      <c r="E62" s="103">
        <v>58.8</v>
      </c>
      <c r="F62" s="103">
        <v>70.599999999999994</v>
      </c>
      <c r="G62" s="103">
        <v>23.5</v>
      </c>
      <c r="H62" s="103">
        <v>0</v>
      </c>
      <c r="I62" s="103">
        <v>5.9</v>
      </c>
      <c r="J62" s="103">
        <v>58.8</v>
      </c>
      <c r="K62" s="103">
        <v>5.9</v>
      </c>
      <c r="L62" s="103">
        <v>17</v>
      </c>
    </row>
    <row r="63" spans="1:12" x14ac:dyDescent="0.25">
      <c r="A63" s="103" t="s">
        <v>68</v>
      </c>
      <c r="B63" s="103">
        <v>12.9</v>
      </c>
      <c r="C63" s="103">
        <v>58.1</v>
      </c>
      <c r="D63" s="103">
        <v>6.5</v>
      </c>
      <c r="E63" s="103">
        <v>9.6999999999999993</v>
      </c>
      <c r="F63" s="103">
        <v>58.1</v>
      </c>
      <c r="G63" s="103">
        <v>29</v>
      </c>
      <c r="H63" s="103">
        <v>9.6999999999999993</v>
      </c>
      <c r="I63" s="103">
        <v>45.2</v>
      </c>
      <c r="J63" s="103">
        <v>58.1</v>
      </c>
      <c r="K63" s="103">
        <v>9.6999999999999993</v>
      </c>
      <c r="L63" s="103">
        <v>31</v>
      </c>
    </row>
    <row r="64" spans="1:12" x14ac:dyDescent="0.25">
      <c r="A64" s="103" t="s">
        <v>15</v>
      </c>
      <c r="B64" s="103">
        <v>15.8</v>
      </c>
      <c r="C64" s="103">
        <v>57.9</v>
      </c>
      <c r="D64" s="103">
        <v>5.3</v>
      </c>
      <c r="E64" s="103">
        <v>42.1</v>
      </c>
      <c r="F64" s="103">
        <v>63.2</v>
      </c>
      <c r="G64" s="103">
        <v>31.6</v>
      </c>
      <c r="H64" s="103">
        <v>5.3</v>
      </c>
      <c r="I64" s="103">
        <v>10.5</v>
      </c>
      <c r="J64" s="103">
        <v>57.9</v>
      </c>
      <c r="K64" s="103">
        <v>10.5</v>
      </c>
      <c r="L64" s="103">
        <v>19</v>
      </c>
    </row>
    <row r="65" spans="1:12" x14ac:dyDescent="0.25">
      <c r="A65" s="103" t="s">
        <v>16</v>
      </c>
      <c r="B65" s="103">
        <v>11.6</v>
      </c>
      <c r="C65" s="103">
        <v>62.8</v>
      </c>
      <c r="D65" s="103">
        <v>14</v>
      </c>
      <c r="E65" s="103">
        <v>11.6</v>
      </c>
      <c r="F65" s="103">
        <v>72.099999999999994</v>
      </c>
      <c r="G65" s="103">
        <v>27.9</v>
      </c>
      <c r="H65" s="103">
        <v>4.7</v>
      </c>
      <c r="I65" s="103">
        <v>25.6</v>
      </c>
      <c r="J65" s="103">
        <v>67.400000000000006</v>
      </c>
      <c r="K65" s="103">
        <v>2.2999999999999998</v>
      </c>
      <c r="L65" s="103">
        <v>43</v>
      </c>
    </row>
    <row r="66" spans="1:12" x14ac:dyDescent="0.25">
      <c r="A66" s="103" t="s">
        <v>70</v>
      </c>
      <c r="B66" s="103">
        <v>19.7</v>
      </c>
      <c r="C66" s="103">
        <v>62.3</v>
      </c>
      <c r="D66" s="103">
        <v>13.1</v>
      </c>
      <c r="E66" s="103">
        <v>63.9</v>
      </c>
      <c r="F66" s="103">
        <v>63.9</v>
      </c>
      <c r="G66" s="103">
        <v>11.5</v>
      </c>
      <c r="H66" s="103">
        <v>6.6</v>
      </c>
      <c r="I66" s="103">
        <v>27.9</v>
      </c>
      <c r="J66" s="103">
        <v>27.9</v>
      </c>
      <c r="K66" s="103">
        <v>1.6</v>
      </c>
      <c r="L66" s="103">
        <v>61</v>
      </c>
    </row>
    <row r="67" spans="1:12" x14ac:dyDescent="0.25">
      <c r="A67" s="103" t="s">
        <v>17</v>
      </c>
      <c r="B67" s="103">
        <v>0</v>
      </c>
      <c r="C67" s="103">
        <v>85.7</v>
      </c>
      <c r="D67" s="103">
        <v>57.1</v>
      </c>
      <c r="E67" s="103">
        <v>0</v>
      </c>
      <c r="F67" s="103">
        <v>14.3</v>
      </c>
      <c r="G67" s="103">
        <v>28.6</v>
      </c>
      <c r="H67" s="103">
        <v>57.1</v>
      </c>
      <c r="I67" s="103">
        <v>42.9</v>
      </c>
      <c r="J67" s="103">
        <v>14.3</v>
      </c>
      <c r="K67" s="103">
        <v>0</v>
      </c>
      <c r="L67" s="103">
        <v>7</v>
      </c>
    </row>
    <row r="68" spans="1:12" x14ac:dyDescent="0.25">
      <c r="A68" s="103" t="s">
        <v>24</v>
      </c>
      <c r="B68" s="103">
        <v>14.3</v>
      </c>
      <c r="C68" s="103">
        <v>81</v>
      </c>
      <c r="D68" s="103">
        <v>23.8</v>
      </c>
      <c r="E68" s="103">
        <v>33.299999999999997</v>
      </c>
      <c r="F68" s="103">
        <v>61.9</v>
      </c>
      <c r="G68" s="103">
        <v>14.3</v>
      </c>
      <c r="H68" s="103">
        <v>9.5</v>
      </c>
      <c r="I68" s="103">
        <v>47.6</v>
      </c>
      <c r="J68" s="103">
        <v>33.299999999999997</v>
      </c>
      <c r="K68" s="103">
        <v>0</v>
      </c>
      <c r="L68" s="103">
        <v>21</v>
      </c>
    </row>
  </sheetData>
  <mergeCells count="4">
    <mergeCell ref="A1:S1"/>
    <mergeCell ref="A2:S2"/>
    <mergeCell ref="A3:S3"/>
    <mergeCell ref="A27:L2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activeCell="J26" sqref="J26"/>
    </sheetView>
  </sheetViews>
  <sheetFormatPr defaultColWidth="8.78515625" defaultRowHeight="13.5" x14ac:dyDescent="0.25"/>
  <cols>
    <col min="1" max="1" width="9.640625" style="120" customWidth="1"/>
    <col min="2" max="16384" width="8.78515625" style="120"/>
  </cols>
  <sheetData>
    <row r="1" spans="1:20" x14ac:dyDescent="0.25">
      <c r="A1" s="119" t="s">
        <v>246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x14ac:dyDescent="0.25">
      <c r="A2" s="124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x14ac:dyDescent="0.25">
      <c r="A3" s="124" t="s">
        <v>247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3"/>
      <c r="T3" s="123"/>
    </row>
    <row r="4" spans="1:20" x14ac:dyDescent="0.25">
      <c r="A4" s="124" t="s">
        <v>248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20" x14ac:dyDescent="0.25">
      <c r="M5" s="121"/>
      <c r="N5" s="121"/>
    </row>
    <row r="6" spans="1:20" x14ac:dyDescent="0.25">
      <c r="A6" s="119"/>
      <c r="B6" s="119"/>
      <c r="C6" s="119"/>
      <c r="D6" s="119"/>
      <c r="E6" s="119"/>
      <c r="G6" s="121" t="s">
        <v>249</v>
      </c>
      <c r="H6" s="121" t="s">
        <v>145</v>
      </c>
    </row>
    <row r="7" spans="1:20" x14ac:dyDescent="0.25">
      <c r="A7" s="124" t="s">
        <v>258</v>
      </c>
      <c r="B7" s="124"/>
      <c r="C7" s="124"/>
      <c r="D7" s="124"/>
      <c r="E7" s="124"/>
      <c r="F7" s="124"/>
      <c r="G7" s="120">
        <v>82.1</v>
      </c>
      <c r="H7" s="120">
        <v>973</v>
      </c>
    </row>
    <row r="8" spans="1:20" x14ac:dyDescent="0.25">
      <c r="A8" s="124" t="s">
        <v>259</v>
      </c>
      <c r="B8" s="124"/>
      <c r="C8" s="124"/>
      <c r="D8" s="124"/>
      <c r="E8" s="124"/>
      <c r="F8" s="124"/>
      <c r="G8" s="120">
        <v>92</v>
      </c>
      <c r="H8" s="120">
        <v>974</v>
      </c>
    </row>
    <row r="9" spans="1:20" x14ac:dyDescent="0.25">
      <c r="A9" s="124" t="s">
        <v>260</v>
      </c>
      <c r="B9" s="124"/>
      <c r="C9" s="124"/>
      <c r="D9" s="124"/>
      <c r="E9" s="124"/>
      <c r="F9" s="124"/>
      <c r="G9" s="120">
        <v>65.599999999999994</v>
      </c>
      <c r="H9" s="120">
        <v>968</v>
      </c>
    </row>
    <row r="10" spans="1:20" x14ac:dyDescent="0.25">
      <c r="A10" s="125" t="s">
        <v>261</v>
      </c>
      <c r="B10" s="125"/>
      <c r="C10" s="125"/>
      <c r="D10" s="125"/>
      <c r="E10" s="125"/>
      <c r="F10" s="125"/>
      <c r="G10" s="120">
        <v>24.1</v>
      </c>
      <c r="H10" s="120">
        <v>972</v>
      </c>
    </row>
    <row r="11" spans="1:20" x14ac:dyDescent="0.25">
      <c r="A11" s="125" t="s">
        <v>262</v>
      </c>
      <c r="B11" s="125"/>
      <c r="C11" s="125"/>
      <c r="D11" s="125"/>
      <c r="E11" s="125"/>
      <c r="F11" s="125"/>
      <c r="G11" s="120">
        <v>48.9</v>
      </c>
      <c r="H11" s="120">
        <v>970</v>
      </c>
    </row>
    <row r="12" spans="1:20" x14ac:dyDescent="0.25">
      <c r="A12" s="125" t="s">
        <v>263</v>
      </c>
      <c r="B12" s="125"/>
      <c r="C12" s="125"/>
      <c r="D12" s="125"/>
      <c r="E12" s="125"/>
      <c r="F12" s="125"/>
      <c r="G12" s="120">
        <v>37.6</v>
      </c>
      <c r="H12" s="120">
        <v>974</v>
      </c>
    </row>
    <row r="13" spans="1:20" x14ac:dyDescent="0.25">
      <c r="A13" s="125" t="s">
        <v>264</v>
      </c>
      <c r="B13" s="125"/>
      <c r="C13" s="125"/>
      <c r="D13" s="125"/>
      <c r="E13" s="125"/>
      <c r="F13" s="125"/>
      <c r="G13" s="120">
        <v>79</v>
      </c>
      <c r="H13" s="120">
        <v>976</v>
      </c>
    </row>
    <row r="14" spans="1:20" x14ac:dyDescent="0.25">
      <c r="A14" s="125" t="s">
        <v>265</v>
      </c>
      <c r="B14" s="125"/>
      <c r="C14" s="125"/>
      <c r="D14" s="125"/>
      <c r="E14" s="125"/>
      <c r="F14" s="125"/>
      <c r="G14" s="120">
        <v>71</v>
      </c>
      <c r="H14" s="120">
        <v>968</v>
      </c>
    </row>
    <row r="16" spans="1:20" x14ac:dyDescent="0.25">
      <c r="A16" s="120" t="s">
        <v>344</v>
      </c>
      <c r="B16" s="121" t="s">
        <v>250</v>
      </c>
      <c r="C16" s="121" t="s">
        <v>251</v>
      </c>
      <c r="D16" s="121" t="s">
        <v>252</v>
      </c>
      <c r="E16" s="121" t="s">
        <v>253</v>
      </c>
      <c r="F16" s="121" t="s">
        <v>254</v>
      </c>
      <c r="G16" s="121" t="s">
        <v>255</v>
      </c>
      <c r="H16" s="121" t="s">
        <v>256</v>
      </c>
      <c r="I16" s="121" t="s">
        <v>257</v>
      </c>
      <c r="J16" s="121" t="s">
        <v>145</v>
      </c>
    </row>
    <row r="17" spans="1:10" x14ac:dyDescent="0.25">
      <c r="A17" s="126" t="s">
        <v>115</v>
      </c>
      <c r="B17" s="120">
        <v>83.2</v>
      </c>
      <c r="C17" s="120">
        <v>87.7</v>
      </c>
      <c r="D17" s="120">
        <v>69.900000000000006</v>
      </c>
      <c r="E17" s="120">
        <v>18.399999999999999</v>
      </c>
      <c r="F17" s="120">
        <v>42.1</v>
      </c>
      <c r="G17" s="120">
        <v>33</v>
      </c>
      <c r="H17" s="120">
        <v>80</v>
      </c>
      <c r="I17" s="120">
        <v>73</v>
      </c>
      <c r="J17" s="120">
        <v>115</v>
      </c>
    </row>
    <row r="18" spans="1:10" x14ac:dyDescent="0.25">
      <c r="A18" s="126" t="s">
        <v>116</v>
      </c>
      <c r="B18" s="120">
        <v>73.099999999999994</v>
      </c>
      <c r="C18" s="120">
        <v>89</v>
      </c>
      <c r="D18" s="120">
        <v>64.5</v>
      </c>
      <c r="E18" s="120">
        <v>8.3000000000000007</v>
      </c>
      <c r="F18" s="120">
        <v>43.5</v>
      </c>
      <c r="G18" s="120">
        <v>33.299999999999997</v>
      </c>
      <c r="H18" s="120">
        <v>74.3</v>
      </c>
      <c r="I18" s="120">
        <v>76.900000000000006</v>
      </c>
      <c r="J18" s="120">
        <v>109</v>
      </c>
    </row>
    <row r="19" spans="1:10" x14ac:dyDescent="0.25">
      <c r="A19" s="126" t="s">
        <v>117</v>
      </c>
      <c r="B19" s="120">
        <v>73.099999999999994</v>
      </c>
      <c r="C19" s="120">
        <v>90.6</v>
      </c>
      <c r="D19" s="120">
        <v>69.2</v>
      </c>
      <c r="E19" s="120">
        <v>10</v>
      </c>
      <c r="F19" s="120">
        <v>47.9</v>
      </c>
      <c r="G19" s="120">
        <v>40.6</v>
      </c>
      <c r="H19" s="120">
        <v>72.5</v>
      </c>
      <c r="I19" s="120">
        <v>63.9</v>
      </c>
      <c r="J19" s="120">
        <v>171</v>
      </c>
    </row>
    <row r="20" spans="1:10" x14ac:dyDescent="0.25">
      <c r="A20" s="126" t="s">
        <v>118</v>
      </c>
      <c r="B20" s="120">
        <v>82.8</v>
      </c>
      <c r="C20" s="120">
        <v>90.7</v>
      </c>
      <c r="D20" s="120">
        <v>57.4</v>
      </c>
      <c r="E20" s="120">
        <v>14.2</v>
      </c>
      <c r="F20" s="120">
        <v>43.3</v>
      </c>
      <c r="G20" s="120">
        <v>33.5</v>
      </c>
      <c r="H20" s="120">
        <v>78.900000000000006</v>
      </c>
      <c r="I20" s="120">
        <v>74.8</v>
      </c>
      <c r="J20" s="120">
        <v>205</v>
      </c>
    </row>
    <row r="21" spans="1:10" x14ac:dyDescent="0.25">
      <c r="A21" s="126" t="s">
        <v>119</v>
      </c>
      <c r="B21" s="120">
        <v>85.6</v>
      </c>
      <c r="C21" s="120">
        <v>97.8</v>
      </c>
      <c r="D21" s="120">
        <v>63.9</v>
      </c>
      <c r="E21" s="120">
        <v>29.1</v>
      </c>
      <c r="F21" s="120">
        <v>49.2</v>
      </c>
      <c r="G21" s="120">
        <v>37.200000000000003</v>
      </c>
      <c r="H21" s="120">
        <v>78.3</v>
      </c>
      <c r="I21" s="120">
        <v>64</v>
      </c>
      <c r="J21" s="120">
        <v>183</v>
      </c>
    </row>
    <row r="22" spans="1:10" x14ac:dyDescent="0.25">
      <c r="A22" s="126" t="s">
        <v>120</v>
      </c>
      <c r="B22" s="120">
        <v>90.4</v>
      </c>
      <c r="C22" s="120">
        <v>93.4</v>
      </c>
      <c r="D22" s="120">
        <v>70.599999999999994</v>
      </c>
      <c r="E22" s="120">
        <v>53.8</v>
      </c>
      <c r="F22" s="120">
        <v>61.9</v>
      </c>
      <c r="G22" s="120">
        <v>44.4</v>
      </c>
      <c r="H22" s="120">
        <v>87.3</v>
      </c>
      <c r="I22" s="120">
        <v>75</v>
      </c>
      <c r="J22" s="120">
        <v>198</v>
      </c>
    </row>
    <row r="24" spans="1:10" x14ac:dyDescent="0.25">
      <c r="A24" s="121" t="s">
        <v>344</v>
      </c>
      <c r="B24" s="121" t="s">
        <v>250</v>
      </c>
      <c r="C24" s="121" t="s">
        <v>251</v>
      </c>
      <c r="D24" s="121" t="s">
        <v>252</v>
      </c>
      <c r="E24" s="121" t="s">
        <v>253</v>
      </c>
      <c r="F24" s="121" t="s">
        <v>254</v>
      </c>
      <c r="G24" s="121" t="s">
        <v>255</v>
      </c>
      <c r="H24" s="121" t="s">
        <v>256</v>
      </c>
      <c r="I24" s="121" t="s">
        <v>257</v>
      </c>
      <c r="J24" s="121" t="s">
        <v>145</v>
      </c>
    </row>
    <row r="25" spans="1:10" x14ac:dyDescent="0.25">
      <c r="A25" s="120" t="s">
        <v>43</v>
      </c>
      <c r="B25" s="120">
        <v>73.3</v>
      </c>
      <c r="C25" s="120">
        <v>78.599999999999994</v>
      </c>
      <c r="D25" s="120">
        <v>50</v>
      </c>
      <c r="E25" s="120">
        <v>6.7</v>
      </c>
      <c r="F25" s="120">
        <v>42.9</v>
      </c>
      <c r="G25" s="120">
        <v>26.7</v>
      </c>
      <c r="H25" s="120">
        <v>60</v>
      </c>
      <c r="I25" s="120">
        <v>60</v>
      </c>
      <c r="J25" s="120">
        <v>15</v>
      </c>
    </row>
    <row r="26" spans="1:10" x14ac:dyDescent="0.25">
      <c r="A26" s="120" t="s">
        <v>44</v>
      </c>
      <c r="B26" s="120">
        <v>89.5</v>
      </c>
      <c r="C26" s="120">
        <v>94.7</v>
      </c>
      <c r="D26" s="120">
        <v>78.900000000000006</v>
      </c>
      <c r="E26" s="120">
        <v>76.3</v>
      </c>
      <c r="F26" s="120">
        <v>68.400000000000006</v>
      </c>
      <c r="G26" s="120">
        <v>47.4</v>
      </c>
      <c r="H26" s="120">
        <v>86.8</v>
      </c>
      <c r="I26" s="120">
        <v>68.400000000000006</v>
      </c>
      <c r="J26" s="120">
        <v>37</v>
      </c>
    </row>
    <row r="27" spans="1:10" x14ac:dyDescent="0.25">
      <c r="A27" s="120" t="s">
        <v>45</v>
      </c>
      <c r="B27" s="120">
        <v>62.5</v>
      </c>
      <c r="C27" s="120">
        <v>79.2</v>
      </c>
      <c r="D27" s="120">
        <v>52.2</v>
      </c>
      <c r="E27" s="120">
        <v>0</v>
      </c>
      <c r="F27" s="120">
        <v>50</v>
      </c>
      <c r="G27" s="120">
        <v>37.5</v>
      </c>
      <c r="H27" s="120">
        <v>62.5</v>
      </c>
      <c r="I27" s="120">
        <v>79.2</v>
      </c>
      <c r="J27" s="120">
        <v>24</v>
      </c>
    </row>
    <row r="28" spans="1:10" x14ac:dyDescent="0.25">
      <c r="A28" s="120" t="s">
        <v>2</v>
      </c>
      <c r="B28" s="120">
        <v>75</v>
      </c>
      <c r="C28" s="120">
        <v>66.7</v>
      </c>
      <c r="D28" s="120">
        <v>66.7</v>
      </c>
      <c r="E28" s="120">
        <v>8.3000000000000007</v>
      </c>
      <c r="F28" s="120">
        <v>25</v>
      </c>
      <c r="G28" s="120">
        <v>16.7</v>
      </c>
      <c r="H28" s="120">
        <v>41.7</v>
      </c>
      <c r="I28" s="120">
        <v>33.299999999999997</v>
      </c>
      <c r="J28" s="120">
        <v>12</v>
      </c>
    </row>
    <row r="29" spans="1:10" x14ac:dyDescent="0.25">
      <c r="A29" s="120" t="s">
        <v>3</v>
      </c>
      <c r="B29" s="120">
        <v>89.1</v>
      </c>
      <c r="C29" s="120">
        <v>89.1</v>
      </c>
      <c r="D29" s="120">
        <v>63.5</v>
      </c>
      <c r="E29" s="120">
        <v>12.5</v>
      </c>
      <c r="F29" s="120">
        <v>34.9</v>
      </c>
      <c r="G29" s="120">
        <v>42.9</v>
      </c>
      <c r="H29" s="120">
        <v>78.099999999999994</v>
      </c>
      <c r="I29" s="120">
        <v>69.8</v>
      </c>
      <c r="J29" s="120">
        <v>64</v>
      </c>
    </row>
    <row r="30" spans="1:10" x14ac:dyDescent="0.25">
      <c r="A30" s="120" t="s">
        <v>4</v>
      </c>
      <c r="B30" s="120">
        <v>93.8</v>
      </c>
      <c r="C30" s="120">
        <v>100</v>
      </c>
      <c r="D30" s="120">
        <v>87.5</v>
      </c>
      <c r="E30" s="120">
        <v>25</v>
      </c>
      <c r="F30" s="120">
        <v>46.7</v>
      </c>
      <c r="G30" s="120">
        <v>37.5</v>
      </c>
      <c r="H30" s="120">
        <v>81.3</v>
      </c>
      <c r="I30" s="120">
        <v>66.7</v>
      </c>
      <c r="J30" s="120">
        <v>16</v>
      </c>
    </row>
    <row r="31" spans="1:10" x14ac:dyDescent="0.25">
      <c r="A31" s="120" t="s">
        <v>47</v>
      </c>
      <c r="B31" s="120">
        <v>66.7</v>
      </c>
      <c r="C31" s="120">
        <v>94.7</v>
      </c>
      <c r="D31" s="120">
        <v>72.2</v>
      </c>
      <c r="E31" s="120">
        <v>5.6</v>
      </c>
      <c r="F31" s="120">
        <v>38.9</v>
      </c>
      <c r="G31" s="120">
        <v>38.9</v>
      </c>
      <c r="H31" s="120">
        <v>68.400000000000006</v>
      </c>
      <c r="I31" s="120">
        <v>83.3</v>
      </c>
      <c r="J31" s="120">
        <v>19</v>
      </c>
    </row>
    <row r="32" spans="1:10" x14ac:dyDescent="0.25">
      <c r="A32" s="120" t="s">
        <v>5</v>
      </c>
      <c r="B32" s="120">
        <v>93.1</v>
      </c>
      <c r="C32" s="120">
        <v>96.6</v>
      </c>
      <c r="D32" s="120">
        <v>51.7</v>
      </c>
      <c r="E32" s="120">
        <v>20.7</v>
      </c>
      <c r="F32" s="120">
        <v>53.6</v>
      </c>
      <c r="G32" s="120">
        <v>34.5</v>
      </c>
      <c r="H32" s="120">
        <v>72.400000000000006</v>
      </c>
      <c r="I32" s="120">
        <v>69</v>
      </c>
      <c r="J32" s="120">
        <v>29</v>
      </c>
    </row>
    <row r="33" spans="1:10" x14ac:dyDescent="0.25">
      <c r="A33" s="120" t="s">
        <v>49</v>
      </c>
      <c r="B33" s="120">
        <v>92.9</v>
      </c>
      <c r="C33" s="120">
        <v>100</v>
      </c>
      <c r="D33" s="120">
        <v>64.3</v>
      </c>
      <c r="E33" s="120">
        <v>14.3</v>
      </c>
      <c r="F33" s="120">
        <v>21.4</v>
      </c>
      <c r="G33" s="120">
        <v>28.6</v>
      </c>
      <c r="H33" s="120">
        <v>50</v>
      </c>
      <c r="I33" s="120">
        <v>71.400000000000006</v>
      </c>
      <c r="J33" s="120">
        <v>14</v>
      </c>
    </row>
    <row r="34" spans="1:10" x14ac:dyDescent="0.25">
      <c r="A34" s="120" t="s">
        <v>50</v>
      </c>
      <c r="B34" s="120">
        <v>83.3</v>
      </c>
      <c r="C34" s="120">
        <v>94.7</v>
      </c>
      <c r="D34" s="120">
        <v>78.900000000000006</v>
      </c>
      <c r="E34" s="120">
        <v>10.5</v>
      </c>
      <c r="F34" s="120">
        <v>68.400000000000006</v>
      </c>
      <c r="G34" s="120">
        <v>31.6</v>
      </c>
      <c r="H34" s="120">
        <v>94.7</v>
      </c>
      <c r="I34" s="120">
        <v>73.7</v>
      </c>
      <c r="J34" s="120">
        <v>19</v>
      </c>
    </row>
    <row r="35" spans="1:10" x14ac:dyDescent="0.25">
      <c r="A35" s="120" t="s">
        <v>22</v>
      </c>
      <c r="B35" s="120">
        <v>79.2</v>
      </c>
      <c r="C35" s="120">
        <v>87.5</v>
      </c>
      <c r="D35" s="120">
        <v>70.8</v>
      </c>
      <c r="E35" s="120">
        <v>0</v>
      </c>
      <c r="F35" s="120">
        <v>45.8</v>
      </c>
      <c r="G35" s="120">
        <v>33.299999999999997</v>
      </c>
      <c r="H35" s="120">
        <v>87.5</v>
      </c>
      <c r="I35" s="120">
        <v>70.8</v>
      </c>
      <c r="J35" s="120">
        <v>24</v>
      </c>
    </row>
    <row r="36" spans="1:10" x14ac:dyDescent="0.25">
      <c r="A36" s="120" t="s">
        <v>51</v>
      </c>
      <c r="B36" s="120">
        <v>75</v>
      </c>
      <c r="C36" s="120">
        <v>100</v>
      </c>
      <c r="D36" s="120">
        <v>83.3</v>
      </c>
      <c r="E36" s="120">
        <v>33.299999999999997</v>
      </c>
      <c r="F36" s="120">
        <v>27.3</v>
      </c>
      <c r="G36" s="120">
        <v>33.299999999999997</v>
      </c>
      <c r="H36" s="120">
        <v>66.7</v>
      </c>
      <c r="I36" s="120">
        <v>66.7</v>
      </c>
      <c r="J36" s="120">
        <v>12</v>
      </c>
    </row>
    <row r="37" spans="1:10" x14ac:dyDescent="0.25">
      <c r="A37" s="120" t="s">
        <v>71</v>
      </c>
      <c r="B37" s="120">
        <v>82.1</v>
      </c>
      <c r="C37" s="120">
        <v>85.7</v>
      </c>
      <c r="D37" s="120">
        <v>46.4</v>
      </c>
      <c r="E37" s="120">
        <v>14.3</v>
      </c>
      <c r="F37" s="120">
        <v>46.4</v>
      </c>
      <c r="G37" s="120">
        <v>42.9</v>
      </c>
      <c r="H37" s="120">
        <v>78.599999999999994</v>
      </c>
      <c r="I37" s="120">
        <v>82.1</v>
      </c>
      <c r="J37" s="120">
        <v>28</v>
      </c>
    </row>
    <row r="38" spans="1:10" x14ac:dyDescent="0.25">
      <c r="A38" s="120" t="s">
        <v>6</v>
      </c>
      <c r="B38" s="120">
        <v>86.1</v>
      </c>
      <c r="C38" s="120">
        <v>100</v>
      </c>
      <c r="D38" s="120">
        <v>55.6</v>
      </c>
      <c r="E38" s="120">
        <v>38.9</v>
      </c>
      <c r="F38" s="120">
        <v>44.4</v>
      </c>
      <c r="G38" s="120">
        <v>27.8</v>
      </c>
      <c r="H38" s="120">
        <v>75</v>
      </c>
      <c r="I38" s="120">
        <v>77.8</v>
      </c>
      <c r="J38" s="120">
        <v>37</v>
      </c>
    </row>
    <row r="39" spans="1:10" x14ac:dyDescent="0.25">
      <c r="A39" s="120" t="s">
        <v>72</v>
      </c>
      <c r="B39" s="120">
        <v>67.599999999999994</v>
      </c>
      <c r="C39" s="120">
        <v>82.4</v>
      </c>
      <c r="D39" s="120">
        <v>79.400000000000006</v>
      </c>
      <c r="E39" s="120">
        <v>5.9</v>
      </c>
      <c r="F39" s="120">
        <v>41.2</v>
      </c>
      <c r="G39" s="120">
        <v>47.1</v>
      </c>
      <c r="H39" s="120">
        <v>76.5</v>
      </c>
      <c r="I39" s="120">
        <v>58.8</v>
      </c>
      <c r="J39" s="120">
        <v>34</v>
      </c>
    </row>
    <row r="40" spans="1:10" x14ac:dyDescent="0.25">
      <c r="A40" s="120" t="s">
        <v>7</v>
      </c>
      <c r="B40" s="120">
        <v>79.2</v>
      </c>
      <c r="C40" s="120">
        <v>95.8</v>
      </c>
      <c r="D40" s="120">
        <v>69.599999999999994</v>
      </c>
      <c r="E40" s="120">
        <v>8.6999999999999993</v>
      </c>
      <c r="F40" s="120">
        <v>65.2</v>
      </c>
      <c r="G40" s="120">
        <v>34.799999999999997</v>
      </c>
      <c r="H40" s="120">
        <v>79.2</v>
      </c>
      <c r="I40" s="120">
        <v>59.1</v>
      </c>
      <c r="J40" s="120">
        <v>24</v>
      </c>
    </row>
    <row r="41" spans="1:10" x14ac:dyDescent="0.25">
      <c r="A41" s="120" t="s">
        <v>8</v>
      </c>
      <c r="B41" s="120">
        <v>84</v>
      </c>
      <c r="C41" s="120">
        <v>96</v>
      </c>
      <c r="D41" s="120">
        <v>68</v>
      </c>
      <c r="E41" s="120">
        <v>24</v>
      </c>
      <c r="F41" s="120">
        <v>56</v>
      </c>
      <c r="G41" s="120">
        <v>56</v>
      </c>
      <c r="H41" s="120">
        <v>72</v>
      </c>
      <c r="I41" s="120">
        <v>58.3</v>
      </c>
      <c r="J41" s="120">
        <v>25</v>
      </c>
    </row>
    <row r="42" spans="1:10" x14ac:dyDescent="0.25">
      <c r="A42" s="120" t="s">
        <v>9</v>
      </c>
      <c r="B42" s="120">
        <v>83.8</v>
      </c>
      <c r="C42" s="120">
        <v>89.2</v>
      </c>
      <c r="D42" s="120">
        <v>47.2</v>
      </c>
      <c r="E42" s="120">
        <v>8.1</v>
      </c>
      <c r="F42" s="120">
        <v>62.2</v>
      </c>
      <c r="G42" s="120">
        <v>35.1</v>
      </c>
      <c r="H42" s="120">
        <v>81.099999999999994</v>
      </c>
      <c r="I42" s="120">
        <v>81.099999999999994</v>
      </c>
      <c r="J42" s="120">
        <v>37</v>
      </c>
    </row>
    <row r="43" spans="1:10" x14ac:dyDescent="0.25">
      <c r="A43" s="120" t="s">
        <v>55</v>
      </c>
      <c r="B43" s="120">
        <v>77.8</v>
      </c>
      <c r="C43" s="120">
        <v>92.6</v>
      </c>
      <c r="D43" s="120">
        <v>70.400000000000006</v>
      </c>
      <c r="E43" s="120">
        <v>3.7</v>
      </c>
      <c r="F43" s="120">
        <v>44.4</v>
      </c>
      <c r="G43" s="120">
        <v>48.1</v>
      </c>
      <c r="H43" s="120">
        <v>63</v>
      </c>
      <c r="I43" s="120">
        <v>77.8</v>
      </c>
      <c r="J43" s="120">
        <v>27</v>
      </c>
    </row>
    <row r="44" spans="1:10" x14ac:dyDescent="0.25">
      <c r="A44" s="120" t="s">
        <v>73</v>
      </c>
      <c r="B44" s="120">
        <v>81.3</v>
      </c>
      <c r="C44" s="120">
        <v>96.9</v>
      </c>
      <c r="D44" s="120">
        <v>68.8</v>
      </c>
      <c r="E44" s="120">
        <v>15.6</v>
      </c>
      <c r="F44" s="120">
        <v>50</v>
      </c>
      <c r="G44" s="120">
        <v>31.3</v>
      </c>
      <c r="H44" s="120">
        <v>81.3</v>
      </c>
      <c r="I44" s="120">
        <v>62.5</v>
      </c>
      <c r="J44" s="120">
        <v>32</v>
      </c>
    </row>
    <row r="45" spans="1:10" x14ac:dyDescent="0.25">
      <c r="A45" s="120" t="s">
        <v>10</v>
      </c>
      <c r="B45" s="120">
        <v>76.5</v>
      </c>
      <c r="C45" s="120">
        <v>94.1</v>
      </c>
      <c r="D45" s="120">
        <v>50</v>
      </c>
      <c r="E45" s="120">
        <v>11.8</v>
      </c>
      <c r="F45" s="120">
        <v>41.2</v>
      </c>
      <c r="G45" s="120">
        <v>29.4</v>
      </c>
      <c r="H45" s="120">
        <v>88.2</v>
      </c>
      <c r="I45" s="120">
        <v>70.599999999999994</v>
      </c>
      <c r="J45" s="120">
        <v>17</v>
      </c>
    </row>
    <row r="46" spans="1:10" x14ac:dyDescent="0.25">
      <c r="A46" s="120" t="s">
        <v>57</v>
      </c>
      <c r="B46" s="120">
        <v>71.400000000000006</v>
      </c>
      <c r="C46" s="120">
        <v>92.9</v>
      </c>
      <c r="D46" s="120">
        <v>64.3</v>
      </c>
      <c r="E46" s="120">
        <v>0</v>
      </c>
      <c r="F46" s="120">
        <v>42.9</v>
      </c>
      <c r="G46" s="120">
        <v>42.9</v>
      </c>
      <c r="H46" s="120">
        <v>64.3</v>
      </c>
      <c r="I46" s="120">
        <v>57.1</v>
      </c>
      <c r="J46" s="120">
        <v>14</v>
      </c>
    </row>
    <row r="47" spans="1:10" x14ac:dyDescent="0.25">
      <c r="A47" s="120" t="s">
        <v>11</v>
      </c>
      <c r="B47" s="120">
        <v>87.9</v>
      </c>
      <c r="C47" s="120">
        <v>87.9</v>
      </c>
      <c r="D47" s="120">
        <v>54.5</v>
      </c>
      <c r="E47" s="120">
        <v>21.2</v>
      </c>
      <c r="F47" s="120">
        <v>55.9</v>
      </c>
      <c r="G47" s="120">
        <v>38.200000000000003</v>
      </c>
      <c r="H47" s="120">
        <v>88.2</v>
      </c>
      <c r="I47" s="120">
        <v>66.7</v>
      </c>
      <c r="J47" s="120">
        <v>34</v>
      </c>
    </row>
    <row r="48" spans="1:10" x14ac:dyDescent="0.25">
      <c r="A48" s="120" t="s">
        <v>59</v>
      </c>
      <c r="B48" s="120">
        <v>88.9</v>
      </c>
      <c r="C48" s="120">
        <v>100</v>
      </c>
      <c r="D48" s="120">
        <v>80</v>
      </c>
      <c r="E48" s="120">
        <v>20</v>
      </c>
      <c r="F48" s="120">
        <v>40</v>
      </c>
      <c r="G48" s="120">
        <v>60</v>
      </c>
      <c r="H48" s="120">
        <v>80</v>
      </c>
      <c r="I48" s="120">
        <v>80</v>
      </c>
      <c r="J48" s="120">
        <v>10</v>
      </c>
    </row>
    <row r="49" spans="1:10" x14ac:dyDescent="0.25">
      <c r="A49" s="120" t="s">
        <v>60</v>
      </c>
      <c r="B49" s="120">
        <v>90.9</v>
      </c>
      <c r="C49" s="120">
        <v>100</v>
      </c>
      <c r="D49" s="120">
        <v>81.8</v>
      </c>
      <c r="E49" s="120">
        <v>0</v>
      </c>
      <c r="F49" s="120">
        <v>45.5</v>
      </c>
      <c r="G49" s="120">
        <v>54.5</v>
      </c>
      <c r="H49" s="120">
        <v>81.8</v>
      </c>
      <c r="I49" s="120">
        <v>63.6</v>
      </c>
      <c r="J49" s="120">
        <v>11</v>
      </c>
    </row>
    <row r="50" spans="1:10" x14ac:dyDescent="0.25">
      <c r="A50" s="120" t="s">
        <v>61</v>
      </c>
      <c r="B50" s="120">
        <v>100</v>
      </c>
      <c r="C50" s="120">
        <v>77.8</v>
      </c>
      <c r="D50" s="120">
        <v>76.5</v>
      </c>
      <c r="E50" s="120">
        <v>16.7</v>
      </c>
      <c r="F50" s="120">
        <v>44.4</v>
      </c>
      <c r="G50" s="120">
        <v>44.4</v>
      </c>
      <c r="H50" s="120">
        <v>88.9</v>
      </c>
      <c r="I50" s="120">
        <v>94.4</v>
      </c>
      <c r="J50" s="120">
        <v>18</v>
      </c>
    </row>
    <row r="51" spans="1:10" x14ac:dyDescent="0.25">
      <c r="A51" s="120" t="s">
        <v>12</v>
      </c>
      <c r="B51" s="120">
        <v>90</v>
      </c>
      <c r="C51" s="120">
        <v>100</v>
      </c>
      <c r="D51" s="120">
        <v>90</v>
      </c>
      <c r="E51" s="120">
        <v>20</v>
      </c>
      <c r="F51" s="120">
        <v>40</v>
      </c>
      <c r="G51" s="120">
        <v>30</v>
      </c>
      <c r="H51" s="120">
        <v>60</v>
      </c>
      <c r="I51" s="120">
        <v>60</v>
      </c>
      <c r="J51" s="120">
        <v>10</v>
      </c>
    </row>
    <row r="52" spans="1:10" x14ac:dyDescent="0.25">
      <c r="A52" s="120" t="s">
        <v>23</v>
      </c>
      <c r="B52" s="120">
        <v>76.7</v>
      </c>
      <c r="C52" s="120">
        <v>93.3</v>
      </c>
      <c r="D52" s="120">
        <v>56.7</v>
      </c>
      <c r="E52" s="120">
        <v>13.3</v>
      </c>
      <c r="F52" s="120">
        <v>40</v>
      </c>
      <c r="G52" s="120">
        <v>26.7</v>
      </c>
      <c r="H52" s="120">
        <v>76.7</v>
      </c>
      <c r="I52" s="120">
        <v>65.5</v>
      </c>
      <c r="J52" s="120">
        <v>31</v>
      </c>
    </row>
    <row r="53" spans="1:10" x14ac:dyDescent="0.25">
      <c r="A53" s="120" t="s">
        <v>63</v>
      </c>
      <c r="B53" s="120">
        <v>78.599999999999994</v>
      </c>
      <c r="C53" s="120">
        <v>100</v>
      </c>
      <c r="D53" s="120">
        <v>64.3</v>
      </c>
      <c r="E53" s="120">
        <v>28.6</v>
      </c>
      <c r="F53" s="120">
        <v>14.3</v>
      </c>
      <c r="G53" s="120">
        <v>14.3</v>
      </c>
      <c r="H53" s="120">
        <v>85.7</v>
      </c>
      <c r="I53" s="120">
        <v>85.7</v>
      </c>
      <c r="J53" s="120">
        <v>14</v>
      </c>
    </row>
    <row r="54" spans="1:10" x14ac:dyDescent="0.25">
      <c r="A54" s="120" t="s">
        <v>64</v>
      </c>
      <c r="B54" s="120">
        <v>90</v>
      </c>
      <c r="C54" s="120">
        <v>100</v>
      </c>
      <c r="D54" s="120">
        <v>85</v>
      </c>
      <c r="E54" s="120">
        <v>63.2</v>
      </c>
      <c r="F54" s="120">
        <v>35</v>
      </c>
      <c r="G54" s="120">
        <v>35</v>
      </c>
      <c r="H54" s="120">
        <v>95</v>
      </c>
      <c r="I54" s="120">
        <v>90</v>
      </c>
      <c r="J54" s="120">
        <v>20</v>
      </c>
    </row>
    <row r="55" spans="1:10" x14ac:dyDescent="0.25">
      <c r="A55" s="120" t="s">
        <v>13</v>
      </c>
      <c r="B55" s="120">
        <v>82.8</v>
      </c>
      <c r="C55" s="120">
        <v>96.6</v>
      </c>
      <c r="D55" s="120">
        <v>69</v>
      </c>
      <c r="E55" s="120">
        <v>20.7</v>
      </c>
      <c r="F55" s="120">
        <v>58.6</v>
      </c>
      <c r="G55" s="120">
        <v>37.9</v>
      </c>
      <c r="H55" s="120">
        <v>65.5</v>
      </c>
      <c r="I55" s="120">
        <v>48.3</v>
      </c>
      <c r="J55" s="120">
        <v>30</v>
      </c>
    </row>
    <row r="56" spans="1:10" x14ac:dyDescent="0.25">
      <c r="A56" s="120" t="s">
        <v>14</v>
      </c>
      <c r="B56" s="120">
        <v>58.6</v>
      </c>
      <c r="C56" s="120">
        <v>82.8</v>
      </c>
      <c r="D56" s="120">
        <v>65.5</v>
      </c>
      <c r="E56" s="120">
        <v>13.8</v>
      </c>
      <c r="F56" s="120">
        <v>72.400000000000006</v>
      </c>
      <c r="G56" s="120">
        <v>44.8</v>
      </c>
      <c r="H56" s="120">
        <v>79.3</v>
      </c>
      <c r="I56" s="120">
        <v>55.2</v>
      </c>
      <c r="J56" s="120">
        <v>29</v>
      </c>
    </row>
    <row r="57" spans="1:10" x14ac:dyDescent="0.25">
      <c r="A57" s="120" t="s">
        <v>66</v>
      </c>
      <c r="B57" s="120">
        <v>78.599999999999994</v>
      </c>
      <c r="C57" s="120">
        <v>85.7</v>
      </c>
      <c r="D57" s="120">
        <v>57.1</v>
      </c>
      <c r="E57" s="120">
        <v>0</v>
      </c>
      <c r="F57" s="120">
        <v>28.6</v>
      </c>
      <c r="G57" s="120">
        <v>28.6</v>
      </c>
      <c r="H57" s="120">
        <v>85.7</v>
      </c>
      <c r="I57" s="120">
        <v>78.599999999999994</v>
      </c>
      <c r="J57" s="120">
        <v>14</v>
      </c>
    </row>
    <row r="58" spans="1:10" x14ac:dyDescent="0.25">
      <c r="A58" s="120" t="s">
        <v>67</v>
      </c>
      <c r="B58" s="120">
        <v>82.4</v>
      </c>
      <c r="C58" s="120">
        <v>94.1</v>
      </c>
      <c r="D58" s="120">
        <v>88.2</v>
      </c>
      <c r="E58" s="120">
        <v>47.1</v>
      </c>
      <c r="F58" s="120">
        <v>41.2</v>
      </c>
      <c r="G58" s="120">
        <v>47.1</v>
      </c>
      <c r="H58" s="120">
        <v>76.5</v>
      </c>
      <c r="I58" s="120">
        <v>82.4</v>
      </c>
      <c r="J58" s="120">
        <v>17</v>
      </c>
    </row>
    <row r="59" spans="1:10" x14ac:dyDescent="0.25">
      <c r="A59" s="120" t="s">
        <v>68</v>
      </c>
      <c r="B59" s="120">
        <v>77.400000000000006</v>
      </c>
      <c r="C59" s="120">
        <v>93.5</v>
      </c>
      <c r="D59" s="120">
        <v>64.5</v>
      </c>
      <c r="E59" s="120">
        <v>19.399999999999999</v>
      </c>
      <c r="F59" s="120">
        <v>51.6</v>
      </c>
      <c r="G59" s="120">
        <v>19.399999999999999</v>
      </c>
      <c r="H59" s="120">
        <v>77.400000000000006</v>
      </c>
      <c r="I59" s="120">
        <v>74.2</v>
      </c>
      <c r="J59" s="120">
        <v>31</v>
      </c>
    </row>
    <row r="60" spans="1:10" x14ac:dyDescent="0.25">
      <c r="A60" s="120" t="s">
        <v>15</v>
      </c>
      <c r="B60" s="120">
        <v>78.900000000000006</v>
      </c>
      <c r="C60" s="120">
        <v>100</v>
      </c>
      <c r="D60" s="120">
        <v>63.2</v>
      </c>
      <c r="E60" s="120">
        <v>57.9</v>
      </c>
      <c r="F60" s="120">
        <v>52.6</v>
      </c>
      <c r="G60" s="120">
        <v>52.6</v>
      </c>
      <c r="H60" s="120">
        <v>84.2</v>
      </c>
      <c r="I60" s="120">
        <v>68.400000000000006</v>
      </c>
      <c r="J60" s="120">
        <v>19</v>
      </c>
    </row>
    <row r="61" spans="1:10" x14ac:dyDescent="0.25">
      <c r="A61" s="120" t="s">
        <v>16</v>
      </c>
      <c r="B61" s="120">
        <v>88.1</v>
      </c>
      <c r="C61" s="120">
        <v>97.6</v>
      </c>
      <c r="D61" s="120">
        <v>52.4</v>
      </c>
      <c r="E61" s="120">
        <v>41.5</v>
      </c>
      <c r="F61" s="120">
        <v>42.9</v>
      </c>
      <c r="G61" s="120">
        <v>38.1</v>
      </c>
      <c r="H61" s="120">
        <v>90.5</v>
      </c>
      <c r="I61" s="120">
        <v>66.7</v>
      </c>
      <c r="J61" s="120">
        <v>43</v>
      </c>
    </row>
    <row r="62" spans="1:10" x14ac:dyDescent="0.25">
      <c r="A62" s="120" t="s">
        <v>70</v>
      </c>
      <c r="B62" s="120">
        <v>96.7</v>
      </c>
      <c r="C62" s="120">
        <v>91.8</v>
      </c>
      <c r="D62" s="120">
        <v>80.3</v>
      </c>
      <c r="E62" s="120">
        <v>73.8</v>
      </c>
      <c r="F62" s="120">
        <v>73.8</v>
      </c>
      <c r="G62" s="120">
        <v>47.5</v>
      </c>
      <c r="H62" s="120">
        <v>98.3</v>
      </c>
      <c r="I62" s="120">
        <v>86.7</v>
      </c>
      <c r="J62" s="120">
        <v>61</v>
      </c>
    </row>
    <row r="63" spans="1:10" x14ac:dyDescent="0.25">
      <c r="A63" s="120" t="s">
        <v>17</v>
      </c>
      <c r="B63" s="120">
        <v>57.1</v>
      </c>
      <c r="C63" s="120">
        <v>100</v>
      </c>
      <c r="D63" s="120">
        <v>42.9</v>
      </c>
      <c r="E63" s="120">
        <v>0</v>
      </c>
      <c r="F63" s="120">
        <v>42.9</v>
      </c>
      <c r="G63" s="120">
        <v>14.3</v>
      </c>
      <c r="H63" s="120">
        <v>71.400000000000006</v>
      </c>
      <c r="I63" s="120">
        <v>42.9</v>
      </c>
      <c r="J63" s="120">
        <v>7</v>
      </c>
    </row>
    <row r="64" spans="1:10" x14ac:dyDescent="0.25">
      <c r="A64" s="120" t="s">
        <v>24</v>
      </c>
      <c r="B64" s="120">
        <v>66.7</v>
      </c>
      <c r="C64" s="120">
        <v>85.7</v>
      </c>
      <c r="D64" s="120">
        <v>42.9</v>
      </c>
      <c r="E64" s="120">
        <v>28.6</v>
      </c>
      <c r="F64" s="120">
        <v>38.1</v>
      </c>
      <c r="G64" s="120">
        <v>14.3</v>
      </c>
      <c r="H64" s="120">
        <v>81</v>
      </c>
      <c r="I64" s="120">
        <v>90.5</v>
      </c>
      <c r="J64" s="120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5</vt:i4>
      </vt:variant>
    </vt:vector>
  </HeadingPairs>
  <TitlesOfParts>
    <vt:vector size="21" baseType="lpstr">
      <vt:lpstr>Etusivu</vt:lpstr>
      <vt:lpstr>work</vt:lpstr>
      <vt:lpstr>Vastauspros</vt:lpstr>
      <vt:lpstr>Kysymys 10</vt:lpstr>
      <vt:lpstr>Kysymys 11</vt:lpstr>
      <vt:lpstr>Kysymys 12</vt:lpstr>
      <vt:lpstr>Kysymys 13</vt:lpstr>
      <vt:lpstr>Kysymys 14</vt:lpstr>
      <vt:lpstr>Kysymys15</vt:lpstr>
      <vt:lpstr>Kysymys16</vt:lpstr>
      <vt:lpstr>Kysymys17</vt:lpstr>
      <vt:lpstr>Kysymys18A TÄRKEÄT</vt:lpstr>
      <vt:lpstr>Kysymys19</vt:lpstr>
      <vt:lpstr>Kysymys20</vt:lpstr>
      <vt:lpstr>Kysymys21</vt:lpstr>
      <vt:lpstr>Kysymys22</vt:lpstr>
      <vt:lpstr>AN_koko</vt:lpstr>
      <vt:lpstr>asukasluku</vt:lpstr>
      <vt:lpstr>Kunnat</vt:lpstr>
      <vt:lpstr>Kunnat2</vt:lpstr>
      <vt:lpstr>Etusivu!Tulostusalue</vt:lpstr>
    </vt:vector>
  </TitlesOfParts>
  <Company>FC Sovelto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Eero.Ylinentalo@kuntaliitto.fi</dc:creator>
  <cp:lastModifiedBy>Smolander Miska</cp:lastModifiedBy>
  <cp:lastPrinted>2017-06-02T06:51:29Z</cp:lastPrinted>
  <dcterms:created xsi:type="dcterms:W3CDTF">2010-06-23T07:49:47Z</dcterms:created>
  <dcterms:modified xsi:type="dcterms:W3CDTF">2017-09-20T09:08:30Z</dcterms:modified>
</cp:coreProperties>
</file>