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4.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kuntaliittofi-my.sharepoint.com/personal/olli_riikonen_kuntaliitto_fi/Documents/VOS-laskelmat 2026/"/>
    </mc:Choice>
  </mc:AlternateContent>
  <xr:revisionPtr revIDLastSave="1" documentId="8_{8851F93C-6149-430B-8F92-7CCC5D57D865}" xr6:coauthVersionLast="47" xr6:coauthVersionMax="47" xr10:uidLastSave="{7D44F06B-B0DB-407C-A48E-B638001A205B}"/>
  <bookViews>
    <workbookView xWindow="-120" yWindow="-120" windowWidth="29040" windowHeight="15720" tabRatio="801" activeTab="2" xr2:uid="{00000000-000D-0000-FFFF-FFFF00000000}"/>
  </bookViews>
  <sheets>
    <sheet name="Tietoa aineistosta" sheetId="4" r:id="rId1"/>
    <sheet name="1.Käyttöohjeet" sheetId="7" r:id="rId2"/>
    <sheet name="2.Yhteenveto" sheetId="8" r:id="rId3"/>
    <sheet name="3.Ikärakenne" sheetId="9" r:id="rId4"/>
    <sheet name="4.Muut lask. kustannukset" sheetId="10" r:id="rId5"/>
    <sheet name="5.Lisäosat" sheetId="11" r:id="rId6"/>
    <sheet name="6.Vähennykset ja lisäykset" sheetId="12" r:id="rId7"/>
    <sheet name="7.OKM-vos" sheetId="13" r:id="rId8"/>
    <sheet name="8.Lukio" sheetId="14" r:id="rId9"/>
    <sheet name="9. Kaaviot" sheetId="16" r:id="rId10"/>
    <sheet name="tiedot" sheetId="15" state="hidden" r:id="rId11"/>
  </sheets>
  <definedNames>
    <definedName name="_xlnm._FilterDatabase" localSheetId="10" hidden="1">tiedot!$A$1:$BK$1</definedName>
    <definedName name="ikar_0_5">tiedot!$D$2:$D$293</definedName>
    <definedName name="ikar_16">tiedot!$H$2:$H$293</definedName>
    <definedName name="ikar_18_64">tiedot!$I$2:$I$293</definedName>
    <definedName name="ikar_2">tiedot!$E$2:$E$293</definedName>
    <definedName name="ikar_3">tiedot!$F$2:$F$293</definedName>
    <definedName name="ikar_4">tiedot!$G$2:$G$293</definedName>
    <definedName name="kotikuntakorvaus">tiedot!$BK$2:$BK$293</definedName>
    <definedName name="kunta">tiedot!$B$2:$B$293</definedName>
    <definedName name="kuntanumero">tiedot!$A$2:$A$293</definedName>
    <definedName name="lo1_syrjäisyysluku">tiedot!$W$2:$W$293</definedName>
    <definedName name="lo2_työpaikat">tiedot!$X$2:$X$293</definedName>
    <definedName name="lo3_työlliset">tiedot!$Y$2:$Y$293</definedName>
    <definedName name="lo4_hyte">tiedot!$Z$2:$Z$293</definedName>
    <definedName name="lo5_asukasmäärän_kasvu">tiedot!$AA$2:$AA$293</definedName>
    <definedName name="lo6_saamelaiskunta">tiedot!$AB$2:$AB$293</definedName>
    <definedName name="lo7_saamenkieliset">tiedot!$AC$2:$AC$293</definedName>
    <definedName name="muutla_30_54_v">tiedot!$U$2:$U$293</definedName>
    <definedName name="muutla_ilman_tutkintoa">tiedot!$T$2:$T$293</definedName>
    <definedName name="muutla_kaksikielisyys">tiedot!$O$2:$O$293</definedName>
    <definedName name="muutla_maapinta_ala">tiedot!$S$2:$S$293</definedName>
    <definedName name="muutla_ruotsinkieliset">tiedot!$P$2:$P$293</definedName>
    <definedName name="muutla_saaristoasema">tiedot!$Q$2:$Q$293</definedName>
    <definedName name="muutla_saaristolaiset">tiedot!$R$2:$R$293</definedName>
    <definedName name="muutla_työttömät">tiedot!$K$2:$K$293</definedName>
    <definedName name="muutla_työttömät_ja_palveluissa">tiedot!$M$2:$M$293</definedName>
    <definedName name="muutla_työvoima">tiedot!$L$2:$L$293</definedName>
    <definedName name="muutla_vieraskieliset">tiedot!$N$2:$N$293</definedName>
    <definedName name="OKMvos">tiedot!$BI$2:$BI$293</definedName>
    <definedName name="OKMvos_alle29v">tiedot!$BJ$2:$BJ$293</definedName>
    <definedName name="Syrjäkö?">'8.Lukio'!$U$5:$U$6</definedName>
    <definedName name="_xlnm.Print_Area" localSheetId="1">'1.Käyttöohjeet'!$A$1:$M$105</definedName>
    <definedName name="_xlnm.Print_Area" localSheetId="2">'2.Yhteenveto'!$A$10:$M$63</definedName>
    <definedName name="_xlnm.Print_Area" localSheetId="7">'7.OKM-vos'!$A$1:$K$87</definedName>
    <definedName name="verotuloihin_perustuva_vos_tasaus">tiedot!$BH$2:$BH$293</definedName>
    <definedName name="verotulomenetysten_korvaus">tiedot!$BG$2:$BG$293</definedName>
    <definedName name="vl_10">tiedot!$AK$2:$AK$293</definedName>
    <definedName name="vl_11">tiedot!$AL$2:$AL$293</definedName>
    <definedName name="vl_12">tiedot!$AM$2:$AM$293</definedName>
    <definedName name="vl_13">tiedot!$AN$2:$AN$293</definedName>
    <definedName name="vl_14">tiedot!$AO$2:$AO$293</definedName>
    <definedName name="vl_19">tiedot!$AP$2:$AP$293</definedName>
    <definedName name="vl_2">tiedot!$AF$2:$AF$293</definedName>
    <definedName name="vl_22">tiedot!$AQ$2:$AQ$293</definedName>
    <definedName name="vl_23">tiedot!$AR$2:$AR$293</definedName>
    <definedName name="vl_24">tiedot!$AS$2:$AS$293</definedName>
    <definedName name="vl_25">tiedot!$AX$2:$AX$293</definedName>
    <definedName name="vl_26">tiedot!$AY$2:$AY$293</definedName>
    <definedName name="vl_27">tiedot!$AZ$2:$AZ$293</definedName>
    <definedName name="vl_28">tiedot!$BA$2:$BA$293</definedName>
    <definedName name="vl_9">tiedot!$AJ$2:$AJ$293</definedName>
    <definedName name="vl_etuuskompensaatio">tiedot!$AG$2:$AG$293</definedName>
    <definedName name="vl_sote_järjestelmämuutoksen_tasaus">tiedot!$BC$2:$BC$293</definedName>
    <definedName name="vl_sote_lisäsiirto">tiedot!$AI$2:$AI$293</definedName>
    <definedName name="vl_sote_lisäsiirto2023">tiedot!$BD$2:$BD$293</definedName>
    <definedName name="vl_sote_lisäsiirto2024">tiedot!$BE$2:$BE$293</definedName>
    <definedName name="vl_sote_muutosrajoitin">tiedot!$BB$2:$BB$293</definedName>
    <definedName name="vl_TE_porrastus">tiedot!$AI$2:$AI$293</definedName>
    <definedName name="vl_toimeentulotuki">tiedot!$AE$2:$AE$293</definedName>
    <definedName name="vl_valtionosuusjärjestelmän_säästö_2">tiedot!$AH$1</definedName>
    <definedName name="vl_vos_kehysriihisäästö">tiedot!$AH$2:$AH$293</definedName>
    <definedName name="voihancee">#REF!</definedName>
    <definedName name="vos_maks">tiedot!$BB$2:$BB$293</definedName>
    <definedName name="vos_maksatus">tiedot!$BC$2:$BC$293</definedName>
    <definedName name="vosC">tiedot!$C$2:$C$293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3" i="16" l="1"/>
  <c r="B40" i="16"/>
  <c r="C11" i="16"/>
  <c r="C47" i="16"/>
  <c r="C46" i="16"/>
  <c r="C44" i="16"/>
  <c r="C43" i="16"/>
  <c r="C76" i="16" s="1"/>
  <c r="C42" i="16"/>
  <c r="C75" i="16" s="1"/>
  <c r="C77" i="16" l="1"/>
  <c r="C74" i="16" s="1"/>
  <c r="C41" i="16"/>
  <c r="C106" i="16" l="1"/>
  <c r="B102" i="16"/>
  <c r="A17" i="16"/>
  <c r="A13" i="16"/>
  <c r="A12" i="16"/>
  <c r="B10" i="16"/>
  <c r="K23" i="14" l="1"/>
  <c r="K22" i="14"/>
  <c r="J22" i="14" l="1"/>
  <c r="L22" i="14" s="1"/>
  <c r="J23" i="14"/>
  <c r="L23" i="14" s="1"/>
  <c r="A1" i="14"/>
  <c r="A1" i="13"/>
  <c r="A1" i="12"/>
  <c r="L30" i="8"/>
  <c r="L27" i="8" l="1"/>
  <c r="L29" i="8"/>
  <c r="I24" i="14" l="1"/>
  <c r="J27" i="14" s="1"/>
  <c r="B9" i="14"/>
  <c r="F8" i="14"/>
  <c r="K86" i="13"/>
  <c r="K84" i="13"/>
  <c r="K82" i="13"/>
  <c r="K76" i="13"/>
  <c r="K74" i="13"/>
  <c r="K73" i="13"/>
  <c r="K70" i="13"/>
  <c r="K69" i="13"/>
  <c r="K67" i="13"/>
  <c r="K66" i="13"/>
  <c r="K64" i="13"/>
  <c r="K62" i="13"/>
  <c r="K48" i="13"/>
  <c r="K46" i="13"/>
  <c r="F34" i="13"/>
  <c r="F35" i="13" s="1"/>
  <c r="F50" i="13" s="1"/>
  <c r="K50" i="13" s="1"/>
  <c r="H28" i="13"/>
  <c r="B14" i="13"/>
  <c r="F13" i="13"/>
  <c r="H80" i="13" s="1"/>
  <c r="K80" i="13" s="1"/>
  <c r="B9" i="12"/>
  <c r="E8" i="12"/>
  <c r="H22" i="12" s="1"/>
  <c r="G42" i="11"/>
  <c r="G33" i="11"/>
  <c r="G32" i="11"/>
  <c r="B9" i="11"/>
  <c r="F8" i="11"/>
  <c r="A1" i="11"/>
  <c r="G66" i="10"/>
  <c r="G68" i="10" s="1"/>
  <c r="G58" i="10"/>
  <c r="G37" i="10"/>
  <c r="G19" i="10"/>
  <c r="G21" i="10" s="1"/>
  <c r="B9" i="10"/>
  <c r="F8" i="10"/>
  <c r="A1" i="10"/>
  <c r="B9" i="9"/>
  <c r="F8" i="9"/>
  <c r="A1" i="9"/>
  <c r="L62" i="8"/>
  <c r="L54" i="8"/>
  <c r="L38" i="8"/>
  <c r="L34" i="8"/>
  <c r="L28" i="8"/>
  <c r="H11" i="8"/>
  <c r="E9" i="12" s="1"/>
  <c r="F58" i="10" l="1"/>
  <c r="G31" i="10"/>
  <c r="F37" i="10"/>
  <c r="G44" i="10"/>
  <c r="H19" i="11"/>
  <c r="F32" i="11"/>
  <c r="F15" i="9"/>
  <c r="H15" i="9" s="1"/>
  <c r="F13" i="9"/>
  <c r="M54" i="8"/>
  <c r="F14" i="9"/>
  <c r="H14" i="9" s="1"/>
  <c r="J29" i="14"/>
  <c r="I33" i="14" s="1"/>
  <c r="G37" i="12"/>
  <c r="G53" i="12"/>
  <c r="G39" i="12"/>
  <c r="G55" i="12"/>
  <c r="G41" i="12"/>
  <c r="G57" i="12"/>
  <c r="G43" i="12"/>
  <c r="G59" i="12"/>
  <c r="G45" i="12"/>
  <c r="G61" i="12"/>
  <c r="G47" i="12"/>
  <c r="G51" i="12"/>
  <c r="G49" i="12"/>
  <c r="G34" i="11"/>
  <c r="H30" i="12"/>
  <c r="I30" i="12" s="1"/>
  <c r="F36" i="10"/>
  <c r="F67" i="10"/>
  <c r="F20" i="10"/>
  <c r="M29" i="8"/>
  <c r="H29" i="12"/>
  <c r="I29" i="12" s="1"/>
  <c r="M27" i="8"/>
  <c r="B14" i="16" s="1"/>
  <c r="B44" i="16" s="1"/>
  <c r="M28" i="8"/>
  <c r="B15" i="16" s="1"/>
  <c r="M62" i="8"/>
  <c r="F9" i="10"/>
  <c r="H20" i="12"/>
  <c r="I20" i="12" s="1"/>
  <c r="B45" i="16" s="1"/>
  <c r="M38" i="8"/>
  <c r="M30" i="8"/>
  <c r="F18" i="10"/>
  <c r="F64" i="10"/>
  <c r="H26" i="12"/>
  <c r="F14" i="13"/>
  <c r="K26" i="13" s="1"/>
  <c r="K97" i="13" s="1"/>
  <c r="L20" i="8"/>
  <c r="M20" i="8" s="1"/>
  <c r="L42" i="8"/>
  <c r="M42" i="8" s="1"/>
  <c r="F9" i="9"/>
  <c r="M34" i="8"/>
  <c r="B17" i="16" s="1"/>
  <c r="B43" i="16" s="1"/>
  <c r="B76" i="16" s="1"/>
  <c r="G40" i="11"/>
  <c r="H28" i="12"/>
  <c r="I28" i="12" s="1"/>
  <c r="H21" i="12"/>
  <c r="H19" i="12"/>
  <c r="H16" i="12"/>
  <c r="H15" i="12"/>
  <c r="H18" i="12"/>
  <c r="H17" i="12"/>
  <c r="F40" i="13"/>
  <c r="K40" i="13" s="1"/>
  <c r="F42" i="13"/>
  <c r="K42" i="13" s="1"/>
  <c r="L63" i="8"/>
  <c r="M63" i="8" s="1"/>
  <c r="F17" i="9"/>
  <c r="H17" i="9" s="1"/>
  <c r="F19" i="10"/>
  <c r="F25" i="10"/>
  <c r="G53" i="10"/>
  <c r="F9" i="11"/>
  <c r="F31" i="11"/>
  <c r="F41" i="13"/>
  <c r="K41" i="13" s="1"/>
  <c r="F45" i="13"/>
  <c r="K45" i="13" s="1"/>
  <c r="F16" i="9"/>
  <c r="H16" i="9" s="1"/>
  <c r="G25" i="11"/>
  <c r="F26" i="10"/>
  <c r="I28" i="10" s="1"/>
  <c r="H13" i="11"/>
  <c r="H31" i="12"/>
  <c r="I31" i="12" s="1"/>
  <c r="H62" i="12"/>
  <c r="F9" i="14"/>
  <c r="F52" i="13"/>
  <c r="K52" i="13" s="1"/>
  <c r="L43" i="8"/>
  <c r="M43" i="8" s="1"/>
  <c r="G13" i="10"/>
  <c r="F57" i="10"/>
  <c r="F66" i="10"/>
  <c r="F33" i="11"/>
  <c r="F42" i="11"/>
  <c r="F18" i="9"/>
  <c r="H18" i="9" s="1"/>
  <c r="G14" i="10"/>
  <c r="I16" i="10" s="1"/>
  <c r="H12" i="12"/>
  <c r="I12" i="12" s="1"/>
  <c r="I22" i="12"/>
  <c r="F53" i="13"/>
  <c r="K53" i="13" s="1"/>
  <c r="B19" i="16" l="1"/>
  <c r="B105" i="16"/>
  <c r="I15" i="9"/>
  <c r="I18" i="9"/>
  <c r="I16" i="9"/>
  <c r="J47" i="14"/>
  <c r="I34" i="14"/>
  <c r="J49" i="14" s="1"/>
  <c r="I17" i="9"/>
  <c r="I14" i="9"/>
  <c r="J44" i="11"/>
  <c r="K44" i="11" s="1"/>
  <c r="H63" i="12"/>
  <c r="I63" i="12" s="1"/>
  <c r="I62" i="12"/>
  <c r="F21" i="10"/>
  <c r="H21" i="10" s="1"/>
  <c r="I23" i="10" s="1"/>
  <c r="J23" i="10" s="1"/>
  <c r="H32" i="12"/>
  <c r="I32" i="12" s="1"/>
  <c r="F68" i="10"/>
  <c r="H69" i="10" s="1"/>
  <c r="I71" i="10" s="1"/>
  <c r="J71" i="10" s="1"/>
  <c r="J28" i="10"/>
  <c r="J29" i="11"/>
  <c r="K29" i="11" s="1"/>
  <c r="F34" i="11"/>
  <c r="H35" i="11" s="1"/>
  <c r="J37" i="11" s="1"/>
  <c r="K37" i="11" s="1"/>
  <c r="K25" i="13"/>
  <c r="K28" i="13" s="1"/>
  <c r="F59" i="10"/>
  <c r="H60" i="10" s="1"/>
  <c r="I62" i="10" s="1"/>
  <c r="J62" i="10" s="1"/>
  <c r="H78" i="13"/>
  <c r="K78" i="13" s="1"/>
  <c r="K88" i="13" s="1"/>
  <c r="K94" i="13" s="1"/>
  <c r="H34" i="12"/>
  <c r="K55" i="13"/>
  <c r="K93" i="13" s="1"/>
  <c r="J16" i="10"/>
  <c r="J15" i="11"/>
  <c r="I55" i="10"/>
  <c r="J55" i="10" s="1"/>
  <c r="I50" i="10"/>
  <c r="J50" i="10" s="1"/>
  <c r="G52" i="10"/>
  <c r="I40" i="10"/>
  <c r="I39" i="10"/>
  <c r="F19" i="9"/>
  <c r="H13" i="9"/>
  <c r="J21" i="11"/>
  <c r="K21" i="11" s="1"/>
  <c r="J48" i="14" l="1"/>
  <c r="J55" i="14" s="1"/>
  <c r="K18" i="13" s="1"/>
  <c r="K21" i="13" s="1"/>
  <c r="H19" i="9"/>
  <c r="I13" i="9"/>
  <c r="L49" i="8"/>
  <c r="M49" i="8" s="1"/>
  <c r="B18" i="16" s="1"/>
  <c r="B47" i="16" s="1"/>
  <c r="L25" i="8"/>
  <c r="M25" i="8" s="1"/>
  <c r="B16" i="16" s="1"/>
  <c r="B46" i="16" s="1"/>
  <c r="B77" i="16" s="1"/>
  <c r="I34" i="12"/>
  <c r="K96" i="13"/>
  <c r="I41" i="10"/>
  <c r="J41" i="10" s="1"/>
  <c r="K15" i="11"/>
  <c r="J47" i="11"/>
  <c r="K47" i="11" s="1"/>
  <c r="K92" i="13" l="1"/>
  <c r="K95" i="13" s="1"/>
  <c r="K91" i="13"/>
  <c r="L40" i="8" s="1"/>
  <c r="M40" i="8" s="1"/>
  <c r="H21" i="9"/>
  <c r="I19" i="9"/>
  <c r="I74" i="10"/>
  <c r="L18" i="8" s="1"/>
  <c r="L23" i="8"/>
  <c r="M23" i="8" s="1"/>
  <c r="B13" i="16" s="1"/>
  <c r="L44" i="8" l="1"/>
  <c r="M44" i="8" s="1"/>
  <c r="L17" i="8"/>
  <c r="M17" i="8" s="1"/>
  <c r="I21" i="9"/>
  <c r="J74" i="10"/>
  <c r="M18" i="8"/>
  <c r="L19" i="8" l="1"/>
  <c r="L21" i="8" s="1"/>
  <c r="M19" i="8" l="1"/>
  <c r="Q21" i="8"/>
  <c r="M21" i="8"/>
  <c r="B12" i="16" s="1"/>
  <c r="L32" i="8"/>
  <c r="B42" i="16" l="1"/>
  <c r="B41" i="16" s="1"/>
  <c r="B11" i="16"/>
  <c r="L36" i="8"/>
  <c r="M32" i="8"/>
  <c r="B75" i="16" l="1"/>
  <c r="B74" i="16" s="1"/>
  <c r="M36" i="8"/>
  <c r="L47" i="8"/>
  <c r="L46" i="8"/>
  <c r="B104" i="16" l="1"/>
  <c r="B106" i="16" s="1"/>
  <c r="L51" i="8"/>
  <c r="M46" i="8"/>
  <c r="M47" i="8"/>
  <c r="L52" i="8"/>
  <c r="L67" i="8" l="1"/>
  <c r="M52" i="8"/>
  <c r="M51" i="8"/>
  <c r="L58" i="8"/>
  <c r="L59" i="8" l="1"/>
  <c r="M58" i="8"/>
  <c r="M67" i="8"/>
  <c r="L6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tc={75D7B57C-713D-4498-9CBC-554B4B66F2D6}</author>
    <author>tc={87D49E98-EBC0-4845-BB27-8EC9F98AC282}</author>
    <author>tc={F8797C3D-6A9E-4D8D-8636-6F9B2CF29557}</author>
    <author>tc={C50DA2A9-8E13-4D7B-9321-F662BDE6085E}</author>
    <author>tc={24436D85-D1B1-4C92-BF8C-10369904B33F}</author>
    <author>tc={FB3736CD-7EF8-4B72-86B5-13D750548E53}</author>
  </authors>
  <commentList>
    <comment ref="Q18" authorId="0" shapeId="0" xr:uid="{75D7B57C-713D-4498-9CBC-554B4B66F2D6}">
      <text>
        <t>[Kommenttiketju]
Excel-versiosi avulla voit lukea tämän kommenttiketjun, mutta siihen tehdyt muutokset poistetaan, jos tiedosto avataan uudemmassa Excel-versiossa. Lisätietoja: https://go.microsoft.com/fwlink/?linkid=870924
Kommentti:
    Manner-Suomen valtiolta saama osuus laskennallisista kustannuksista omarahoitusosuuden jälkeen. Kuntakohtaisesti vos-% vaihtelee (ks. alla)</t>
      </text>
    </comment>
    <comment ref="J20" authorId="1" shapeId="0" xr:uid="{87D49E98-EBC0-4845-BB27-8EC9F98AC282}">
      <text>
        <t>[Kommenttiketju]
Excel-versiosi avulla voit lukea tämän kommenttiketjun, mutta siihen tehdyt muutokset poistetaan, jos tiedosto avataan uudemmassa Excel-versiossa. Lisätietoja: https://go.microsoft.com/fwlink/?linkid=870924
Kommentti:
    Omarahoitusosuus on kaikilla kunnilla asukasta kohti samansuuruinen.</t>
      </text>
    </comment>
    <comment ref="Q21" authorId="2" shapeId="0" xr:uid="{F8797C3D-6A9E-4D8D-8636-6F9B2CF29557}">
      <text>
        <t>[Kommenttiketju]
Excel-versiosi avulla voit lukea tämän kommenttiketjun, mutta siihen tehdyt muutokset poistetaan, jos tiedosto avataan uudemmassa Excel-versiossa. Lisätietoja: https://go.microsoft.com/fwlink/?linkid=870924
Kommentti:
    Valtionosuusprosentti on valtion rahoitusosuus kunnan laskennallisista kustannuksista kunnan omarahoitusosuuden jälkeen.</t>
      </text>
    </comment>
    <comment ref="L40" authorId="3" shapeId="0" xr:uid="{C50DA2A9-8E13-4D7B-9321-F662BDE6085E}">
      <text>
        <t>[Kommenttiketju]
Excel-versiosi avulla voit lukea tämän kommenttiketjun, mutta siihen tehdyt muutokset poistetaan, jos tiedosto avataan uudemmassa Excel-versiossa. Lisätietoja: https://go.microsoft.com/fwlink/?linkid=870924
Kommentti:
    Jos et täytä tietoja välilehdille 8 ja 9, laskuri näyttää vain kunnan omarahoitusosuuden ammatilliseen ja lukiokoulutukseen (miinusta) ja suoraan asukaslukuun perustuvan liikuntatoimen rahoituksen (plussaa).</t>
      </text>
    </comment>
    <comment ref="J42" authorId="4" shapeId="0" xr:uid="{24436D85-D1B1-4C92-BF8C-10369904B33F}">
      <text>
        <t>[Kommenttiketju]
Excel-versiosi avulla voit lukea tämän kommenttiketjun, mutta siihen tehdyt muutokset poistetaan, jos tiedosto avataan uudemmassa Excel-versiossa. Lisätietoja: https://go.microsoft.com/fwlink/?linkid=870924
Kommentti:
    Kaikki kunnat osallistuvat lukiokoulutuksen rahoitukseen omarahoitusosuudella, joka vähennetään kunnalle maksettavasta OKM-vos:sta.</t>
      </text>
    </comment>
    <comment ref="J43" authorId="5" shapeId="0" xr:uid="{FB3736CD-7EF8-4B72-86B5-13D750548E53}">
      <text>
        <t xml:space="preserve">[Kommenttiketju]
Excel-versiosi avulla voit lukea tämän kommenttiketjun, mutta siihen tehdyt muutokset poistetaan, jos tiedosto avataan uudemmassa Excel-versiossa. Lisätietoja: https://go.microsoft.com/fwlink/?linkid=870924
Kommentti:
    Kaikki kunnat osallistuvat ammatillisen koulutuksen rahoitukseen omarahoitusosuudella, joka vähennetään kunnalle maksettavasta OKM-vos:sta.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tc={6CF5CFBB-2FF2-470B-A92E-0E836FF7CD15}</author>
    <author>Lehtonen Sanna</author>
  </authors>
  <commentList>
    <comment ref="C42" authorId="0" shapeId="0" xr:uid="{6CF5CFBB-2FF2-470B-A92E-0E836FF7CD15}">
      <text>
        <t>[Kommenttiketju]
Excel-versiosi avulla voit lukea tämän kommenttiketjun, mutta siihen tehdyt muutokset poistetaan, jos tiedosto avataan uudemmassa Excel-versiossa. Lisätietoja: https://go.microsoft.com/fwlink/?linkid=870924
Kommentti:
    Tässä tarkoitetaan pidennetyn oppivelvollisuuden piirissä olevien esiopetuksen oppilaita, jotka täyttävät viisi vuotta esiopetuksen alkamisvuonna.</t>
      </text>
    </comment>
    <comment ref="C62" authorId="1" shapeId="0" xr:uid="{E8D2A13C-697D-4BFC-AC0F-772A585A5A1A}">
      <text>
        <r>
          <rPr>
            <b/>
            <sz val="9"/>
            <color indexed="81"/>
            <rFont val="Tahoma"/>
            <family val="2"/>
          </rPr>
          <t>Lehtonen Sanna:</t>
        </r>
        <r>
          <rPr>
            <sz val="9"/>
            <color indexed="81"/>
            <rFont val="Tahoma"/>
            <family val="2"/>
          </rPr>
          <t xml:space="preserve">
Perusopetuslaissa tarkoitettua aamu- ja iltapäivätoimintaa järjestävälle kunnalle myönnetään valtionosuutta toiminnasta aiheutuviin käyttökustannuksiin 57 prosenttia euromäärästä, joka saadaan, kun kunnalle valtionosuuden laskemisen perusteeksi mainittua toimintaa varten vahvistettu tuntimäärä kerrotaan tuntia kohden määrätyllä yksikköhinnalla.</t>
        </r>
      </text>
    </comment>
    <comment ref="C64" authorId="1" shapeId="0" xr:uid="{C64B86D8-A79C-48D3-9839-3D05096AF632}">
      <text>
        <r>
          <rPr>
            <b/>
            <sz val="9"/>
            <color indexed="81"/>
            <rFont val="Tahoma"/>
            <family val="2"/>
          </rPr>
          <t>Lehtonen Sanna:</t>
        </r>
        <r>
          <rPr>
            <sz val="9"/>
            <color indexed="81"/>
            <rFont val="Tahoma"/>
            <family val="2"/>
          </rPr>
          <t xml:space="preserve">
Valtionosuus opetustuntikohtaiseen taiteen perusopetukseen on 57 prosenttia euromäärästä, joka saadaan, kun koulutuksen järjestäjälle valtionosuuden laskemisen perusteeksi mainittua opetusta varten vahvistettu opetustuntimäärä kerrotaan opetustuntia kohden määrätyllä yksikköhinnalla.</t>
        </r>
      </text>
    </comment>
    <comment ref="C69" authorId="1" shapeId="0" xr:uid="{7FF1CEEE-B42A-4C3E-A9CF-D38801C5343C}">
      <text>
        <r>
          <rPr>
            <b/>
            <sz val="9"/>
            <color indexed="81"/>
            <rFont val="Tahoma"/>
            <family val="2"/>
          </rPr>
          <t>Lehtonen Sanna:</t>
        </r>
        <r>
          <rPr>
            <sz val="9"/>
            <color indexed="81"/>
            <rFont val="Tahoma"/>
            <family val="2"/>
          </rPr>
          <t xml:space="preserve">
Yksikköhintaa korotetaan seuraavien tekijöiden perusteella (A 805/1998, 3§):
- opistossa majoitettujen opiskelijoiden opiskelijaviikkojen osalta 30%
- vaikeasti vammaisten opiskelijaviikkojen osalta 97% kansanopistoille, joiden pääasiallisen koulutustehtävän muodostaa vaikeasti vammaisille järjestettävä koulutus (ns. erityiskansanopistot), ja 32% kansanopistoille, joiden koulutustehtävään kuuluu osana vaikeasti vammaisille järjestettävä koulutus 
- niistä opiskelijaviikoista, jotka osana kansanopiston ylläpitämisluvan mukaista koulutustehtävää ovat työelämän aktiiviseen kansalaisuuteen ja työolojen kehittämiseen tarkoitettua koulutusta tai erityisestä syystä määrättävää muuta erityistä koulutustehtävää, yksikköhintaa korotetaan 26%
(pohja-arvo x opiskelijaviikot + korotus% x pohja-arvo x korotettavat opiskelijaviikot) / opiskelijaviikot</t>
        </r>
      </text>
    </comment>
    <comment ref="C78" authorId="1" shapeId="0" xr:uid="{DA00F40C-1E87-44CF-B2F6-FA94F9BFA760}">
      <text>
        <r>
          <rPr>
            <b/>
            <sz val="9"/>
            <color indexed="81"/>
            <rFont val="Tahoma"/>
            <family val="2"/>
          </rPr>
          <t>Lehtonen Sanna:</t>
        </r>
        <r>
          <rPr>
            <sz val="9"/>
            <color indexed="81"/>
            <rFont val="Tahoma"/>
            <family val="2"/>
          </rPr>
          <t xml:space="preserve">
Kunnalle myönnetään valtionosuutta liikuntatoiminnan käyttökustannuksiin 29,70 prosenttia euromäärästä, joka saadaan, kun kunnan asukasmäärä kerrotaan liikuntatoimintaa varten asukasta kohden määrätyllä yksikköhinnalla.
</t>
        </r>
      </text>
    </comment>
    <comment ref="C80" authorId="1" shapeId="0" xr:uid="{A883421C-3B44-42C6-8975-B8708D066C28}">
      <text>
        <r>
          <rPr>
            <b/>
            <sz val="9"/>
            <color indexed="81"/>
            <rFont val="Tahoma"/>
            <family val="2"/>
          </rPr>
          <t>Lehtonen Sanna:</t>
        </r>
        <r>
          <rPr>
            <sz val="9"/>
            <color indexed="81"/>
            <rFont val="Tahoma"/>
            <family val="2"/>
          </rPr>
          <t xml:space="preserve">
Kunnalle myönnetään valtionosuutta nuorisotyön käyttökustannuksiin 29,70 prosenttia euromäärästä, joka saadaan, kun kunnan alle 29-vuotiaiden asukkaiden määrä kerrotaan nuorisotyötä varten asukasta kohden määrätyllä yksikköhinnalla.</t>
        </r>
      </text>
    </comment>
    <comment ref="C82" authorId="1" shapeId="0" xr:uid="{EBC161E1-51FA-4F51-9530-2A75EA739E78}">
      <text>
        <r>
          <rPr>
            <b/>
            <sz val="9"/>
            <color indexed="81"/>
            <rFont val="Tahoma"/>
            <family val="2"/>
          </rPr>
          <t>Lehtonen Sanna:</t>
        </r>
        <r>
          <rPr>
            <sz val="9"/>
            <color indexed="81"/>
            <rFont val="Tahoma"/>
            <family val="2"/>
          </rPr>
          <t xml:space="preserve">
Museon, teatterin ja orkesterin ylläpitäjälle myönnetään valtionosuutta mainituista toiminnoista aiheutuviin käyttökustannuksiin 37 prosenttia euromäärästä, joka saadaan, kun ylläpitäjälle museota, teatteria ja orkesteria varten vahvistettu laskennallinen henkilötyövuosien määrä kerrotaan henkilötyövuotta kohden asianomaista toimintaa varten määrätyllä yksikköhinnalla.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tc={7C6EF866-FD6D-4957-A9B5-0E9C63FE5362}</author>
  </authors>
  <commentList>
    <comment ref="K18" authorId="0" shapeId="0" xr:uid="{7C6EF866-FD6D-4957-A9B5-0E9C63FE5362}">
      <text>
        <t xml:space="preserve">[Kommenttiketju]
Excel-versiosi avulla voit lukea tämän kommenttiketjun, mutta siihen tehdyt muutokset poistetaan, jos tiedosto avataan uudemmassa Excel-versiossa. Lisätietoja: https://go.microsoft.com/fwlink/?linkid=870924
Kommentti:
    Ks. Syrjäisyys välilehdeltä 5. Lisäosat. Jos kunta saa syrjäisyyden perusteella lisäosaa, valitse kyllä.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tc={1DBED096-E9E3-44DF-83DC-D9874D03A3C8}</author>
  </authors>
  <commentList>
    <comment ref="BG1" authorId="0" shapeId="0" xr:uid="{1DBED096-E9E3-44DF-83DC-D9874D03A3C8}">
      <text>
        <t>[Kommenttiketju]
Excel-versiosi avulla voit lukea tämän kommenttiketjun, mutta siihen tehdyt muutokset poistetaan, jos tiedosto avataan uudemmassa Excel-versiossa. Lisätietoja: https://go.microsoft.com/fwlink/?linkid=870924
Kommentti:
    Veroperustemuutoksista johtuvien veromenetysten korvaus</t>
      </text>
    </comment>
  </commentList>
</comments>
</file>

<file path=xl/sharedStrings.xml><?xml version="1.0" encoding="utf-8"?>
<sst xmlns="http://schemas.openxmlformats.org/spreadsheetml/2006/main" count="819" uniqueCount="702">
  <si>
    <t>missä tahansa tarkoituksessa, myös kaupallisesti.</t>
  </si>
  <si>
    <t>Jakaa </t>
  </si>
  <si>
    <t>kopioida aineistoa ja levittää sitä edelleen missä tahansa välineessä ja muodossa</t>
  </si>
  <si>
    <t>Muunnella</t>
  </si>
  <si>
    <t>remiksata ja muokata aineistoa sekä luoda sen pohjalta uusia aineistoja</t>
  </si>
  <si>
    <t>Voit</t>
  </si>
  <si>
    <t xml:space="preserve">Käyttöehdot: </t>
  </si>
  <si>
    <t>KUNNAN VALTIONOSUUSRAHOITUS 2026</t>
  </si>
  <si>
    <t>Taulukon täyttöohje:</t>
  </si>
  <si>
    <t>Kunta:</t>
  </si>
  <si>
    <t>Espoo</t>
  </si>
  <si>
    <t xml:space="preserve">    Klikkaa solu aktiiviseksi ja valitse kunta alasvetovalikosta</t>
  </si>
  <si>
    <t>Asukasluku 31.12.2024:</t>
  </si>
  <si>
    <t>YHTEENVETO</t>
  </si>
  <si>
    <t>Kunnan peruspalvelujen valtionosuus (VM)</t>
  </si>
  <si>
    <t>euroa</t>
  </si>
  <si>
    <t>euroa/asukas</t>
  </si>
  <si>
    <t>Ikärakenne</t>
  </si>
  <si>
    <t>Kuntien peruspalvelujen</t>
  </si>
  <si>
    <t>Muut laskennalliset kustannukset</t>
  </si>
  <si>
    <t>valtionosuusprosentti</t>
  </si>
  <si>
    <t>Kunnan laskennalliset kustannukset yhteensä</t>
  </si>
  <si>
    <t>Kunnan oma</t>
  </si>
  <si>
    <t>€/asukas</t>
  </si>
  <si>
    <t>Lisäosat</t>
  </si>
  <si>
    <t>Valtionosuuteen tehtävät vähennykset ja lisäykset yhteensä</t>
  </si>
  <si>
    <t>Jälkikäteistarkistuksesta johtuva valtionosuuden 500 M€ lisäsiirto vuodelta -23 (1/3)</t>
  </si>
  <si>
    <t>Määräaikaisen vuodelle 2024 tehdyn 192 M€ lisäyksen takaisinperintä (1/3)</t>
  </si>
  <si>
    <t>Kunnan peruspalvelujen valtionosuus ennen tulopohjan tasausta</t>
  </si>
  <si>
    <t>1. Kunnan peruspalvelujen valtionosuus (VM)</t>
  </si>
  <si>
    <t>2. Opetus- ja kulttuuritoimen valtionosuudet (OKM)</t>
  </si>
  <si>
    <t>Tässä näytetään Kuntaliiton laskuriin syötettyjen tietojen mukainen OKM-vos-arvio</t>
  </si>
  <si>
    <t>Mistä</t>
  </si>
  <si>
    <t>- positiiviset erät (liikunta, nuoriso, ap-ip, vammaiskorotukset, lukio, opistot, taidelaitokset)</t>
  </si>
  <si>
    <t>Kunnan valtionosuusrahoitus 2026 (L39+L41)</t>
  </si>
  <si>
    <t>Kunnan valtionosuusrahoitus 2026 itse syötetyillä opetus- ja kulttuuritoimen tiedoilla (L39+L43)</t>
  </si>
  <si>
    <t>Kunnan valtionosuus ja veromenetysten korvaukset yhteensä 2026 (L49+L52)</t>
  </si>
  <si>
    <t>Kotikuntakorvausmenot (-)</t>
  </si>
  <si>
    <t>Kotikuntakorvaustulot (+)</t>
  </si>
  <si>
    <t>Kunnan valtionosuus, veromenetysten korvaus ja kotikuntakorvaukset 2026</t>
  </si>
  <si>
    <t>maksatus</t>
  </si>
  <si>
    <t>€/kuukausi</t>
  </si>
  <si>
    <t xml:space="preserve">Valtionosuusmaksatus </t>
  </si>
  <si>
    <t>kunnan peruspalvelujen valtionosuus +/- OKM:n valtionosuus +/- kotikuntakorvaukset</t>
  </si>
  <si>
    <t>kuukausierä, maksetaan jokaisen kuukauden 11. päivään mennessä</t>
  </si>
  <si>
    <t>Ikärakenteen laskennalliset kustannukset 2026</t>
  </si>
  <si>
    <t>Ohjeet:</t>
  </si>
  <si>
    <t>Syötä kuntakohtaiset tiedot soluihin.</t>
  </si>
  <si>
    <t>Tarkista solujen valtakunnalliset tiedot.</t>
  </si>
  <si>
    <t>Laskennalliset</t>
  </si>
  <si>
    <t>kustannukset, euroa</t>
  </si>
  <si>
    <t>määrä</t>
  </si>
  <si>
    <t>perushinta</t>
  </si>
  <si>
    <t>0-5-vuotiaat</t>
  </si>
  <si>
    <t>6-vuotiaat</t>
  </si>
  <si>
    <t>7-12-vuotiaat</t>
  </si>
  <si>
    <t>13-15-vuotiaat</t>
  </si>
  <si>
    <t>16 vuotta täyttäneet</t>
  </si>
  <si>
    <t>18-64-vuotiaat</t>
  </si>
  <si>
    <t>Ikärakenne yhteensä:</t>
  </si>
  <si>
    <t>(Tieto siirtyy automaattisesti taulukkoon "2. Yhteenveto".)</t>
  </si>
  <si>
    <t>Muut laskennalliset kustannukset 2026</t>
  </si>
  <si>
    <t>MUUT LASKENNALLISET KUSTANNUKSET</t>
  </si>
  <si>
    <t xml:space="preserve">Työttömät ja palveluissa olevat </t>
  </si>
  <si>
    <t>Työttömät ja palveluissa olevat</t>
  </si>
  <si>
    <t>Uusi laskentakriteeri TE-uudistuksen myötä</t>
  </si>
  <si>
    <t>Perushinta</t>
  </si>
  <si>
    <t>€/as.</t>
  </si>
  <si>
    <t>Työttömät ja palveluissa olevat, asiakasmäärän perusteella yhteensä</t>
  </si>
  <si>
    <t>Työttömyyskerroin</t>
  </si>
  <si>
    <t>Koko maa</t>
  </si>
  <si>
    <t>Työttömien määrä</t>
  </si>
  <si>
    <t>Työvoima</t>
  </si>
  <si>
    <t>Työttömyyden perusteella yhteensä</t>
  </si>
  <si>
    <t>Vieraskielisyys</t>
  </si>
  <si>
    <t>Vieraskielisten määrä</t>
  </si>
  <si>
    <t>Vieraskielisyyden perusteella yhteensä</t>
  </si>
  <si>
    <t>Kaksikielisyys</t>
  </si>
  <si>
    <t>Onko kunta kaksikielinen? (0, 1, 2, 3)</t>
  </si>
  <si>
    <t>0 = yksikielinen suomenkielinen</t>
  </si>
  <si>
    <t>1 = kaksikielinen, suomi pääkieli</t>
  </si>
  <si>
    <t>2 = yksikielinen ruotsinkielinen</t>
  </si>
  <si>
    <t>3 = kaksikielinen, ruotsi pääkieli</t>
  </si>
  <si>
    <t>Ruotsinkielisten määrä</t>
  </si>
  <si>
    <t>A) 7 % kokonaisuudesta asukasmäärään perustuen</t>
  </si>
  <si>
    <t>B) 93 % kokonaisuudesta ruotsinkielisten määrään perustuen</t>
  </si>
  <si>
    <t>Kaksikielisyyden perusteella yhteensä</t>
  </si>
  <si>
    <t>Saaristoisuus</t>
  </si>
  <si>
    <t>Onko kunta saaristokunta? (0, 1, 2, 3)</t>
  </si>
  <si>
    <t>0 = ei saaristo- eikä saaristo-osakunta</t>
  </si>
  <si>
    <t>1 = saaristokunta</t>
  </si>
  <si>
    <t>2 = saaristokunta ilman kiinteää tieyhteyttä mantereeseen (Hailuoto)</t>
  </si>
  <si>
    <t>3 = saaristo-osakunta</t>
  </si>
  <si>
    <t>Saaristoisuuden perusteella yhteensä</t>
  </si>
  <si>
    <t>Saaristo-osakunnat</t>
  </si>
  <si>
    <t>Väestö kunnan saaristo-osissa</t>
  </si>
  <si>
    <t>Saaristo-osakuntakorotus yhteensä</t>
  </si>
  <si>
    <t>Asukastiheys</t>
  </si>
  <si>
    <t>Maapinta-ala</t>
  </si>
  <si>
    <t>Asukastiheyskerroin</t>
  </si>
  <si>
    <t>Asukastiheyden perusteella yhteensä</t>
  </si>
  <si>
    <t>Koulutustausta</t>
  </si>
  <si>
    <t>Ilman perusasteen jälkeistä tutkintoa olevat 30–54-vuotiaat</t>
  </si>
  <si>
    <t>30-54-vuotiaat</t>
  </si>
  <si>
    <t>Osuus</t>
  </si>
  <si>
    <t>Koulutustaustakerroin</t>
  </si>
  <si>
    <t>Koulutustaustan perusteella yhteensä</t>
  </si>
  <si>
    <t>Muut laskennalliset kustannukset yhteensä</t>
  </si>
  <si>
    <t>Lisäosat 2026</t>
  </si>
  <si>
    <t>Tarkista solujen tiedot.</t>
  </si>
  <si>
    <t>Hyvinvoinnin ja terveyden edistäminen</t>
  </si>
  <si>
    <t>Hyvinvoinnin ja terveyden edistämisen kerroin</t>
  </si>
  <si>
    <t>Hyvinvoinnin ja terveyden edistämiseen yhteensä</t>
  </si>
  <si>
    <t>Asukasmäärän kasvu</t>
  </si>
  <si>
    <t>Kerroin</t>
  </si>
  <si>
    <t>Asukasmäärän kasvu yhteensä</t>
  </si>
  <si>
    <t>Syrjäisyys</t>
  </si>
  <si>
    <t>Syrjäisyysluku (jos kunnalle on määrätty)</t>
  </si>
  <si>
    <t xml:space="preserve"> - syrjäisyysluku alle 1</t>
  </si>
  <si>
    <t>(0 tai 1)</t>
  </si>
  <si>
    <t xml:space="preserve"> - syrjäisyysluku 1 - 1,5</t>
  </si>
  <si>
    <t>- syrjäisyysluku 1,5 tai enemmän</t>
  </si>
  <si>
    <t>Syrjäisyyden perusteella yhteensä</t>
  </si>
  <si>
    <t>Työpaikkaomavaraisuus</t>
  </si>
  <si>
    <t>Alueella työssäkäyvät (työpaikat)</t>
  </si>
  <si>
    <t>Työlliset</t>
  </si>
  <si>
    <t>osuus</t>
  </si>
  <si>
    <t>Työpaikkaomavaraisuuskerroin</t>
  </si>
  <si>
    <t>Työpaikaomavaraisuuden perusteella yhteensä</t>
  </si>
  <si>
    <t>Saamelaisten kotiseutualueen kunta</t>
  </si>
  <si>
    <t>Onko kunta saamelaisten kotiseutualueen kunta?</t>
  </si>
  <si>
    <t>Saamenkieliset</t>
  </si>
  <si>
    <t>Lisäosat yhteensä</t>
  </si>
  <si>
    <t>Valtionosuuteen tehtävät vähennykset ja lisäykset 2026</t>
  </si>
  <si>
    <t>LISÄYKSET</t>
  </si>
  <si>
    <t>Työttömyysetuuksien rahoitusvastuun laajentamisen korvaus</t>
  </si>
  <si>
    <t>VÄHENNYKSET</t>
  </si>
  <si>
    <t>Kuntien yhdistymisavustus</t>
  </si>
  <si>
    <t>Harkinnanvaraisten avustusten vähennys</t>
  </si>
  <si>
    <t>Kriisikuntien harkinnanvarainen yhdistymisavustus</t>
  </si>
  <si>
    <t>Aloittavien koulujen rahoitukseen liittyvä vähennys</t>
  </si>
  <si>
    <t>Kumulatiivinen verotuloihin perustuvan tasauksen muutoksen neutralisointi (vuodesta 2023 alkaen)</t>
  </si>
  <si>
    <t>Perustoimeentulotuen vähennys</t>
  </si>
  <si>
    <t>Määräaikainen vähennys tehtävien vähentämiseen liittyen</t>
  </si>
  <si>
    <t>Valtionosuusjärjestelmän säästö (Lisätoimet 2025), -2%</t>
  </si>
  <si>
    <t>UUDISTUSTEN TASAUKSET</t>
  </si>
  <si>
    <t>Palvelurahoituksen siirtymäajan porrastus (vuosina 2025 ja 2026)</t>
  </si>
  <si>
    <t>Muutosrajoitin</t>
  </si>
  <si>
    <t>Jälkikäteistarkistuksesta johtuva valtionosuuden lisäsiirtotarve vuodelta 2023</t>
  </si>
  <si>
    <t>Yhteensä 501 miljoonaa eli n. 167 milj.€/vuosi vähennetään €/as. tasasuuruisesti kunnilta vuosina 2025-27 (n. -30 €/as./v.)</t>
  </si>
  <si>
    <t>Määräaikainen v. 2024 tehdyn lisäyksen takaisinperintä</t>
  </si>
  <si>
    <t>Yhteensä 192 miljoonaa eli n. 64 milj.€/vuosi vähennetään €/as. tasasuuruisesti kunnilta vuosina 2025-27 (n. -11 €/as./v.)</t>
  </si>
  <si>
    <t>Sote-erät yhteensä</t>
  </si>
  <si>
    <t>VÄHENNYKSET JA LISÄYKSET YHTEENSÄ</t>
  </si>
  <si>
    <t>MOMENTTI: Valtion korvaus veromenetyksistä</t>
  </si>
  <si>
    <t>Veromenetyksen kompensaatio vuodelta 2010</t>
  </si>
  <si>
    <t>Veromenetyksen kompensaatio vuodelta 2011</t>
  </si>
  <si>
    <t>Veromenetyksen kompensaatio vuodelta 2012</t>
  </si>
  <si>
    <t>Veromenetyksen kompensaatio vuodelta 2013</t>
  </si>
  <si>
    <t>Veromenetyksen kompensaatio vuodelta 2014</t>
  </si>
  <si>
    <t>Veroperustemuutosten vaikutus vuodelta 2015</t>
  </si>
  <si>
    <t>Veroperustemuutosten vaikutus vuodelta 2016</t>
  </si>
  <si>
    <t xml:space="preserve">Veroperustemuutosten vaikutus vuodelta 2017 </t>
  </si>
  <si>
    <t>Veroperustemuutosten vaikutus vuodelta 2018</t>
  </si>
  <si>
    <t>Veroperustemuutosten vaikutus vuodelta 2019</t>
  </si>
  <si>
    <t>Veroperustemuutosten vaikutus vuodelta 2020</t>
  </si>
  <si>
    <t>Veroperustemuutosten vaikutus vuodelta 2021</t>
  </si>
  <si>
    <t>Veroperustemuutosten vaikutus vuodelta 2022</t>
  </si>
  <si>
    <t>Veroperustemuutoksista johtuvien verotulomenetysten korvaus</t>
  </si>
  <si>
    <t>VEROMENETYSTEN KOMPENSAATIOT YHTEENSÄ</t>
  </si>
  <si>
    <t>Opetus- ja kulttuuritoimen valtionosuus 2026 - kunnan oma laskelma</t>
  </si>
  <si>
    <t>= syötä kuntakohtaiset tiedot soluihin</t>
  </si>
  <si>
    <t>= tarkista solujen valtakunnalliset tiedot</t>
  </si>
  <si>
    <t>YLLÄPITÄJÄN YKSIKKÖHINTARAHOITUS</t>
  </si>
  <si>
    <t>Lukio</t>
  </si>
  <si>
    <t>Siirtyy välilehdestä "Lukio"</t>
  </si>
  <si>
    <t>Ammatillinen koulutus</t>
  </si>
  <si>
    <t>Oman erillisen laskelman mukaan</t>
  </si>
  <si>
    <t>Ylläpitäjien yksikköhintarahoitus</t>
  </si>
  <si>
    <t>OPETUS- JA KULTTUURITOIMEN KUNNAN OMARAHOITUSOSUUS</t>
  </si>
  <si>
    <t>Lukiokoulutukseen</t>
  </si>
  <si>
    <t>Toisen asteen ammatilliseen koulutukseen</t>
  </si>
  <si>
    <t>Kunnan omarahoitusosuus toisen asteen koulutukseen</t>
  </si>
  <si>
    <t>Kotikuntakorvauksen perusosa</t>
  </si>
  <si>
    <t>Perusosaan tehtävä vähennys</t>
  </si>
  <si>
    <t>Rahoituksen myöntökerroin</t>
  </si>
  <si>
    <t>yksikkö</t>
  </si>
  <si>
    <t>kerroin</t>
  </si>
  <si>
    <t>Pidennetty oppivelvollisuus</t>
  </si>
  <si>
    <t>Sisäoppilaitoslisä</t>
  </si>
  <si>
    <t>Koulukotikorotus</t>
  </si>
  <si>
    <t>Muut kuin oppivelvolliset</t>
  </si>
  <si>
    <t>Esi- ja perusopetuksen oppilaskohtaiset lisät yhteensä</t>
  </si>
  <si>
    <t>MUU OPETUS- JA KULTTUURITOIMEN VALTIONOSUUSRAHOITUS</t>
  </si>
  <si>
    <t>Aamu- ja iltapäivätoiminta</t>
  </si>
  <si>
    <t>€/ohjaustunti</t>
  </si>
  <si>
    <t>Taiteen perusopetus</t>
  </si>
  <si>
    <t>€/opetustunti</t>
  </si>
  <si>
    <t>Kansalaisopisto</t>
  </si>
  <si>
    <t>Kansanopistot</t>
  </si>
  <si>
    <t>€/opiskelijaviikko</t>
  </si>
  <si>
    <t>Kesäyliopisto</t>
  </si>
  <si>
    <t>Liikunnan koulutuskeskukset</t>
  </si>
  <si>
    <t>€/opiskelijapäivä</t>
  </si>
  <si>
    <t>Liikunta</t>
  </si>
  <si>
    <t>Nuorisotyö</t>
  </si>
  <si>
    <t>€/alle 29-v.</t>
  </si>
  <si>
    <t>Museot</t>
  </si>
  <si>
    <t>Muu esittävä taide (teatteri)</t>
  </si>
  <si>
    <t>Musiikki (orkesteri)</t>
  </si>
  <si>
    <t>Muu opetus- ja kulttuuritoimen valtionosuusrahoitus yhteensä</t>
  </si>
  <si>
    <t>Opetus- ja kulttuuritoimen valtionosuus yhteensä:</t>
  </si>
  <si>
    <t>- mistä toisen asteen koulutuksen rahoitus</t>
  </si>
  <si>
    <t>- mistä esi- ja perusopetuksen lisärahoitus</t>
  </si>
  <si>
    <t>- mistä muu opetus- ja kulttuuritoimen rahoitus</t>
  </si>
  <si>
    <t>- OKM:n positiivisten rahoituserien summa yhteensä</t>
  </si>
  <si>
    <t>- mistä kunnan omarahoitusosuus lukiokoulutukseen</t>
  </si>
  <si>
    <t>- mistä kunnan omarahoitusosuus ammatilliseen koulutukseen</t>
  </si>
  <si>
    <t>Lukion yksikköhintarahoitus 2026 - oma laskelma</t>
  </si>
  <si>
    <t>= syötä kuntakohtaiset tiedot keltaisiin soluihin</t>
  </si>
  <si>
    <t>= tarkista vihreiden solujen valtakunnalliset tiedot</t>
  </si>
  <si>
    <t>LUKION YKSIKKÖHINTA</t>
  </si>
  <si>
    <t>Keskimääräinen yksikköhinta</t>
  </si>
  <si>
    <t>Tasauskerroin</t>
  </si>
  <si>
    <t>Opiskelija-</t>
  </si>
  <si>
    <t>Yhteensä</t>
  </si>
  <si>
    <t>Painotettu pistearvo</t>
  </si>
  <si>
    <t>Tunnusluvun mukainen yksikköhinta</t>
  </si>
  <si>
    <t>Lukiokoulutuksen erityis- ja kehittämistehtävät</t>
  </si>
  <si>
    <t>Laskuri sisältää vain lukiokoulutuksen yksikköhintarahoituksen. Voit arvioida lisärahoitusta esimerkiksi edellisvuoden summilla.</t>
  </si>
  <si>
    <t>Ylläpitäjän lukion yksikköhinta</t>
  </si>
  <si>
    <t>€/opiskelija</t>
  </si>
  <si>
    <t>Ylläpitäjän aikuisopiskelijan yksikköhinta</t>
  </si>
  <si>
    <t>LUKION YKSIKKÖHINTARAHOITUKSEN LASKENNALLINEN PERUSTE</t>
  </si>
  <si>
    <t>Aikuis-</t>
  </si>
  <si>
    <t>opiskelijoita 2)</t>
  </si>
  <si>
    <t>Arvioitu opiskelijamäärä 20.9.2025</t>
  </si>
  <si>
    <t>Aineopiskelun laskennalliset opiskelijat yhteensä 3)</t>
  </si>
  <si>
    <t>Lukion valtionosuuden laskennallinen peruste:</t>
  </si>
  <si>
    <t>Aikuisopiskeilijoiden valtionosuuden laskennallinen peruste:</t>
  </si>
  <si>
    <t>Aineopiskelun laskennallinen peruste:</t>
  </si>
  <si>
    <t>2) Pois lukien aineopiskelun laskennalliset opiskelijat</t>
  </si>
  <si>
    <t>3) Lukuvuoden kurssit jaettuna 15:llä. Muussa oppilaitoksessa suoritettavia aineopiskelun kursseja</t>
  </si>
  <si>
    <t xml:space="preserve">   ei oteta huomioon.</t>
  </si>
  <si>
    <t>Lukion yksikköhintarahoituksen laskennallinen peruste yhteensä</t>
  </si>
  <si>
    <t xml:space="preserve">  Valtionosuusrahoitus tarkistetaan 20.1.2025 ja 20.9.2025 opiskelijamäärän keskiarvon mukaiseksi vuoden lopussa ja se täsmäytetään vuoden 2027 helmikuun valtionosuusmaksatuksessa.</t>
  </si>
  <si>
    <t>kuntanro</t>
  </si>
  <si>
    <t>kuntanimi</t>
  </si>
  <si>
    <t>Asukasluku</t>
  </si>
  <si>
    <t>ikar_0-5</t>
  </si>
  <si>
    <t>ikar_6</t>
  </si>
  <si>
    <t>ikar_7-12</t>
  </si>
  <si>
    <t>ikar_13-15</t>
  </si>
  <si>
    <t>ikar_16</t>
  </si>
  <si>
    <t>ikar_18-64</t>
  </si>
  <si>
    <t>vl_2</t>
  </si>
  <si>
    <t>vl_etuuskompensaatio</t>
  </si>
  <si>
    <t>vl_9</t>
  </si>
  <si>
    <t>vl_10</t>
  </si>
  <si>
    <t>vl_11</t>
  </si>
  <si>
    <t>vl_12</t>
  </si>
  <si>
    <t>vl_13</t>
  </si>
  <si>
    <t>vl_14</t>
  </si>
  <si>
    <t>vl_19</t>
  </si>
  <si>
    <t>vl_22</t>
  </si>
  <si>
    <t>vl_23</t>
  </si>
  <si>
    <t>vl_24</t>
  </si>
  <si>
    <t>vl_15</t>
  </si>
  <si>
    <t>vl_16</t>
  </si>
  <si>
    <t>vl_17</t>
  </si>
  <si>
    <t>vl_18</t>
  </si>
  <si>
    <t>vl_25</t>
  </si>
  <si>
    <t>vl_26</t>
  </si>
  <si>
    <t>vl_27</t>
  </si>
  <si>
    <t>vl_28</t>
  </si>
  <si>
    <t>Alajärvi</t>
  </si>
  <si>
    <t>Alavieska</t>
  </si>
  <si>
    <t>Alavus</t>
  </si>
  <si>
    <t>Asikkala</t>
  </si>
  <si>
    <t>Askola</t>
  </si>
  <si>
    <t>Aura</t>
  </si>
  <si>
    <t>Akaa</t>
  </si>
  <si>
    <t>Enonkoski</t>
  </si>
  <si>
    <t>Enontekiö</t>
  </si>
  <si>
    <t>Eura</t>
  </si>
  <si>
    <t>Eurajoki</t>
  </si>
  <si>
    <t>Evijärvi</t>
  </si>
  <si>
    <t>Forssa</t>
  </si>
  <si>
    <t>Haapajärvi</t>
  </si>
  <si>
    <t>Haapavesi</t>
  </si>
  <si>
    <t>Hailuoto</t>
  </si>
  <si>
    <t>Halsua</t>
  </si>
  <si>
    <t>Hamina</t>
  </si>
  <si>
    <t>Hankasalmi</t>
  </si>
  <si>
    <t>Hanko</t>
  </si>
  <si>
    <t>Harjavalta</t>
  </si>
  <si>
    <t>Hartola</t>
  </si>
  <si>
    <t>Hattula</t>
  </si>
  <si>
    <t>Hausjärvi</t>
  </si>
  <si>
    <t>Heinävesi</t>
  </si>
  <si>
    <t>Helsinki</t>
  </si>
  <si>
    <t>Vantaa</t>
  </si>
  <si>
    <t>Hirvensalmi</t>
  </si>
  <si>
    <t>Hollola</t>
  </si>
  <si>
    <t>Huittinen</t>
  </si>
  <si>
    <t>Humppila</t>
  </si>
  <si>
    <t>Hyrynsalmi</t>
  </si>
  <si>
    <t>Hyvinkää</t>
  </si>
  <si>
    <t>Hämeenkyrö</t>
  </si>
  <si>
    <t>Hämeenlinna</t>
  </si>
  <si>
    <t>Heinola</t>
  </si>
  <si>
    <t>Ii</t>
  </si>
  <si>
    <t>Iisalmi</t>
  </si>
  <si>
    <t>Iitti</t>
  </si>
  <si>
    <t>Ikaalinen</t>
  </si>
  <si>
    <t>Ilmajoki</t>
  </si>
  <si>
    <t>Ilomantsi</t>
  </si>
  <si>
    <t>Inari</t>
  </si>
  <si>
    <t>Inkoo</t>
  </si>
  <si>
    <t>Isojoki</t>
  </si>
  <si>
    <t>Isokyrö</t>
  </si>
  <si>
    <t>Imatra</t>
  </si>
  <si>
    <t>Janakkala</t>
  </si>
  <si>
    <t>Joensuu</t>
  </si>
  <si>
    <t>Jokioinen</t>
  </si>
  <si>
    <t>Joroinen</t>
  </si>
  <si>
    <t>Joutsa</t>
  </si>
  <si>
    <t>Juuka</t>
  </si>
  <si>
    <t>Juupajoki</t>
  </si>
  <si>
    <t>Juva</t>
  </si>
  <si>
    <t>Jyväskylä</t>
  </si>
  <si>
    <t>Jämijärvi</t>
  </si>
  <si>
    <t>Jämsä</t>
  </si>
  <si>
    <t>Järvenpää</t>
  </si>
  <si>
    <t>Kaarina</t>
  </si>
  <si>
    <t>Kaavi</t>
  </si>
  <si>
    <t>Kajaani</t>
  </si>
  <si>
    <t>Kalajoki</t>
  </si>
  <si>
    <t>Kangasala</t>
  </si>
  <si>
    <t>Kangasniemi</t>
  </si>
  <si>
    <t>Kankaanpää</t>
  </si>
  <si>
    <t>Kannonkoski</t>
  </si>
  <si>
    <t>Kannus</t>
  </si>
  <si>
    <t>Karijoki</t>
  </si>
  <si>
    <t>Karkkila</t>
  </si>
  <si>
    <t>Karstula</t>
  </si>
  <si>
    <t>Karvia</t>
  </si>
  <si>
    <t>Kaskinen</t>
  </si>
  <si>
    <t>Kauhajoki</t>
  </si>
  <si>
    <t>Kauhava</t>
  </si>
  <si>
    <t>Kauniainen</t>
  </si>
  <si>
    <t>Kaustinen</t>
  </si>
  <si>
    <t>Keitele</t>
  </si>
  <si>
    <t>Kemi</t>
  </si>
  <si>
    <t>Keminmaa</t>
  </si>
  <si>
    <t>Kempele</t>
  </si>
  <si>
    <t>Kerava</t>
  </si>
  <si>
    <t>Keuruu</t>
  </si>
  <si>
    <t>Kihniö</t>
  </si>
  <si>
    <t>Kinnula</t>
  </si>
  <si>
    <t>Kirkkonummi</t>
  </si>
  <si>
    <t>Kitee</t>
  </si>
  <si>
    <t>Kittilä</t>
  </si>
  <si>
    <t>Kiuruvesi</t>
  </si>
  <si>
    <t>Kivijärvi</t>
  </si>
  <si>
    <t>Kokemäki</t>
  </si>
  <si>
    <t>Kokkola</t>
  </si>
  <si>
    <t>Kolari</t>
  </si>
  <si>
    <t>Konnevesi</t>
  </si>
  <si>
    <t>Kontiolahti</t>
  </si>
  <si>
    <t>Korsnäs</t>
  </si>
  <si>
    <t>Koski Tl</t>
  </si>
  <si>
    <t>Kotka</t>
  </si>
  <si>
    <t>Kouvola</t>
  </si>
  <si>
    <t>Kristiinankaupunki</t>
  </si>
  <si>
    <t>Kruunupyy</t>
  </si>
  <si>
    <t>Kuhmo</t>
  </si>
  <si>
    <t>Kuhmoinen</t>
  </si>
  <si>
    <t>Kuopio</t>
  </si>
  <si>
    <t>Kuortane</t>
  </si>
  <si>
    <t>Kurikka</t>
  </si>
  <si>
    <t>Kustavi</t>
  </si>
  <si>
    <t>Kuusamo</t>
  </si>
  <si>
    <t>Outokumpu</t>
  </si>
  <si>
    <t>Kyyjärvi</t>
  </si>
  <si>
    <t>Kärkölä</t>
  </si>
  <si>
    <t>Kärsämäki</t>
  </si>
  <si>
    <t>Kemijärvi</t>
  </si>
  <si>
    <t>Kemiönsaari</t>
  </si>
  <si>
    <t>Lahti</t>
  </si>
  <si>
    <t>Laihia</t>
  </si>
  <si>
    <t>Laitila</t>
  </si>
  <si>
    <t>Lapinlahti</t>
  </si>
  <si>
    <t>Lappajärvi</t>
  </si>
  <si>
    <t>Lappeenranta</t>
  </si>
  <si>
    <t>Lapinjärvi</t>
  </si>
  <si>
    <t>Lapua</t>
  </si>
  <si>
    <t>Laukaa</t>
  </si>
  <si>
    <t>Lemi</t>
  </si>
  <si>
    <t>Lempäälä</t>
  </si>
  <si>
    <t>Leppävirta</t>
  </si>
  <si>
    <t>Lestijärvi</t>
  </si>
  <si>
    <t>Lieksa</t>
  </si>
  <si>
    <t>Lieto</t>
  </si>
  <si>
    <t>Liminka</t>
  </si>
  <si>
    <t>Liperi</t>
  </si>
  <si>
    <t>Loimaa</t>
  </si>
  <si>
    <t>Loppi</t>
  </si>
  <si>
    <t>Loviisa</t>
  </si>
  <si>
    <t>Luhanka</t>
  </si>
  <si>
    <t>Lumijoki</t>
  </si>
  <si>
    <t>Luoto</t>
  </si>
  <si>
    <t>Luumäki</t>
  </si>
  <si>
    <t>Lohja</t>
  </si>
  <si>
    <t>Parainen</t>
  </si>
  <si>
    <t>Maalahti</t>
  </si>
  <si>
    <t>Marttila</t>
  </si>
  <si>
    <t>Masku</t>
  </si>
  <si>
    <t>Merijärvi</t>
  </si>
  <si>
    <t>Merikarvia</t>
  </si>
  <si>
    <t>Miehikkälä</t>
  </si>
  <si>
    <t>Mikkeli</t>
  </si>
  <si>
    <t>Muhos</t>
  </si>
  <si>
    <t>Multia</t>
  </si>
  <si>
    <t>Muonio</t>
  </si>
  <si>
    <t>Mustasaari</t>
  </si>
  <si>
    <t>Muurame</t>
  </si>
  <si>
    <t>Mynämäki</t>
  </si>
  <si>
    <t>Myrskylä</t>
  </si>
  <si>
    <t>Mäntsälä</t>
  </si>
  <si>
    <t>Mäntyharju</t>
  </si>
  <si>
    <t>Mänttä-Vilppula</t>
  </si>
  <si>
    <t>Naantali</t>
  </si>
  <si>
    <t>Nakkila</t>
  </si>
  <si>
    <t>Nivala</t>
  </si>
  <si>
    <t>Nokia</t>
  </si>
  <si>
    <t>Nousiainen</t>
  </si>
  <si>
    <t>Nurmes</t>
  </si>
  <si>
    <t>Nurmijärvi</t>
  </si>
  <si>
    <t>Närpiö</t>
  </si>
  <si>
    <t>Orimattila</t>
  </si>
  <si>
    <t>Oripää</t>
  </si>
  <si>
    <t>Orivesi</t>
  </si>
  <si>
    <t>Oulainen</t>
  </si>
  <si>
    <t>Oulu</t>
  </si>
  <si>
    <t>Padasjoki</t>
  </si>
  <si>
    <t>Paimio</t>
  </si>
  <si>
    <t>Paltamo</t>
  </si>
  <si>
    <t>Parikkala</t>
  </si>
  <si>
    <t>Parkano</t>
  </si>
  <si>
    <t>Pelkosenniemi</t>
  </si>
  <si>
    <t>Perho</t>
  </si>
  <si>
    <t>Petäjävesi</t>
  </si>
  <si>
    <t>Pieksämäki</t>
  </si>
  <si>
    <t>Pielavesi</t>
  </si>
  <si>
    <t>Pietarsaari</t>
  </si>
  <si>
    <t>Pedersöre</t>
  </si>
  <si>
    <t>Pihtipudas</t>
  </si>
  <si>
    <t>Pirkkala</t>
  </si>
  <si>
    <t>Polvijärvi</t>
  </si>
  <si>
    <t>Pomarkku</t>
  </si>
  <si>
    <t>Pori</t>
  </si>
  <si>
    <t>Pornainen</t>
  </si>
  <si>
    <t>Posio</t>
  </si>
  <si>
    <t>Pudasjärvi</t>
  </si>
  <si>
    <t>Pukkila</t>
  </si>
  <si>
    <t>Punkalaidun</t>
  </si>
  <si>
    <t>Puolanka</t>
  </si>
  <si>
    <t>Puumala</t>
  </si>
  <si>
    <t>Pyhtää</t>
  </si>
  <si>
    <t>Pyhäjoki</t>
  </si>
  <si>
    <t>Pyhäjärvi</t>
  </si>
  <si>
    <t>Pyhäntä</t>
  </si>
  <si>
    <t>Pyhäranta</t>
  </si>
  <si>
    <t>Pälkäne</t>
  </si>
  <si>
    <t>Pöytyä</t>
  </si>
  <si>
    <t>Porvoo</t>
  </si>
  <si>
    <t>Raahe</t>
  </si>
  <si>
    <t>Raisio</t>
  </si>
  <si>
    <t>Rantasalmi</t>
  </si>
  <si>
    <t>Ranua</t>
  </si>
  <si>
    <t>Rauma</t>
  </si>
  <si>
    <t>Rautalampi</t>
  </si>
  <si>
    <t>Rautavaara</t>
  </si>
  <si>
    <t>Rautjärvi</t>
  </si>
  <si>
    <t>Reisjärvi</t>
  </si>
  <si>
    <t>Riihimäki</t>
  </si>
  <si>
    <t>Ristijärvi</t>
  </si>
  <si>
    <t>Rovaniemi</t>
  </si>
  <si>
    <t>Ruokolahti</t>
  </si>
  <si>
    <t>Ruovesi</t>
  </si>
  <si>
    <t>Rusko</t>
  </si>
  <si>
    <t>Rääkkylä</t>
  </si>
  <si>
    <t>Raasepori</t>
  </si>
  <si>
    <t>Saarijärvi</t>
  </si>
  <si>
    <t>Salla</t>
  </si>
  <si>
    <t>Salo</t>
  </si>
  <si>
    <t>Sauvo</t>
  </si>
  <si>
    <t>Savitaipale</t>
  </si>
  <si>
    <t>Savonlinna</t>
  </si>
  <si>
    <t>Savukoski</t>
  </si>
  <si>
    <t>Seinäjoki</t>
  </si>
  <si>
    <t>Sievi</t>
  </si>
  <si>
    <t>Siikainen</t>
  </si>
  <si>
    <t>Siikajoki</t>
  </si>
  <si>
    <t>Siilinjärvi</t>
  </si>
  <si>
    <t>Simo</t>
  </si>
  <si>
    <t>Sipoo</t>
  </si>
  <si>
    <t>Siuntio</t>
  </si>
  <si>
    <t>Sodankylä</t>
  </si>
  <si>
    <t>Soini</t>
  </si>
  <si>
    <t>Somero</t>
  </si>
  <si>
    <t>Sonkajärvi</t>
  </si>
  <si>
    <t>Sotkamo</t>
  </si>
  <si>
    <t>Sulkava</t>
  </si>
  <si>
    <t>Suomussalmi</t>
  </si>
  <si>
    <t>Suonenjoki</t>
  </si>
  <si>
    <t>Sysmä</t>
  </si>
  <si>
    <t>Säkylä</t>
  </si>
  <si>
    <t>Vaala</t>
  </si>
  <si>
    <t>Sastamala</t>
  </si>
  <si>
    <t>Siikalatva</t>
  </si>
  <si>
    <t>Taipalsaari</t>
  </si>
  <si>
    <t>Taivalkoski</t>
  </si>
  <si>
    <t>Taivassalo</t>
  </si>
  <si>
    <t>Tammela</t>
  </si>
  <si>
    <t>Tampere</t>
  </si>
  <si>
    <t>Tervo</t>
  </si>
  <si>
    <t>Tervola</t>
  </si>
  <si>
    <t>Teuva</t>
  </si>
  <si>
    <t>Tohmajärvi</t>
  </si>
  <si>
    <t>Toholampi</t>
  </si>
  <si>
    <t>Toivakka</t>
  </si>
  <si>
    <t>Tornio</t>
  </si>
  <si>
    <t>Turku</t>
  </si>
  <si>
    <t>Pello</t>
  </si>
  <si>
    <t>Tuusniemi</t>
  </si>
  <si>
    <t>Tuusula</t>
  </si>
  <si>
    <t>Tyrnävä</t>
  </si>
  <si>
    <t>Ulvila</t>
  </si>
  <si>
    <t>Urjala</t>
  </si>
  <si>
    <t>Utajärvi</t>
  </si>
  <si>
    <t>Utsjoki</t>
  </si>
  <si>
    <t>Uurainen</t>
  </si>
  <si>
    <t>Uusikaarlepyy</t>
  </si>
  <si>
    <t>Uusikaupunki</t>
  </si>
  <si>
    <t>Vaasa</t>
  </si>
  <si>
    <t>Valkeakoski</t>
  </si>
  <si>
    <t>Varkaus</t>
  </si>
  <si>
    <t>Vehmaa</t>
  </si>
  <si>
    <t>Vesanto</t>
  </si>
  <si>
    <t>Vesilahti</t>
  </si>
  <si>
    <t>Veteli</t>
  </si>
  <si>
    <t>Vieremä</t>
  </si>
  <si>
    <t>Vihti</t>
  </si>
  <si>
    <t>Viitasaari</t>
  </si>
  <si>
    <t>Vimpeli</t>
  </si>
  <si>
    <t>Virolahti</t>
  </si>
  <si>
    <t>Virrat</t>
  </si>
  <si>
    <t>Vöyri</t>
  </si>
  <si>
    <t>Ylitornio</t>
  </si>
  <si>
    <t>Ylivieska</t>
  </si>
  <si>
    <t>Ylöjärvi</t>
  </si>
  <si>
    <t>Ypäjä</t>
  </si>
  <si>
    <t>Ähtäri</t>
  </si>
  <si>
    <t>Äänekoski</t>
  </si>
  <si>
    <t>Uusi työikäisten ikäryhmäkriteeri otettiin mukaan TE-uudistuksen myötä 2025 alkaen</t>
  </si>
  <si>
    <t>Ikärakenteen perusteella määräytyvät laskennalliset kustannukset yht.</t>
  </si>
  <si>
    <t>Verotuloihin perustuva valtionosuuden tasaus</t>
  </si>
  <si>
    <t>Siitä sote-uudistuksen tasauserät:</t>
  </si>
  <si>
    <t>Toistaiseksi pysyvä kuntakohtainen erä</t>
  </si>
  <si>
    <t xml:space="preserve">Järjestelmämuutoksen tasaus </t>
  </si>
  <si>
    <t>Siirtymäkauden 2023-27 aikana muuttuva kuntakohtainen erä</t>
  </si>
  <si>
    <t>Kaikille kunnille €/as. tasasuuruinen vähennys vuosina 2025-27</t>
  </si>
  <si>
    <t>- kunnan omarahoitusosuus lukiokoulutukseen 2026 (arvio)</t>
  </si>
  <si>
    <t>- kunnan omarahoitusosuus ammatilliseen koulutukseen 2026 (arvio)</t>
  </si>
  <si>
    <r>
      <rPr>
        <b/>
        <i/>
        <sz val="10"/>
        <rFont val="Work Sans"/>
        <scheme val="minor"/>
      </rPr>
      <t>Lisätiedot</t>
    </r>
    <r>
      <rPr>
        <i/>
        <sz val="10"/>
        <rFont val="Work Sans"/>
        <scheme val="minor"/>
      </rPr>
      <t>: Suomen Kuntaliitto / Olli Riikonen, puh. 050 477 5619 ja Mikko Mehtonen, puh. 050 592 8986</t>
    </r>
  </si>
  <si>
    <t>Kunnan valtionosuus ja veromenetysten korvaus 2026 (omalla OKM-vos-arviolla)</t>
  </si>
  <si>
    <t>3. Veroperustemuutoksista johtuvien veromenetysten korvaus</t>
  </si>
  <si>
    <t>4. Esi- ja perusopetuksen kotikuntakorvaukset, netto</t>
  </si>
  <si>
    <t>OKM-vos vuoden 2025 valtionosuuspäätöksen mukaan</t>
  </si>
  <si>
    <t>Kotikuntakorvaukset eivät ole valtionosuuksia, mutta maksatus hoidetaan valtionosuusjärjestelmän kautta</t>
  </si>
  <si>
    <t>muutla_työttömät_ja_palveluissa</t>
  </si>
  <si>
    <t>Joustavan perusopetuksen lisä</t>
  </si>
  <si>
    <t>Perusopetukseen valmistava opetus</t>
  </si>
  <si>
    <t>muutla_työttömät</t>
  </si>
  <si>
    <t>muutla_työvoima</t>
  </si>
  <si>
    <t>muutla_vieraskieliset</t>
  </si>
  <si>
    <t>muutla_kaksikielisyys</t>
  </si>
  <si>
    <t>muutla_ruotsinkieliset</t>
  </si>
  <si>
    <t>muutla_saaristoasema</t>
  </si>
  <si>
    <t>muutla_saaristoväestö</t>
  </si>
  <si>
    <t>muutla_pinta-ala</t>
  </si>
  <si>
    <t>muutla_ilman_tutkintoa</t>
  </si>
  <si>
    <t>muutla_30-54-vuotiaat</t>
  </si>
  <si>
    <t>vl_toimeentulotuki</t>
  </si>
  <si>
    <t>vl_TE_porrastus</t>
  </si>
  <si>
    <t>vl_sote_muutosrajoitin</t>
  </si>
  <si>
    <t>vl_sote_järjestelmämuutoksen_tasaus</t>
  </si>
  <si>
    <t>vl_sote_lisäsiirto2023</t>
  </si>
  <si>
    <t>vl_sote-lisäsiirto2024</t>
  </si>
  <si>
    <t>Kunnan valtionosuus, veromenetysten korvaus ja kotikuntakorvaukset 2026 (omalla OKM-vos-arviolla)</t>
  </si>
  <si>
    <t>VM:n peruspalvelujen valtionosuus yhteensä</t>
  </si>
  <si>
    <t xml:space="preserve">  Valitse, syötä tai tarkista harmaiden kenttien tiedot</t>
  </si>
  <si>
    <t xml:space="preserve">  Tiedot siirtyvät automaattisesti työkirjan muista taulukoista näihin keltaisen värisiin kenttiin. Tarkista tiedot.</t>
  </si>
  <si>
    <t>Sote-erät:</t>
  </si>
  <si>
    <t>TE-uudistus:</t>
  </si>
  <si>
    <t>€/htv</t>
  </si>
  <si>
    <t>OKMvos</t>
  </si>
  <si>
    <t>lo1_syrjäisyysluku</t>
  </si>
  <si>
    <t>lo2_työpaikat</t>
  </si>
  <si>
    <t>lo3_työlliset</t>
  </si>
  <si>
    <t>lo4_hyte</t>
  </si>
  <si>
    <t>lo5_asukasmäärän_kasvu</t>
  </si>
  <si>
    <t>lo6_saamelaiskunta</t>
  </si>
  <si>
    <t>lo7_saamenkieliset</t>
  </si>
  <si>
    <t>vl_kehysriihisäästö (2 %)</t>
  </si>
  <si>
    <t>Järjestelmämuutoksen tasaus</t>
  </si>
  <si>
    <t>kotikuntakorvaus (netto)</t>
  </si>
  <si>
    <t>verotulomenetysten_korvaus</t>
  </si>
  <si>
    <t>verotuloihin_perustuva_vos_tasaus</t>
  </si>
  <si>
    <t>Kevään 2025 kehysriihessä hallituksen linjaama leikkaus vähentää kunnan VM-valtionosuuksista n. 2 % (pl.veromenetysten korvaus)</t>
  </si>
  <si>
    <t>Kunnan rahoitusosuus on puolet kunnan asukkaiden perustoimeentulotuesta - takautuva vähennys v. 2024 toteuman perusteella</t>
  </si>
  <si>
    <t>Vaikeimmin vammaiset</t>
  </si>
  <si>
    <t>Muut vammaiset</t>
  </si>
  <si>
    <t>Pidennetyn oppivelv. esiopetus</t>
  </si>
  <si>
    <t>yksikköhinta</t>
  </si>
  <si>
    <t>Aikuisten perusopetus</t>
  </si>
  <si>
    <t>Perusopetuksen aineopetus</t>
  </si>
  <si>
    <t>suoritemäärä</t>
  </si>
  <si>
    <t>vos-prosentti</t>
  </si>
  <si>
    <t>OKMvos_alle29v</t>
  </si>
  <si>
    <t>OPETUSTOIMEN VALTIONOSUUS/RAHOITUSSOVELLUS 2025 OPETUS- JA KULTTUURITOIMI raportti VOP6OS25</t>
  </si>
  <si>
    <t>Opetus- ja kulttuuritoimen rahoitus - Yksikköhintojen ja rahoituksen määräytyminen vuonna 2025 | Opetushallitus</t>
  </si>
  <si>
    <t>Tutustu OKM-vos:n määräytymisperusteisiin vuonna 2025 (pääsääntöisesti pysyvät ennallaan, eurot vain muuttuvat):</t>
  </si>
  <si>
    <t>Lukiokoulutuksen rahoitusjärjestelmä muuttuu | Kuntaliitto.fi</t>
  </si>
  <si>
    <t>Lue lukiorahoituksen uudistuksesta Kyösti Värrin blogi 29.4.2025:</t>
  </si>
  <si>
    <r>
      <t>opiskelijamäärä</t>
    </r>
    <r>
      <rPr>
        <i/>
        <vertAlign val="superscript"/>
        <sz val="10"/>
        <rFont val="Work Sans"/>
        <scheme val="minor"/>
      </rPr>
      <t>1)</t>
    </r>
  </si>
  <si>
    <r>
      <t>Suomenkielinen lukiokoulutus 20.9.2025:</t>
    </r>
    <r>
      <rPr>
        <vertAlign val="superscript"/>
        <sz val="10"/>
        <rFont val="Work Sans"/>
        <scheme val="minor"/>
      </rPr>
      <t>1)</t>
    </r>
  </si>
  <si>
    <r>
      <t>Ruotsinkielinen lukiokoulutus 20.9.2025:</t>
    </r>
    <r>
      <rPr>
        <vertAlign val="superscript"/>
        <sz val="10"/>
        <rFont val="Work Sans"/>
        <scheme val="minor"/>
      </rPr>
      <t>1)</t>
    </r>
  </si>
  <si>
    <r>
      <rPr>
        <i/>
        <vertAlign val="superscript"/>
        <sz val="9"/>
        <rFont val="Work Sans"/>
        <scheme val="minor"/>
      </rPr>
      <t>1)</t>
    </r>
    <r>
      <rPr>
        <i/>
        <sz val="9"/>
        <rFont val="Work Sans"/>
        <scheme val="minor"/>
      </rPr>
      <t>Mikäli toisessa tai molemmissa kieliryhmissä on alle 200 opiskelijaa</t>
    </r>
  </si>
  <si>
    <t xml:space="preserve">Aineiston nimi: </t>
  </si>
  <si>
    <t>Kuntaliiton valtionosuuslaskuri 2026</t>
  </si>
  <si>
    <t xml:space="preserve">Aineiston alkuperäinen lähde: </t>
  </si>
  <si>
    <t>VM, OKM/OPH, Kuntaliitto</t>
  </si>
  <si>
    <t xml:space="preserve">Yhteyshenkilö: </t>
  </si>
  <si>
    <t xml:space="preserve">Lyhyt kuvaus (valinnainen): </t>
  </si>
  <si>
    <t>Laskuri, jossa vos-laskentatekijät avattuna yksityiskohtaisesti ja jossa lukuja voi itse muokata</t>
  </si>
  <si>
    <t>Veromenetysten korvaus eli ns. verokompit esitetään erillään varsinaisista valtionosuuksista</t>
  </si>
  <si>
    <t>Päivämäärä:</t>
  </si>
  <si>
    <t xml:space="preserve">Olli Riikonen, puh. 050 477 5619, olli.riikonen@kuntaliitto.fi </t>
  </si>
  <si>
    <t>Syrjäinen tai vähemmistökielinen:</t>
  </si>
  <si>
    <t>Kyllä</t>
  </si>
  <si>
    <t>Ei</t>
  </si>
  <si>
    <t>pisteitä uusi (33%)</t>
  </si>
  <si>
    <t>pisteitä vanha (67 %)</t>
  </si>
  <si>
    <t>Pisteet yhteensä</t>
  </si>
  <si>
    <t>Oppilasmäärä</t>
  </si>
  <si>
    <t>Kurssimäärä</t>
  </si>
  <si>
    <t>Läsnäolokuukausi</t>
  </si>
  <si>
    <t>Valitse alasvetovalikosta kyllä, jos kunta on syrjäinen tai vähemmistökielinen:</t>
  </si>
  <si>
    <t>Ennakolliset valtionosuuksien laskentatiedot 2026 / VM (22.9.2025)</t>
  </si>
  <si>
    <t>OKM:n yksikköhintatiedot hallituksen 22.9.2025 budjettiesityksen mukaan</t>
  </si>
  <si>
    <t>Hae kuntasi tämän vuoden valtionosuuslaskennan tiedot täältä:</t>
  </si>
  <si>
    <t>Yksikköhinta 2026</t>
  </si>
  <si>
    <t>Pidennetty oppivelvollisuus | Opetushallitus</t>
  </si>
  <si>
    <t>Vuoden 2026 rahoitus määräytyy pääsääntöisesti 20.9.2025 oppilasmäärän mukaan</t>
  </si>
  <si>
    <t xml:space="preserve">ESI- JA PERUSOPETUKSEN OPPILASKOHTAISET LISÄT </t>
  </si>
  <si>
    <t>Perusteena lukuvuonna 2024-25 toteutuneet ohjaustunnit (keskimäärin vähintään 3 ja/tai enintään 4 t/päivä)</t>
  </si>
  <si>
    <t>Vuoden 2026 rahoitus perustuu vuonna 2024 toteutuneiden läsnäolokuukausien toteumaan 30.9.2025 Koski-tietovarannon mukaan</t>
  </si>
  <si>
    <t>Vuoden 2026 rahoitus perustuu edellisen lukuvuoden (2024-25) toteutuneiden kurssien määrään 30.9.2025 Koski-tietovarannon mukaan</t>
  </si>
  <si>
    <t>Vuoden 2026 rahoitus perustuu vuoden 2024 kurssimäärien toteumaan 30.9.2025 Koski-tietovarannon mukaan</t>
  </si>
  <si>
    <t>Perusteena OKM:n vahvistama tuntimäärä</t>
  </si>
  <si>
    <t>OKM-vos</t>
  </si>
  <si>
    <t>Veromenetysten korvaus</t>
  </si>
  <si>
    <t>Valtionosuudet yhteensä</t>
  </si>
  <si>
    <t>Sote-muutosrajoitin</t>
  </si>
  <si>
    <t>Sote-järjestelmämuutoksen tasaus</t>
  </si>
  <si>
    <t>Muut valtionosuuden lisäykset ja vähennykset yhteensä</t>
  </si>
  <si>
    <t>Manner-Suomi</t>
  </si>
  <si>
    <t>Vertailussa valittu kunta ja Manner-Suomi yhteensä</t>
  </si>
  <si>
    <t>Luvut €/asukas, vuosi 2026</t>
  </si>
  <si>
    <t>Kunnan valtionosuuksien rakenne kaavioina</t>
  </si>
  <si>
    <t>Tässä VM:n valtionosuuksien lisäyksistä ja vähennyksistä on irrotettu erikseen näkyviin</t>
  </si>
  <si>
    <t>kuntakohtaisesti vaihtelevat sote-erät eli muutosrajoitin ja järjestelmämuutoksen tasaus</t>
  </si>
  <si>
    <t>VM-vos (sis. Veromenetysten kompensaatiot)</t>
  </si>
  <si>
    <t>Kunnan omarahoitusosuus laskennallisista kustannuksista</t>
  </si>
  <si>
    <t xml:space="preserve">Valtionosuus laskennallisista kustannuksista </t>
  </si>
  <si>
    <t>2.12.2025, Kuntaliitto / Olli Riikonen</t>
  </si>
  <si>
    <t>Lähteet: VM:n marraskuun ennakollinen valtionosuuslaskelma vuodelle 2026 ja OKM-vos-laskurissa 2.12. käytettävissä olleet tiedot</t>
  </si>
  <si>
    <t>Verotuloihin perustuva ts. tulopohjan tasaus</t>
  </si>
  <si>
    <t>Valtionosuus kunnan lakisääteisiin tehtäviin (kustannuserojen tasaus)</t>
  </si>
  <si>
    <t>Muut valtionosuuden lisäykset ja vähennykset</t>
  </si>
  <si>
    <t>Verotulomenetysten korvaukset</t>
  </si>
  <si>
    <t>Kunnan rahoitusosuus perustoimeentulotukeen</t>
  </si>
  <si>
    <t>1. Valtionosuudet VM:n laskentatekijöillä (kuntakohtaiset sote-erät avattuna) + OKM-vos</t>
  </si>
  <si>
    <t>2. Valtionosuuksien kolmijako: Kustannuserojen tasaus, tulopohjan tasaus ja muut tekijät</t>
  </si>
  <si>
    <t>3. Valtionosuuksien vielä karkeampi kolmijako: Kustannuserojen tasaus, tulopohjan tasaus ja muut tekijät</t>
  </si>
  <si>
    <t>Kaikki muut tekijät</t>
  </si>
  <si>
    <t>4. Valtionosuudet hallinnollisen jaon (VM, OKM) mukaan</t>
  </si>
  <si>
    <t>Kuntakohtaiset sote-erät</t>
  </si>
  <si>
    <t>Laskurilla laskettu OKM-rahoitus vuodelle 2026 (täytä arviotiedot välilehdille 7 ja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</si>
</sst>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42" formatCode="_-* #,##0\ &quot;€&quot;_-;\-* #,##0\ &quot;€&quot;_-;_-* &quot;-&quot;\ &quot;€&quot;_-;_-@_-"/>
    <numFmt numFmtId="44" formatCode="_-* #,##0.00\ &quot;€&quot;_-;\-* #,##0.00\ &quot;€&quot;_-;_-* &quot;-&quot;??\ &quot;€&quot;_-;_-@_-"/>
    <numFmt numFmtId="164" formatCode="_-* #,##0\ _€_-;\-* #,##0\ _€_-;_-* &quot;-&quot;\ _€_-;_-@_-"/>
    <numFmt numFmtId="165" formatCode="_-* #,##0.00\ _€_-;\-* #,##0.00\ _€_-;_-* &quot;-&quot;??\ _€_-;_-@_-"/>
    <numFmt numFmtId="166" formatCode="#,##0_ ;[Red]\-#,##0\ "/>
    <numFmt numFmtId="167" formatCode="#,##0.00_ ;[Red]\-#,##0.00\ "/>
    <numFmt numFmtId="168" formatCode="#,##0.000000"/>
    <numFmt numFmtId="169" formatCode="0.0000"/>
    <numFmt numFmtId="170" formatCode="#,##0.0000"/>
    <numFmt numFmtId="171" formatCode="0_ ;[Red]\-0\ "/>
    <numFmt numFmtId="172" formatCode="#,##0.000"/>
    <numFmt numFmtId="173" formatCode="#,##0.00\ &quot;€&quot;"/>
    <numFmt numFmtId="174" formatCode="0.0"/>
    <numFmt numFmtId="175" formatCode="0.00_ ;[Red]\-0.00\ "/>
    <numFmt numFmtId="176" formatCode="#,##0.0"/>
    <numFmt numFmtId="177" formatCode="0.0000000"/>
    <numFmt numFmtId="178" formatCode="0.000"/>
  </numFmts>
  <fonts count="98" x14ac:knownFonts="1">
    <font>
      <sz val="9"/>
      <name val="Work Sans"/>
      <family val="2"/>
      <scheme val="minor"/>
    </font>
    <font>
      <sz val="11"/>
      <color theme="1"/>
      <name val="Work Sans"/>
      <family val="2"/>
      <scheme val="minor"/>
    </font>
    <font>
      <b/>
      <sz val="9"/>
      <color theme="0"/>
      <name val="Work Sans"/>
      <family val="2"/>
      <scheme val="minor"/>
    </font>
    <font>
      <i/>
      <sz val="9"/>
      <color rgb="FF7F7F7F"/>
      <name val="Work Sans"/>
      <family val="2"/>
      <scheme val="minor"/>
    </font>
    <font>
      <sz val="9"/>
      <color rgb="FFFA7D00"/>
      <name val="Work Sans"/>
      <family val="2"/>
      <scheme val="minor"/>
    </font>
    <font>
      <b/>
      <sz val="9"/>
      <color theme="9"/>
      <name val="Work Sans"/>
      <family val="2"/>
      <scheme val="minor"/>
    </font>
    <font>
      <b/>
      <sz val="10"/>
      <color theme="1"/>
      <name val="Work Sans"/>
      <family val="2"/>
      <scheme val="minor"/>
    </font>
    <font>
      <sz val="9"/>
      <name val="Work Sans"/>
      <family val="2"/>
      <scheme val="minor"/>
    </font>
    <font>
      <b/>
      <sz val="14"/>
      <color theme="4"/>
      <name val="Work Sans"/>
      <family val="2"/>
      <scheme val="minor"/>
    </font>
    <font>
      <sz val="9"/>
      <color theme="0"/>
      <name val="Work Sans"/>
      <family val="2"/>
      <scheme val="minor"/>
    </font>
    <font>
      <b/>
      <sz val="9"/>
      <name val="Work Sans"/>
      <family val="2"/>
      <scheme val="minor"/>
    </font>
    <font>
      <sz val="11"/>
      <name val="Work Sans"/>
      <family val="2"/>
      <scheme val="minor"/>
    </font>
    <font>
      <b/>
      <sz val="16"/>
      <color theme="4"/>
      <name val="Work Sans ExtraBold"/>
      <family val="2"/>
      <scheme val="major"/>
    </font>
    <font>
      <b/>
      <sz val="11"/>
      <color theme="4"/>
      <name val="Work Sans"/>
      <family val="2"/>
      <scheme val="minor"/>
    </font>
    <font>
      <b/>
      <sz val="10"/>
      <color theme="4"/>
      <name val="Work Sans"/>
      <family val="2"/>
      <scheme val="minor"/>
    </font>
    <font>
      <b/>
      <sz val="9"/>
      <color theme="4"/>
      <name val="Work Sans"/>
      <family val="2"/>
      <scheme val="minor"/>
    </font>
    <font>
      <b/>
      <sz val="16"/>
      <color theme="4"/>
      <name val="Work Sans"/>
      <family val="2"/>
      <scheme val="minor"/>
    </font>
    <font>
      <b/>
      <sz val="9"/>
      <color rgb="FFEF6079"/>
      <name val="Work Sans"/>
      <family val="2"/>
      <scheme val="minor"/>
    </font>
    <font>
      <b/>
      <sz val="9"/>
      <color theme="7"/>
      <name val="Work Sans"/>
      <family val="2"/>
      <scheme val="minor"/>
    </font>
    <font>
      <sz val="11"/>
      <color theme="4"/>
      <name val="Work Sans"/>
      <family val="2"/>
      <scheme val="minor"/>
    </font>
    <font>
      <b/>
      <sz val="9"/>
      <color theme="6"/>
      <name val="Work Sans"/>
      <family val="2"/>
      <scheme val="minor"/>
    </font>
    <font>
      <sz val="10"/>
      <name val="Arial"/>
      <family val="2"/>
    </font>
    <font>
      <b/>
      <sz val="13"/>
      <color theme="3"/>
      <name val="Work Sans"/>
      <family val="2"/>
    </font>
    <font>
      <b/>
      <sz val="10"/>
      <color indexed="62"/>
      <name val="Arial"/>
      <family val="2"/>
    </font>
    <font>
      <b/>
      <sz val="10"/>
      <color indexed="12"/>
      <name val="Arial"/>
      <family val="2"/>
    </font>
    <font>
      <i/>
      <sz val="10"/>
      <name val="Arial"/>
      <family val="2"/>
    </font>
    <font>
      <b/>
      <sz val="10"/>
      <name val="Arial"/>
      <family val="2"/>
    </font>
    <font>
      <u/>
      <sz val="10"/>
      <color indexed="12"/>
      <name val="Arial"/>
      <family val="2"/>
    </font>
    <font>
      <sz val="8"/>
      <name val="Arial"/>
      <family val="2"/>
    </font>
    <font>
      <b/>
      <sz val="8"/>
      <name val="Arial"/>
      <family val="2"/>
    </font>
    <font>
      <sz val="9"/>
      <color indexed="81"/>
      <name val="Tahoma"/>
      <family val="2"/>
    </font>
    <font>
      <b/>
      <sz val="11"/>
      <color theme="1"/>
      <name val="Arial"/>
      <family val="2"/>
    </font>
    <font>
      <sz val="11"/>
      <color theme="1"/>
      <name val="Arial"/>
      <family val="2"/>
    </font>
    <font>
      <b/>
      <sz val="9"/>
      <color indexed="81"/>
      <name val="Tahoma"/>
      <family val="2"/>
    </font>
    <font>
      <b/>
      <sz val="11"/>
      <name val="Work Sans"/>
      <scheme val="minor"/>
    </font>
    <font>
      <i/>
      <sz val="8"/>
      <name val="Work Sans"/>
      <scheme val="minor"/>
    </font>
    <font>
      <sz val="10"/>
      <name val="Work Sans"/>
      <scheme val="minor"/>
    </font>
    <font>
      <b/>
      <i/>
      <sz val="10"/>
      <name val="Work Sans"/>
      <scheme val="minor"/>
    </font>
    <font>
      <i/>
      <sz val="10"/>
      <name val="Work Sans"/>
      <scheme val="minor"/>
    </font>
    <font>
      <b/>
      <sz val="10"/>
      <name val="Work Sans"/>
      <scheme val="minor"/>
    </font>
    <font>
      <sz val="10"/>
      <color theme="0"/>
      <name val="Work Sans"/>
      <scheme val="minor"/>
    </font>
    <font>
      <b/>
      <sz val="12"/>
      <name val="Work Sans"/>
      <scheme val="minor"/>
    </font>
    <font>
      <i/>
      <sz val="10"/>
      <color rgb="FFFF0000"/>
      <name val="Work Sans"/>
      <scheme val="minor"/>
    </font>
    <font>
      <vertAlign val="superscript"/>
      <sz val="10"/>
      <name val="Work Sans"/>
      <scheme val="minor"/>
    </font>
    <font>
      <b/>
      <sz val="14"/>
      <name val="Work Sans"/>
      <scheme val="minor"/>
    </font>
    <font>
      <u/>
      <sz val="10"/>
      <color indexed="12"/>
      <name val="Work Sans"/>
      <scheme val="minor"/>
    </font>
    <font>
      <sz val="8"/>
      <name val="Work Sans"/>
      <scheme val="minor"/>
    </font>
    <font>
      <i/>
      <sz val="9"/>
      <name val="Work Sans"/>
      <scheme val="minor"/>
    </font>
    <font>
      <sz val="14"/>
      <name val="Work Sans"/>
      <scheme val="minor"/>
    </font>
    <font>
      <sz val="8"/>
      <name val="Work Sans"/>
      <family val="2"/>
      <scheme val="minor"/>
    </font>
    <font>
      <sz val="11"/>
      <name val="Work Sans"/>
      <scheme val="minor"/>
    </font>
    <font>
      <b/>
      <i/>
      <sz val="10"/>
      <color rgb="FF0070C0"/>
      <name val="Work Sans"/>
      <scheme val="minor"/>
    </font>
    <font>
      <sz val="10"/>
      <color rgb="FFFF0000"/>
      <name val="Work Sans"/>
      <scheme val="minor"/>
    </font>
    <font>
      <sz val="10"/>
      <color theme="0" tint="-0.14999847407452621"/>
      <name val="Work Sans"/>
      <scheme val="minor"/>
    </font>
    <font>
      <sz val="10"/>
      <color indexed="9"/>
      <name val="Work Sans"/>
      <scheme val="minor"/>
    </font>
    <font>
      <sz val="10"/>
      <color theme="0" tint="-4.9989318521683403E-2"/>
      <name val="Work Sans"/>
      <scheme val="minor"/>
    </font>
    <font>
      <sz val="10"/>
      <color theme="1"/>
      <name val="Work Sans"/>
      <scheme val="minor"/>
    </font>
    <font>
      <i/>
      <sz val="10"/>
      <color theme="1"/>
      <name val="Work Sans"/>
      <scheme val="minor"/>
    </font>
    <font>
      <i/>
      <u/>
      <sz val="10"/>
      <name val="Work Sans"/>
      <scheme val="minor"/>
    </font>
    <font>
      <b/>
      <i/>
      <sz val="10"/>
      <color theme="1"/>
      <name val="Work Sans"/>
      <scheme val="minor"/>
    </font>
    <font>
      <b/>
      <i/>
      <u/>
      <sz val="10"/>
      <name val="Work Sans"/>
      <scheme val="minor"/>
    </font>
    <font>
      <i/>
      <sz val="10"/>
      <color theme="0" tint="-4.9989318521683403E-2"/>
      <name val="Work Sans"/>
      <scheme val="minor"/>
    </font>
    <font>
      <sz val="10"/>
      <color theme="0" tint="-0.249977111117893"/>
      <name val="Work Sans"/>
      <scheme val="minor"/>
    </font>
    <font>
      <b/>
      <sz val="11"/>
      <color theme="1"/>
      <name val="Work Sans"/>
      <scheme val="minor"/>
    </font>
    <font>
      <sz val="11"/>
      <color theme="1"/>
      <name val="Work Sans"/>
      <scheme val="minor"/>
    </font>
    <font>
      <b/>
      <sz val="10"/>
      <color rgb="FFFF0000"/>
      <name val="Work Sans"/>
      <scheme val="minor"/>
    </font>
    <font>
      <strike/>
      <sz val="10"/>
      <name val="Work Sans"/>
      <scheme val="minor"/>
    </font>
    <font>
      <sz val="10"/>
      <color theme="0" tint="-0.34998626667073579"/>
      <name val="Work Sans"/>
      <scheme val="minor"/>
    </font>
    <font>
      <b/>
      <sz val="11"/>
      <color rgb="FFFF0000"/>
      <name val="Work Sans"/>
      <scheme val="minor"/>
    </font>
    <font>
      <sz val="10"/>
      <color rgb="FF000000"/>
      <name val="Work Sans"/>
      <scheme val="minor"/>
    </font>
    <font>
      <sz val="9"/>
      <color rgb="FF000000"/>
      <name val="Work Sans"/>
      <scheme val="minor"/>
    </font>
    <font>
      <b/>
      <sz val="24"/>
      <color theme="0"/>
      <name val="Work Sans"/>
      <scheme val="minor"/>
    </font>
    <font>
      <u/>
      <sz val="9"/>
      <color theme="10"/>
      <name val="Work Sans"/>
      <family val="2"/>
      <scheme val="minor"/>
    </font>
    <font>
      <sz val="12"/>
      <name val="Work Sans"/>
      <scheme val="minor"/>
    </font>
    <font>
      <b/>
      <sz val="12"/>
      <name val="Arial"/>
      <family val="2"/>
    </font>
    <font>
      <b/>
      <i/>
      <sz val="10"/>
      <name val="Arial"/>
      <family val="2"/>
    </font>
    <font>
      <sz val="10"/>
      <color theme="0"/>
      <name val="Arial"/>
      <family val="2"/>
    </font>
    <font>
      <strike/>
      <sz val="10"/>
      <name val="Arial"/>
      <family val="2"/>
    </font>
    <font>
      <u/>
      <sz val="10"/>
      <color theme="10"/>
      <name val="Work Sans"/>
      <scheme val="minor"/>
    </font>
    <font>
      <u/>
      <sz val="10"/>
      <color theme="10"/>
      <name val="Work Sans"/>
      <family val="2"/>
      <scheme val="minor"/>
    </font>
    <font>
      <i/>
      <vertAlign val="superscript"/>
      <sz val="10"/>
      <name val="Work Sans"/>
      <scheme val="minor"/>
    </font>
    <font>
      <i/>
      <vertAlign val="superscript"/>
      <sz val="9"/>
      <name val="Work Sans"/>
      <scheme val="minor"/>
    </font>
    <font>
      <b/>
      <sz val="8"/>
      <name val="Work Sans"/>
      <scheme val="minor"/>
    </font>
    <font>
      <vertAlign val="superscript"/>
      <sz val="8"/>
      <name val="Work Sans"/>
      <scheme val="minor"/>
    </font>
    <font>
      <sz val="11"/>
      <name val="Aptos"/>
      <family val="2"/>
    </font>
    <font>
      <sz val="20"/>
      <name val="Work Sans"/>
      <family val="2"/>
      <scheme val="minor"/>
    </font>
    <font>
      <sz val="11"/>
      <name val="Arial"/>
      <family val="2"/>
    </font>
    <font>
      <sz val="8"/>
      <color theme="1"/>
      <name val="Arial"/>
      <family val="2"/>
    </font>
    <font>
      <sz val="10"/>
      <color theme="6"/>
      <name val="Work Sans"/>
      <scheme val="minor"/>
    </font>
    <font>
      <sz val="10"/>
      <color theme="7"/>
      <name val="Work Sans"/>
      <scheme val="minor"/>
    </font>
    <font>
      <sz val="10"/>
      <color theme="3"/>
      <name val="Work Sans"/>
      <scheme val="minor"/>
    </font>
    <font>
      <sz val="10"/>
      <color theme="3" tint="0.39997558519241921"/>
      <name val="Work Sans"/>
      <scheme val="minor"/>
    </font>
    <font>
      <sz val="10"/>
      <color theme="3" tint="-0.249977111117893"/>
      <name val="Work Sans"/>
      <scheme val="minor"/>
    </font>
    <font>
      <sz val="10"/>
      <color theme="0" tint="-0.499984740745262"/>
      <name val="Work Sans"/>
      <scheme val="minor"/>
    </font>
    <font>
      <sz val="11"/>
      <color theme="3" tint="-0.249977111117893"/>
      <name val="Work Sans"/>
      <scheme val="minor"/>
    </font>
    <font>
      <sz val="11"/>
      <color theme="0"/>
      <name val="Work Sans"/>
      <scheme val="minor"/>
    </font>
    <font>
      <sz val="20"/>
      <name val="Work Sans ExtraBold"/>
      <scheme val="major"/>
    </font>
    <font>
      <i/>
      <sz val="11"/>
      <name val="Work Sans"/>
      <scheme val="minor"/>
    </font>
  </fonts>
  <fills count="29">
    <fill>
      <patternFill patternType="none"/>
    </fill>
    <fill>
      <patternFill patternType="gray125"/>
    </fill>
    <fill>
      <patternFill patternType="solid">
        <fgColor rgb="FFF2F2F2"/>
      </patternFill>
    </fill>
    <fill>
      <patternFill patternType="solid">
        <fgColor rgb="FFFFFFCC"/>
      </patternFill>
    </fill>
    <fill>
      <patternFill patternType="solid">
        <fgColor rgb="FFEF6079"/>
        <bgColor indexed="64"/>
      </patternFill>
    </fill>
    <fill>
      <patternFill patternType="solid">
        <fgColor theme="3"/>
        <bgColor indexed="64"/>
      </patternFill>
    </fill>
    <fill>
      <patternFill patternType="solid">
        <fgColor theme="2"/>
        <bgColor indexed="64"/>
      </patternFill>
    </fill>
    <fill>
      <patternFill patternType="solid">
        <fgColor theme="2" tint="-0.24994659260841701"/>
        <bgColor indexed="64"/>
      </patternFill>
    </fill>
    <fill>
      <patternFill patternType="solid">
        <fgColor theme="8"/>
        <bgColor indexed="64"/>
      </patternFill>
    </fill>
    <fill>
      <patternFill patternType="solid">
        <fgColor theme="4" tint="0.79998168889431442"/>
        <bgColor indexed="64"/>
      </patternFill>
    </fill>
    <fill>
      <patternFill patternType="solid">
        <fgColor theme="8"/>
      </patternFill>
    </fill>
    <fill>
      <patternFill patternType="solid">
        <fgColor theme="9"/>
      </patternFill>
    </fill>
    <fill>
      <patternFill patternType="solid">
        <fgColor theme="9" tint="0.39997558519241921"/>
        <bgColor indexed="65"/>
      </patternFill>
    </fill>
    <fill>
      <patternFill patternType="solid">
        <fgColor theme="7"/>
        <bgColor indexed="64"/>
      </patternFill>
    </fill>
    <fill>
      <patternFill patternType="solid">
        <fgColor theme="3" tint="0.79998168889431442"/>
        <bgColor indexed="64"/>
      </patternFill>
    </fill>
    <fill>
      <patternFill patternType="solid">
        <fgColor rgb="FF00FFFF"/>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
      <patternFill patternType="solid">
        <fgColor theme="6"/>
        <bgColor indexed="64"/>
      </patternFill>
    </fill>
    <fill>
      <patternFill patternType="solid">
        <fgColor theme="5"/>
        <bgColor indexed="64"/>
      </patternFill>
    </fill>
    <fill>
      <patternFill patternType="solid">
        <fgColor theme="8" tint="0.39997558519241921"/>
        <bgColor indexed="64"/>
      </patternFill>
    </fill>
    <fill>
      <patternFill patternType="solid">
        <fgColor theme="8" tint="0.39994506668294322"/>
        <bgColor indexed="64"/>
      </patternFill>
    </fill>
    <fill>
      <patternFill patternType="solid">
        <fgColor theme="9"/>
        <bgColor indexed="64"/>
      </patternFill>
    </fill>
    <fill>
      <patternFill patternType="solid">
        <fgColor theme="8" tint="0.59999389629810485"/>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3" tint="-0.249977111117893"/>
        <bgColor indexed="64"/>
      </patternFill>
    </fill>
  </fills>
  <borders count="4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right/>
      <top style="thin">
        <color theme="0"/>
      </top>
      <bottom style="thin">
        <color theme="5"/>
      </bottom>
      <diagonal/>
    </border>
    <border>
      <left style="thin">
        <color theme="0"/>
      </left>
      <right style="thin">
        <color theme="0"/>
      </right>
      <top style="thin">
        <color theme="4"/>
      </top>
      <bottom style="thin">
        <color theme="0"/>
      </bottom>
      <diagonal/>
    </border>
    <border>
      <left/>
      <right/>
      <top/>
      <bottom style="medium">
        <color theme="6"/>
      </bottom>
      <diagonal/>
    </border>
    <border>
      <left/>
      <right/>
      <top/>
      <bottom style="medium">
        <color theme="7"/>
      </bottom>
      <diagonal/>
    </border>
    <border>
      <left/>
      <right/>
      <top/>
      <bottom style="medium">
        <color rgb="FFEF6079"/>
      </bottom>
      <diagonal/>
    </border>
    <border>
      <left/>
      <right/>
      <top/>
      <bottom style="medium">
        <color theme="4"/>
      </bottom>
      <diagonal/>
    </border>
    <border>
      <left style="thin">
        <color theme="0"/>
      </left>
      <right style="thin">
        <color theme="0"/>
      </right>
      <top style="thin">
        <color theme="6"/>
      </top>
      <bottom style="thin">
        <color theme="0"/>
      </bottom>
      <diagonal/>
    </border>
    <border>
      <left/>
      <right/>
      <top style="hair">
        <color theme="6"/>
      </top>
      <bottom style="hair">
        <color theme="6"/>
      </bottom>
      <diagonal/>
    </border>
    <border>
      <left/>
      <right/>
      <top/>
      <bottom style="thick">
        <color theme="4"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double">
        <color indexed="64"/>
      </bottom>
      <diagonal/>
    </border>
    <border>
      <left/>
      <right/>
      <top style="thin">
        <color theme="8"/>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theme="8"/>
      </top>
      <bottom/>
      <diagonal/>
    </border>
    <border>
      <left/>
      <right style="thin">
        <color indexed="64"/>
      </right>
      <top style="thin">
        <color theme="8"/>
      </top>
      <bottom style="thin">
        <color indexed="64"/>
      </bottom>
      <diagonal/>
    </border>
  </borders>
  <cellStyleXfs count="41">
    <xf numFmtId="0" fontId="0" fillId="0" borderId="0"/>
    <xf numFmtId="0" fontId="12" fillId="0" borderId="0" applyNumberFormat="0" applyFill="0" applyBorder="0" applyAlignment="0" applyProtection="0"/>
    <xf numFmtId="0" fontId="8" fillId="0" borderId="0" applyNumberFormat="0" applyFill="0" applyAlignment="0" applyProtection="0"/>
    <xf numFmtId="0" fontId="13" fillId="0" borderId="0" applyNumberFormat="0" applyFill="0" applyAlignment="0" applyProtection="0"/>
    <xf numFmtId="0" fontId="14" fillId="0" borderId="0" applyNumberFormat="0" applyFill="0" applyAlignment="0" applyProtection="0"/>
    <xf numFmtId="0" fontId="14" fillId="0" borderId="0" applyNumberFormat="0" applyFill="0" applyBorder="0" applyAlignment="0" applyProtection="0"/>
    <xf numFmtId="0" fontId="9" fillId="1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8" borderId="1" applyNumberFormat="0" applyAlignment="0" applyProtection="0"/>
    <xf numFmtId="0" fontId="10" fillId="2" borderId="2" applyNumberFormat="0" applyAlignment="0" applyProtection="0"/>
    <xf numFmtId="0" fontId="5" fillId="6" borderId="1" applyNumberFormat="0" applyAlignment="0" applyProtection="0"/>
    <xf numFmtId="0" fontId="4" fillId="0" borderId="3" applyNumberFormat="0" applyFill="0" applyAlignment="0" applyProtection="0"/>
    <xf numFmtId="0" fontId="2" fillId="7" borderId="4" applyNumberFormat="0" applyBorder="0" applyAlignment="0" applyProtection="0"/>
    <xf numFmtId="0" fontId="7" fillId="3" borderId="5" applyNumberFormat="0" applyAlignment="0" applyProtection="0"/>
    <xf numFmtId="0" fontId="3" fillId="0" borderId="0" applyNumberFormat="0" applyFill="0" applyBorder="0" applyAlignment="0" applyProtection="0"/>
    <xf numFmtId="0" fontId="6" fillId="0" borderId="6" applyNumberFormat="0" applyFill="0" applyAlignment="0" applyProtection="0"/>
    <xf numFmtId="0" fontId="1" fillId="9" borderId="0" applyNumberFormat="0" applyBorder="0" applyAlignment="0" applyProtection="0"/>
    <xf numFmtId="0" fontId="19" fillId="10" borderId="0" applyNumberFormat="0" applyBorder="0" applyAlignment="0" applyProtection="0"/>
    <xf numFmtId="0" fontId="11" fillId="11" borderId="0" applyNumberFormat="0" applyBorder="0" applyAlignment="0" applyProtection="0"/>
    <xf numFmtId="0" fontId="15" fillId="0" borderId="13"/>
    <xf numFmtId="0" fontId="18" fillId="0" borderId="11"/>
    <xf numFmtId="2" fontId="15" fillId="0" borderId="7"/>
    <xf numFmtId="0" fontId="15" fillId="0" borderId="9"/>
    <xf numFmtId="0" fontId="7" fillId="0" borderId="8"/>
    <xf numFmtId="0" fontId="7" fillId="0" borderId="15"/>
    <xf numFmtId="0" fontId="17" fillId="0" borderId="12"/>
    <xf numFmtId="165" fontId="7" fillId="0" borderId="0" applyFill="0" applyBorder="0" applyAlignment="0" applyProtection="0"/>
    <xf numFmtId="164" fontId="7" fillId="0" borderId="0" applyFill="0" applyBorder="0" applyAlignment="0" applyProtection="0"/>
    <xf numFmtId="44" fontId="7" fillId="0" borderId="0" applyFill="0" applyBorder="0" applyAlignment="0" applyProtection="0"/>
    <xf numFmtId="42" fontId="7" fillId="0" borderId="0" applyFill="0" applyBorder="0" applyAlignment="0" applyProtection="0"/>
    <xf numFmtId="9" fontId="7" fillId="0" borderId="0" applyFill="0" applyBorder="0" applyAlignment="0" applyProtection="0"/>
    <xf numFmtId="0" fontId="11" fillId="12" borderId="0" applyNumberFormat="0" applyBorder="0" applyAlignment="0" applyProtection="0"/>
    <xf numFmtId="0" fontId="20" fillId="0" borderId="10"/>
    <xf numFmtId="0" fontId="20" fillId="0" borderId="14"/>
    <xf numFmtId="0" fontId="21" fillId="0" borderId="0"/>
    <xf numFmtId="0" fontId="22" fillId="0" borderId="16" applyNumberFormat="0" applyFill="0" applyAlignment="0" applyProtection="0"/>
    <xf numFmtId="0" fontId="27" fillId="0" borderId="0" applyNumberFormat="0" applyFill="0" applyBorder="0" applyAlignment="0" applyProtection="0">
      <alignment vertical="top"/>
      <protection locked="0"/>
    </xf>
    <xf numFmtId="9" fontId="21" fillId="0" borderId="0" applyFont="0" applyFill="0" applyBorder="0" applyAlignment="0" applyProtection="0"/>
    <xf numFmtId="0" fontId="1" fillId="0" borderId="0"/>
    <xf numFmtId="0" fontId="72" fillId="0" borderId="0" applyNumberFormat="0" applyFill="0" applyBorder="0" applyAlignment="0" applyProtection="0"/>
  </cellStyleXfs>
  <cellXfs count="377">
    <xf numFmtId="0" fontId="0" fillId="0" borderId="0" xfId="0"/>
    <xf numFmtId="0" fontId="7" fillId="0" borderId="0" xfId="0" applyFont="1"/>
    <xf numFmtId="0" fontId="13" fillId="0" borderId="0" xfId="3"/>
    <xf numFmtId="0" fontId="15" fillId="0" borderId="13" xfId="20"/>
    <xf numFmtId="0" fontId="13" fillId="0" borderId="0" xfId="3" applyAlignment="1">
      <alignment vertical="top"/>
    </xf>
    <xf numFmtId="0" fontId="16" fillId="0" borderId="13" xfId="20" applyFont="1"/>
    <xf numFmtId="0" fontId="21" fillId="0" borderId="0" xfId="35"/>
    <xf numFmtId="0" fontId="23" fillId="0" borderId="0" xfId="35" applyFont="1"/>
    <xf numFmtId="0" fontId="24" fillId="0" borderId="0" xfId="35" applyFont="1"/>
    <xf numFmtId="0" fontId="25" fillId="0" borderId="0" xfId="35" applyFont="1"/>
    <xf numFmtId="3" fontId="21" fillId="0" borderId="0" xfId="35" applyNumberFormat="1"/>
    <xf numFmtId="0" fontId="28" fillId="0" borderId="0" xfId="35" applyFont="1"/>
    <xf numFmtId="0" fontId="29" fillId="0" borderId="0" xfId="35" applyFont="1"/>
    <xf numFmtId="166" fontId="28" fillId="0" borderId="0" xfId="35" applyNumberFormat="1" applyFont="1"/>
    <xf numFmtId="3" fontId="28" fillId="0" borderId="0" xfId="35" applyNumberFormat="1" applyFont="1"/>
    <xf numFmtId="2" fontId="21" fillId="0" borderId="0" xfId="35" applyNumberFormat="1"/>
    <xf numFmtId="1" fontId="21" fillId="0" borderId="0" xfId="35" applyNumberFormat="1"/>
    <xf numFmtId="3" fontId="26" fillId="0" borderId="0" xfId="35" applyNumberFormat="1" applyFont="1"/>
    <xf numFmtId="3" fontId="25" fillId="0" borderId="0" xfId="35" applyNumberFormat="1" applyFont="1" applyAlignment="1">
      <alignment horizontal="right"/>
    </xf>
    <xf numFmtId="0" fontId="32" fillId="0" borderId="0" xfId="35" applyFont="1"/>
    <xf numFmtId="4" fontId="32" fillId="0" borderId="0" xfId="35" applyNumberFormat="1" applyFont="1" applyAlignment="1">
      <alignment wrapText="1"/>
    </xf>
    <xf numFmtId="173" fontId="31" fillId="0" borderId="0" xfId="35" applyNumberFormat="1" applyFont="1"/>
    <xf numFmtId="166" fontId="26" fillId="16" borderId="19" xfId="35" applyNumberFormat="1" applyFont="1" applyFill="1" applyBorder="1"/>
    <xf numFmtId="4" fontId="25" fillId="0" borderId="0" xfId="35" applyNumberFormat="1" applyFont="1" applyAlignment="1">
      <alignment horizontal="right"/>
    </xf>
    <xf numFmtId="4" fontId="26" fillId="16" borderId="22" xfId="35" applyNumberFormat="1" applyFont="1" applyFill="1" applyBorder="1"/>
    <xf numFmtId="4" fontId="26" fillId="16" borderId="29" xfId="35" applyNumberFormat="1" applyFont="1" applyFill="1" applyBorder="1"/>
    <xf numFmtId="0" fontId="28" fillId="0" borderId="0" xfId="35" applyFont="1" applyAlignment="1">
      <alignment vertical="top" wrapText="1"/>
    </xf>
    <xf numFmtId="0" fontId="28" fillId="19" borderId="0" xfId="35" applyFont="1" applyFill="1" applyAlignment="1">
      <alignment vertical="top" wrapText="1"/>
    </xf>
    <xf numFmtId="3" fontId="28" fillId="18" borderId="0" xfId="35" applyNumberFormat="1" applyFont="1" applyFill="1"/>
    <xf numFmtId="3" fontId="28" fillId="0" borderId="0" xfId="39" applyNumberFormat="1" applyFont="1"/>
    <xf numFmtId="0" fontId="28" fillId="18" borderId="0" xfId="35" applyFont="1" applyFill="1"/>
    <xf numFmtId="2" fontId="28" fillId="0" borderId="0" xfId="35" applyNumberFormat="1" applyFont="1"/>
    <xf numFmtId="166" fontId="28" fillId="0" borderId="0" xfId="39" applyNumberFormat="1" applyFont="1"/>
    <xf numFmtId="166" fontId="28" fillId="0" borderId="0" xfId="39" applyNumberFormat="1" applyFont="1" applyAlignment="1">
      <alignment horizontal="right"/>
    </xf>
    <xf numFmtId="166" fontId="28" fillId="18" borderId="0" xfId="35" applyNumberFormat="1" applyFont="1" applyFill="1"/>
    <xf numFmtId="14" fontId="35" fillId="0" borderId="0" xfId="35" quotePrefix="1" applyNumberFormat="1" applyFont="1" applyProtection="1">
      <protection locked="0"/>
    </xf>
    <xf numFmtId="0" fontId="36" fillId="0" borderId="0" xfId="35" applyFont="1"/>
    <xf numFmtId="0" fontId="37" fillId="0" borderId="0" xfId="35" applyFont="1"/>
    <xf numFmtId="0" fontId="36" fillId="14" borderId="20" xfId="35" applyFont="1" applyFill="1" applyBorder="1"/>
    <xf numFmtId="0" fontId="38" fillId="0" borderId="0" xfId="35" quotePrefix="1" applyFont="1"/>
    <xf numFmtId="0" fontId="38" fillId="0" borderId="0" xfId="35" applyFont="1"/>
    <xf numFmtId="0" fontId="39" fillId="0" borderId="0" xfId="35" applyFont="1"/>
    <xf numFmtId="0" fontId="40" fillId="0" borderId="0" xfId="35" applyFont="1"/>
    <xf numFmtId="0" fontId="42" fillId="0" borderId="0" xfId="35" applyFont="1"/>
    <xf numFmtId="3" fontId="41" fillId="0" borderId="0" xfId="35" applyNumberFormat="1" applyFont="1"/>
    <xf numFmtId="0" fontId="43" fillId="0" borderId="0" xfId="35" applyFont="1"/>
    <xf numFmtId="0" fontId="44" fillId="0" borderId="0" xfId="35" applyFont="1"/>
    <xf numFmtId="0" fontId="45" fillId="0" borderId="0" xfId="37" applyFont="1" applyAlignment="1" applyProtection="1"/>
    <xf numFmtId="0" fontId="36" fillId="0" borderId="24" xfId="35" applyFont="1" applyBorder="1"/>
    <xf numFmtId="166" fontId="38" fillId="0" borderId="0" xfId="35" applyNumberFormat="1" applyFont="1" applyAlignment="1">
      <alignment horizontal="left" vertical="center"/>
    </xf>
    <xf numFmtId="0" fontId="34" fillId="0" borderId="0" xfId="35" applyFont="1"/>
    <xf numFmtId="0" fontId="46" fillId="0" borderId="0" xfId="35" applyFont="1"/>
    <xf numFmtId="0" fontId="47" fillId="0" borderId="0" xfId="35" applyFont="1"/>
    <xf numFmtId="0" fontId="38" fillId="0" borderId="18" xfId="35" applyFont="1" applyBorder="1"/>
    <xf numFmtId="0" fontId="36" fillId="0" borderId="0" xfId="35" quotePrefix="1" applyFont="1"/>
    <xf numFmtId="0" fontId="39" fillId="0" borderId="0" xfId="35" quotePrefix="1" applyFont="1"/>
    <xf numFmtId="0" fontId="38" fillId="0" borderId="17" xfId="35" applyFont="1" applyBorder="1"/>
    <xf numFmtId="0" fontId="39" fillId="0" borderId="17" xfId="35" applyFont="1" applyBorder="1"/>
    <xf numFmtId="0" fontId="36" fillId="0" borderId="18" xfId="35" applyFont="1" applyBorder="1"/>
    <xf numFmtId="0" fontId="39" fillId="0" borderId="18" xfId="35" applyFont="1" applyBorder="1"/>
    <xf numFmtId="0" fontId="50" fillId="0" borderId="0" xfId="35" applyFont="1"/>
    <xf numFmtId="0" fontId="39" fillId="21" borderId="17" xfId="35" applyFont="1" applyFill="1" applyBorder="1"/>
    <xf numFmtId="0" fontId="36" fillId="21" borderId="18" xfId="35" applyFont="1" applyFill="1" applyBorder="1"/>
    <xf numFmtId="0" fontId="39" fillId="21" borderId="18" xfId="35" applyFont="1" applyFill="1" applyBorder="1"/>
    <xf numFmtId="3" fontId="28" fillId="0" borderId="0" xfId="39" applyNumberFormat="1" applyFont="1" applyAlignment="1">
      <alignment horizontal="right"/>
    </xf>
    <xf numFmtId="166" fontId="28" fillId="19" borderId="0" xfId="35" applyNumberFormat="1" applyFont="1" applyFill="1"/>
    <xf numFmtId="0" fontId="51" fillId="0" borderId="0" xfId="35" applyFont="1"/>
    <xf numFmtId="0" fontId="35" fillId="0" borderId="0" xfId="35" applyFont="1"/>
    <xf numFmtId="0" fontId="36" fillId="0" borderId="0" xfId="35" applyFont="1" applyAlignment="1">
      <alignment horizontal="left"/>
    </xf>
    <xf numFmtId="0" fontId="52" fillId="0" borderId="0" xfId="35" applyFont="1"/>
    <xf numFmtId="3" fontId="39" fillId="0" borderId="0" xfId="35" applyNumberFormat="1" applyFont="1"/>
    <xf numFmtId="0" fontId="39" fillId="17" borderId="17" xfId="35" applyFont="1" applyFill="1" applyBorder="1"/>
    <xf numFmtId="0" fontId="36" fillId="17" borderId="18" xfId="35" applyFont="1" applyFill="1" applyBorder="1"/>
    <xf numFmtId="0" fontId="35" fillId="0" borderId="0" xfId="35" quotePrefix="1" applyFont="1"/>
    <xf numFmtId="0" fontId="39" fillId="0" borderId="0" xfId="35" applyFont="1" applyAlignment="1">
      <alignment horizontal="center"/>
    </xf>
    <xf numFmtId="3" fontId="39" fillId="0" borderId="0" xfId="35" applyNumberFormat="1" applyFont="1" applyAlignment="1">
      <alignment horizontal="center"/>
    </xf>
    <xf numFmtId="0" fontId="38" fillId="0" borderId="0" xfId="35" applyFont="1" applyAlignment="1">
      <alignment horizontal="center"/>
    </xf>
    <xf numFmtId="0" fontId="38" fillId="0" borderId="0" xfId="35" applyFont="1" applyAlignment="1">
      <alignment horizontal="right"/>
    </xf>
    <xf numFmtId="0" fontId="36" fillId="0" borderId="0" xfId="35" applyFont="1" applyAlignment="1">
      <alignment horizontal="center"/>
    </xf>
    <xf numFmtId="3" fontId="50" fillId="0" borderId="0" xfId="35" applyNumberFormat="1" applyFont="1"/>
    <xf numFmtId="0" fontId="36" fillId="0" borderId="0" xfId="35" applyFont="1" applyAlignment="1">
      <alignment horizontal="right"/>
    </xf>
    <xf numFmtId="0" fontId="48" fillId="0" borderId="0" xfId="35" applyFont="1" applyAlignment="1">
      <alignment horizontal="right"/>
    </xf>
    <xf numFmtId="0" fontId="48" fillId="0" borderId="0" xfId="35" applyFont="1"/>
    <xf numFmtId="3" fontId="38" fillId="0" borderId="0" xfId="35" applyNumberFormat="1" applyFont="1" applyAlignment="1">
      <alignment horizontal="right"/>
    </xf>
    <xf numFmtId="0" fontId="36" fillId="0" borderId="32" xfId="35" applyFont="1" applyBorder="1"/>
    <xf numFmtId="0" fontId="38" fillId="0" borderId="24" xfId="35" applyFont="1" applyBorder="1"/>
    <xf numFmtId="0" fontId="36" fillId="0" borderId="27" xfId="35" applyFont="1" applyBorder="1"/>
    <xf numFmtId="0" fontId="39" fillId="17" borderId="18" xfId="35" applyFont="1" applyFill="1" applyBorder="1"/>
    <xf numFmtId="3" fontId="53" fillId="0" borderId="0" xfId="35" applyNumberFormat="1" applyFont="1"/>
    <xf numFmtId="3" fontId="54" fillId="0" borderId="0" xfId="35" applyNumberFormat="1" applyFont="1"/>
    <xf numFmtId="3" fontId="36" fillId="0" borderId="0" xfId="35" applyNumberFormat="1" applyFont="1" applyAlignment="1">
      <alignment horizontal="right"/>
    </xf>
    <xf numFmtId="169" fontId="36" fillId="0" borderId="24" xfId="35" applyNumberFormat="1" applyFont="1" applyBorder="1"/>
    <xf numFmtId="2" fontId="36" fillId="14" borderId="25" xfId="35" applyNumberFormat="1" applyFont="1" applyFill="1" applyBorder="1"/>
    <xf numFmtId="3" fontId="54" fillId="0" borderId="24" xfId="35" applyNumberFormat="1" applyFont="1" applyBorder="1"/>
    <xf numFmtId="3" fontId="38" fillId="0" borderId="24" xfId="35" applyNumberFormat="1" applyFont="1" applyBorder="1" applyAlignment="1">
      <alignment horizontal="right"/>
    </xf>
    <xf numFmtId="0" fontId="36" fillId="0" borderId="24" xfId="35" applyFont="1" applyBorder="1" applyAlignment="1">
      <alignment horizontal="right"/>
    </xf>
    <xf numFmtId="1" fontId="36" fillId="0" borderId="0" xfId="35" applyNumberFormat="1" applyFont="1" applyAlignment="1">
      <alignment horizontal="right"/>
    </xf>
    <xf numFmtId="0" fontId="54" fillId="0" borderId="0" xfId="35" applyFont="1"/>
    <xf numFmtId="2" fontId="54" fillId="0" borderId="0" xfId="35" applyNumberFormat="1" applyFont="1"/>
    <xf numFmtId="3" fontId="36" fillId="0" borderId="0" xfId="35" applyNumberFormat="1" applyFont="1"/>
    <xf numFmtId="3" fontId="36" fillId="0" borderId="24" xfId="35" applyNumberFormat="1" applyFont="1" applyBorder="1"/>
    <xf numFmtId="169" fontId="36" fillId="0" borderId="0" xfId="35" applyNumberFormat="1" applyFont="1"/>
    <xf numFmtId="170" fontId="36" fillId="0" borderId="0" xfId="35" applyNumberFormat="1" applyFont="1"/>
    <xf numFmtId="171" fontId="36" fillId="0" borderId="0" xfId="35" applyNumberFormat="1" applyFont="1" applyAlignment="1">
      <alignment horizontal="right"/>
    </xf>
    <xf numFmtId="3" fontId="40" fillId="0" borderId="0" xfId="35" applyNumberFormat="1" applyFont="1" applyAlignment="1">
      <alignment horizontal="right"/>
    </xf>
    <xf numFmtId="2" fontId="36" fillId="0" borderId="33" xfId="35" applyNumberFormat="1" applyFont="1" applyBorder="1"/>
    <xf numFmtId="10" fontId="36" fillId="0" borderId="0" xfId="35" applyNumberFormat="1" applyFont="1" applyProtection="1">
      <protection locked="0"/>
    </xf>
    <xf numFmtId="10" fontId="36" fillId="0" borderId="0" xfId="35" applyNumberFormat="1" applyFont="1"/>
    <xf numFmtId="2" fontId="36" fillId="0" borderId="0" xfId="35" applyNumberFormat="1" applyFont="1"/>
    <xf numFmtId="2" fontId="36" fillId="17" borderId="18" xfId="35" applyNumberFormat="1" applyFont="1" applyFill="1" applyBorder="1"/>
    <xf numFmtId="3" fontId="39" fillId="17" borderId="19" xfId="35" applyNumberFormat="1" applyFont="1" applyFill="1" applyBorder="1"/>
    <xf numFmtId="14" fontId="36" fillId="0" borderId="0" xfId="35" applyNumberFormat="1" applyFont="1"/>
    <xf numFmtId="4" fontId="36" fillId="14" borderId="20" xfId="35" applyNumberFormat="1" applyFont="1" applyFill="1" applyBorder="1"/>
    <xf numFmtId="4" fontId="36" fillId="0" borderId="0" xfId="35" applyNumberFormat="1" applyFont="1"/>
    <xf numFmtId="4" fontId="39" fillId="17" borderId="18" xfId="35" applyNumberFormat="1" applyFont="1" applyFill="1" applyBorder="1"/>
    <xf numFmtId="4" fontId="21" fillId="14" borderId="20" xfId="35" applyNumberFormat="1" applyFill="1" applyBorder="1"/>
    <xf numFmtId="3" fontId="21" fillId="0" borderId="26" xfId="35" applyNumberFormat="1" applyBorder="1"/>
    <xf numFmtId="4" fontId="21" fillId="0" borderId="0" xfId="35" applyNumberFormat="1"/>
    <xf numFmtId="1" fontId="38" fillId="0" borderId="0" xfId="35" applyNumberFormat="1" applyFont="1"/>
    <xf numFmtId="0" fontId="55" fillId="0" borderId="0" xfId="35" applyFont="1"/>
    <xf numFmtId="0" fontId="56" fillId="16" borderId="21" xfId="35" applyFont="1" applyFill="1" applyBorder="1"/>
    <xf numFmtId="0" fontId="57" fillId="16" borderId="22" xfId="35" applyFont="1" applyFill="1" applyBorder="1" applyAlignment="1">
      <alignment horizontal="center"/>
    </xf>
    <xf numFmtId="0" fontId="56" fillId="16" borderId="23" xfId="35" applyFont="1" applyFill="1" applyBorder="1"/>
    <xf numFmtId="0" fontId="56" fillId="16" borderId="26" xfId="35" applyFont="1" applyFill="1" applyBorder="1"/>
    <xf numFmtId="0" fontId="57" fillId="16" borderId="0" xfId="35" applyFont="1" applyFill="1" applyAlignment="1">
      <alignment horizontal="center"/>
    </xf>
    <xf numFmtId="0" fontId="56" fillId="16" borderId="27" xfId="35" applyFont="1" applyFill="1" applyBorder="1"/>
    <xf numFmtId="0" fontId="36" fillId="0" borderId="24" xfId="35" applyFont="1" applyBorder="1" applyAlignment="1">
      <alignment horizontal="center"/>
    </xf>
    <xf numFmtId="0" fontId="56" fillId="16" borderId="28" xfId="35" applyFont="1" applyFill="1" applyBorder="1"/>
    <xf numFmtId="10" fontId="58" fillId="16" borderId="29" xfId="38" applyNumberFormat="1" applyFont="1" applyFill="1" applyBorder="1" applyAlignment="1">
      <alignment horizontal="center"/>
    </xf>
    <xf numFmtId="0" fontId="56" fillId="16" borderId="30" xfId="35" applyFont="1" applyFill="1" applyBorder="1"/>
    <xf numFmtId="166" fontId="36" fillId="0" borderId="0" xfId="35" applyNumberFormat="1" applyFont="1"/>
    <xf numFmtId="0" fontId="36" fillId="16" borderId="21" xfId="35" applyFont="1" applyFill="1" applyBorder="1"/>
    <xf numFmtId="0" fontId="59" fillId="16" borderId="22" xfId="35" applyFont="1" applyFill="1" applyBorder="1" applyAlignment="1">
      <alignment horizontal="center"/>
    </xf>
    <xf numFmtId="0" fontId="36" fillId="16" borderId="23" xfId="35" applyFont="1" applyFill="1" applyBorder="1"/>
    <xf numFmtId="0" fontId="36" fillId="16" borderId="26" xfId="35" applyFont="1" applyFill="1" applyBorder="1"/>
    <xf numFmtId="0" fontId="59" fillId="16" borderId="0" xfId="35" applyFont="1" applyFill="1" applyAlignment="1">
      <alignment horizontal="center"/>
    </xf>
    <xf numFmtId="0" fontId="36" fillId="16" borderId="27" xfId="35" applyFont="1" applyFill="1" applyBorder="1"/>
    <xf numFmtId="0" fontId="39" fillId="16" borderId="28" xfId="35" applyFont="1" applyFill="1" applyBorder="1"/>
    <xf numFmtId="10" fontId="60" fillId="16" borderId="29" xfId="38" applyNumberFormat="1" applyFont="1" applyFill="1" applyBorder="1" applyAlignment="1">
      <alignment horizontal="center"/>
    </xf>
    <xf numFmtId="0" fontId="39" fillId="16" borderId="30" xfId="35" applyFont="1" applyFill="1" applyBorder="1"/>
    <xf numFmtId="3" fontId="38" fillId="0" borderId="0" xfId="35" applyNumberFormat="1" applyFont="1" applyAlignment="1">
      <alignment vertical="center"/>
    </xf>
    <xf numFmtId="9" fontId="38" fillId="0" borderId="0" xfId="38" applyFont="1"/>
    <xf numFmtId="9" fontId="61" fillId="0" borderId="0" xfId="38" applyFont="1"/>
    <xf numFmtId="3" fontId="35" fillId="0" borderId="0" xfId="35" applyNumberFormat="1" applyFont="1" applyAlignment="1">
      <alignment vertical="center"/>
    </xf>
    <xf numFmtId="0" fontId="61" fillId="0" borderId="0" xfId="35" applyFont="1"/>
    <xf numFmtId="168" fontId="36" fillId="0" borderId="0" xfId="35" applyNumberFormat="1" applyFont="1"/>
    <xf numFmtId="3" fontId="46" fillId="0" borderId="0" xfId="35" applyNumberFormat="1" applyFont="1"/>
    <xf numFmtId="0" fontId="62" fillId="0" borderId="0" xfId="35" applyFont="1"/>
    <xf numFmtId="3" fontId="38" fillId="0" borderId="0" xfId="35" applyNumberFormat="1" applyFont="1"/>
    <xf numFmtId="3" fontId="38" fillId="0" borderId="24" xfId="35" applyNumberFormat="1" applyFont="1" applyBorder="1"/>
    <xf numFmtId="3" fontId="37" fillId="0" borderId="0" xfId="35" applyNumberFormat="1" applyFont="1"/>
    <xf numFmtId="0" fontId="41" fillId="0" borderId="0" xfId="35" applyFont="1"/>
    <xf numFmtId="0" fontId="36" fillId="0" borderId="24" xfId="35" quotePrefix="1" applyFont="1" applyBorder="1"/>
    <xf numFmtId="0" fontId="36" fillId="0" borderId="24" xfId="35" applyFont="1" applyBorder="1" applyProtection="1">
      <protection locked="0"/>
    </xf>
    <xf numFmtId="2" fontId="36" fillId="14" borderId="20" xfId="35" applyNumberFormat="1" applyFont="1" applyFill="1" applyBorder="1"/>
    <xf numFmtId="0" fontId="63" fillId="0" borderId="0" xfId="35" applyFont="1" applyAlignment="1">
      <alignment horizontal="left"/>
    </xf>
    <xf numFmtId="4" fontId="64" fillId="0" borderId="0" xfId="35" applyNumberFormat="1" applyFont="1" applyAlignment="1">
      <alignment wrapText="1"/>
    </xf>
    <xf numFmtId="173" fontId="63" fillId="0" borderId="0" xfId="35" applyNumberFormat="1" applyFont="1"/>
    <xf numFmtId="2" fontId="36" fillId="0" borderId="0" xfId="35" applyNumberFormat="1" applyFont="1" applyAlignment="1">
      <alignment horizontal="center"/>
    </xf>
    <xf numFmtId="1" fontId="36" fillId="0" borderId="0" xfId="35" applyNumberFormat="1" applyFont="1"/>
    <xf numFmtId="174" fontId="36" fillId="0" borderId="0" xfId="35" applyNumberFormat="1" applyFont="1"/>
    <xf numFmtId="1" fontId="36" fillId="0" borderId="24" xfId="35" applyNumberFormat="1" applyFont="1" applyBorder="1"/>
    <xf numFmtId="3" fontId="36" fillId="0" borderId="0" xfId="35" applyNumberFormat="1" applyFont="1" applyProtection="1">
      <protection locked="0"/>
    </xf>
    <xf numFmtId="1" fontId="39" fillId="0" borderId="0" xfId="35" applyNumberFormat="1" applyFont="1" applyAlignment="1">
      <alignment horizontal="center"/>
    </xf>
    <xf numFmtId="3" fontId="39" fillId="0" borderId="0" xfId="35" quotePrefix="1" applyNumberFormat="1" applyFont="1" applyAlignment="1">
      <alignment horizontal="center"/>
    </xf>
    <xf numFmtId="166" fontId="36" fillId="0" borderId="0" xfId="35" applyNumberFormat="1" applyFont="1" applyAlignment="1">
      <alignment horizontal="left" vertical="center"/>
    </xf>
    <xf numFmtId="0" fontId="66" fillId="0" borderId="0" xfId="35" applyFont="1"/>
    <xf numFmtId="0" fontId="39" fillId="16" borderId="17" xfId="35" applyFont="1" applyFill="1" applyBorder="1"/>
    <xf numFmtId="0" fontId="36" fillId="16" borderId="18" xfId="35" applyFont="1" applyFill="1" applyBorder="1"/>
    <xf numFmtId="0" fontId="67" fillId="0" borderId="0" xfId="35" applyFont="1"/>
    <xf numFmtId="166" fontId="36" fillId="0" borderId="0" xfId="35" applyNumberFormat="1" applyFont="1" applyAlignment="1">
      <alignment horizontal="center"/>
    </xf>
    <xf numFmtId="0" fontId="67" fillId="0" borderId="0" xfId="35" applyFont="1" applyAlignment="1">
      <alignment horizontal="center"/>
    </xf>
    <xf numFmtId="14" fontId="38" fillId="0" borderId="0" xfId="35" quotePrefix="1" applyNumberFormat="1" applyFont="1" applyProtection="1">
      <protection locked="0"/>
    </xf>
    <xf numFmtId="4" fontId="62" fillId="0" borderId="0" xfId="35" applyNumberFormat="1" applyFont="1"/>
    <xf numFmtId="4" fontId="46" fillId="0" borderId="0" xfId="35" applyNumberFormat="1" applyFont="1"/>
    <xf numFmtId="0" fontId="68" fillId="0" borderId="0" xfId="35" applyFont="1" applyAlignment="1">
      <alignment vertical="center"/>
    </xf>
    <xf numFmtId="176" fontId="36" fillId="0" borderId="0" xfId="35" applyNumberFormat="1" applyFont="1"/>
    <xf numFmtId="2" fontId="36" fillId="16" borderId="18" xfId="35" applyNumberFormat="1" applyFont="1" applyFill="1" applyBorder="1"/>
    <xf numFmtId="3" fontId="36" fillId="16" borderId="18" xfId="35" applyNumberFormat="1" applyFont="1" applyFill="1" applyBorder="1"/>
    <xf numFmtId="167" fontId="36" fillId="14" borderId="20" xfId="35" applyNumberFormat="1" applyFont="1" applyFill="1" applyBorder="1"/>
    <xf numFmtId="3" fontId="62" fillId="0" borderId="0" xfId="35" applyNumberFormat="1" applyFont="1"/>
    <xf numFmtId="166" fontId="36" fillId="16" borderId="18" xfId="35" applyNumberFormat="1" applyFont="1" applyFill="1" applyBorder="1"/>
    <xf numFmtId="0" fontId="69" fillId="0" borderId="0" xfId="35" applyFont="1"/>
    <xf numFmtId="0" fontId="45" fillId="0" borderId="0" xfId="37" applyFont="1" applyFill="1" applyAlignment="1" applyProtection="1"/>
    <xf numFmtId="10" fontId="36" fillId="14" borderId="20" xfId="35" applyNumberFormat="1" applyFont="1" applyFill="1" applyBorder="1"/>
    <xf numFmtId="175" fontId="36" fillId="0" borderId="0" xfId="35" applyNumberFormat="1" applyFont="1" applyAlignment="1">
      <alignment horizontal="right"/>
    </xf>
    <xf numFmtId="9" fontId="36" fillId="0" borderId="0" xfId="35" applyNumberFormat="1" applyFont="1"/>
    <xf numFmtId="4" fontId="47" fillId="0" borderId="0" xfId="35" applyNumberFormat="1" applyFont="1"/>
    <xf numFmtId="4" fontId="52" fillId="0" borderId="0" xfId="35" applyNumberFormat="1" applyFont="1"/>
    <xf numFmtId="166" fontId="36" fillId="0" borderId="0" xfId="35" applyNumberFormat="1" applyFont="1" applyAlignment="1">
      <alignment horizontal="right"/>
    </xf>
    <xf numFmtId="0" fontId="36" fillId="0" borderId="29" xfId="35" quotePrefix="1" applyFont="1" applyBorder="1"/>
    <xf numFmtId="0" fontId="36" fillId="0" borderId="29" xfId="35" applyFont="1" applyBorder="1"/>
    <xf numFmtId="0" fontId="65" fillId="0" borderId="0" xfId="35" applyFont="1" applyAlignment="1">
      <alignment vertical="center"/>
    </xf>
    <xf numFmtId="0" fontId="52" fillId="0" borderId="0" xfId="37" applyFont="1" applyAlignment="1" applyProtection="1"/>
    <xf numFmtId="0" fontId="70" fillId="0" borderId="0" xfId="35" applyFont="1" applyAlignment="1">
      <alignment horizontal="left" vertical="center"/>
    </xf>
    <xf numFmtId="177" fontId="36" fillId="0" borderId="0" xfId="35" applyNumberFormat="1" applyFont="1"/>
    <xf numFmtId="177" fontId="38" fillId="0" borderId="0" xfId="35" applyNumberFormat="1" applyFont="1" applyAlignment="1">
      <alignment horizontal="center"/>
    </xf>
    <xf numFmtId="178" fontId="36" fillId="0" borderId="0" xfId="35" applyNumberFormat="1" applyFont="1"/>
    <xf numFmtId="0" fontId="42" fillId="0" borderId="0" xfId="35" applyFont="1" applyAlignment="1">
      <alignment horizontal="left" indent="1"/>
    </xf>
    <xf numFmtId="0" fontId="39" fillId="16" borderId="21" xfId="35" applyFont="1" applyFill="1" applyBorder="1"/>
    <xf numFmtId="0" fontId="39" fillId="16" borderId="22" xfId="35" applyFont="1" applyFill="1" applyBorder="1"/>
    <xf numFmtId="177" fontId="39" fillId="16" borderId="22" xfId="35" applyNumberFormat="1" applyFont="1" applyFill="1" applyBorder="1"/>
    <xf numFmtId="0" fontId="39" fillId="16" borderId="23" xfId="35" applyFont="1" applyFill="1" applyBorder="1"/>
    <xf numFmtId="0" fontId="39" fillId="16" borderId="29" xfId="35" applyFont="1" applyFill="1" applyBorder="1"/>
    <xf numFmtId="177" fontId="39" fillId="16" borderId="29" xfId="35" applyNumberFormat="1" applyFont="1" applyFill="1" applyBorder="1"/>
    <xf numFmtId="177" fontId="36" fillId="17" borderId="18" xfId="35" applyNumberFormat="1" applyFont="1" applyFill="1" applyBorder="1"/>
    <xf numFmtId="0" fontId="42" fillId="0" borderId="0" xfId="35" applyFont="1" applyAlignment="1">
      <alignment vertical="center"/>
    </xf>
    <xf numFmtId="0" fontId="36" fillId="22" borderId="20" xfId="35" applyFont="1" applyFill="1" applyBorder="1"/>
    <xf numFmtId="167" fontId="39" fillId="0" borderId="25" xfId="35" applyNumberFormat="1" applyFont="1" applyBorder="1"/>
    <xf numFmtId="0" fontId="39" fillId="0" borderId="0" xfId="0" applyFont="1"/>
    <xf numFmtId="9" fontId="37" fillId="0" borderId="0" xfId="38" applyFont="1"/>
    <xf numFmtId="167" fontId="39" fillId="0" borderId="20" xfId="35" applyNumberFormat="1" applyFont="1" applyBorder="1" applyProtection="1">
      <protection locked="0"/>
    </xf>
    <xf numFmtId="0" fontId="39" fillId="0" borderId="21" xfId="35" applyFont="1" applyBorder="1"/>
    <xf numFmtId="0" fontId="36" fillId="0" borderId="22" xfId="35" applyFont="1" applyBorder="1"/>
    <xf numFmtId="0" fontId="39" fillId="0" borderId="22" xfId="35" applyFont="1" applyBorder="1"/>
    <xf numFmtId="0" fontId="39" fillId="0" borderId="26" xfId="35" applyFont="1" applyBorder="1"/>
    <xf numFmtId="0" fontId="36" fillId="0" borderId="28" xfId="35" applyFont="1" applyBorder="1"/>
    <xf numFmtId="167" fontId="36" fillId="14" borderId="34" xfId="35" applyNumberFormat="1" applyFont="1" applyFill="1" applyBorder="1"/>
    <xf numFmtId="167" fontId="36" fillId="14" borderId="35" xfId="35" applyNumberFormat="1" applyFont="1" applyFill="1" applyBorder="1"/>
    <xf numFmtId="0" fontId="36" fillId="16" borderId="0" xfId="35" applyFont="1" applyFill="1"/>
    <xf numFmtId="166" fontId="21" fillId="0" borderId="0" xfId="35" applyNumberFormat="1" applyAlignment="1">
      <alignment horizontal="right"/>
    </xf>
    <xf numFmtId="166" fontId="21" fillId="14" borderId="20" xfId="35" applyNumberFormat="1" applyFill="1" applyBorder="1"/>
    <xf numFmtId="166" fontId="21" fillId="0" borderId="0" xfId="35" applyNumberFormat="1"/>
    <xf numFmtId="166" fontId="21" fillId="0" borderId="29" xfId="35" applyNumberFormat="1" applyBorder="1"/>
    <xf numFmtId="3" fontId="36" fillId="22" borderId="20" xfId="35" applyNumberFormat="1" applyFont="1" applyFill="1" applyBorder="1" applyProtection="1">
      <protection locked="0"/>
    </xf>
    <xf numFmtId="166" fontId="21" fillId="22" borderId="20" xfId="35" applyNumberFormat="1" applyFill="1" applyBorder="1" applyProtection="1">
      <protection locked="0"/>
    </xf>
    <xf numFmtId="3" fontId="21" fillId="22" borderId="20" xfId="35" applyNumberFormat="1" applyFill="1" applyBorder="1" applyProtection="1">
      <protection locked="0"/>
    </xf>
    <xf numFmtId="3" fontId="36" fillId="22" borderId="25" xfId="35" applyNumberFormat="1" applyFont="1" applyFill="1" applyBorder="1" applyProtection="1">
      <protection locked="0"/>
    </xf>
    <xf numFmtId="168" fontId="36" fillId="22" borderId="20" xfId="35" applyNumberFormat="1" applyFont="1" applyFill="1" applyBorder="1" applyProtection="1">
      <protection locked="0"/>
    </xf>
    <xf numFmtId="4" fontId="36" fillId="22" borderId="20" xfId="35" applyNumberFormat="1" applyFont="1" applyFill="1" applyBorder="1" applyProtection="1">
      <protection locked="0"/>
    </xf>
    <xf numFmtId="10" fontId="36" fillId="22" borderId="20" xfId="35" applyNumberFormat="1" applyFont="1" applyFill="1" applyBorder="1" applyProtection="1">
      <protection locked="0"/>
    </xf>
    <xf numFmtId="172" fontId="36" fillId="22" borderId="20" xfId="35" applyNumberFormat="1" applyFont="1" applyFill="1" applyBorder="1" applyProtection="1">
      <protection locked="0"/>
    </xf>
    <xf numFmtId="0" fontId="36" fillId="22" borderId="20" xfId="35" applyFont="1" applyFill="1" applyBorder="1" applyProtection="1">
      <protection locked="0"/>
    </xf>
    <xf numFmtId="0" fontId="36" fillId="22" borderId="25" xfId="35" applyFont="1" applyFill="1" applyBorder="1" applyProtection="1">
      <protection locked="0"/>
    </xf>
    <xf numFmtId="170" fontId="36" fillId="22" borderId="31" xfId="35" applyNumberFormat="1" applyFont="1" applyFill="1" applyBorder="1" applyProtection="1">
      <protection locked="0"/>
    </xf>
    <xf numFmtId="3" fontId="36" fillId="23" borderId="20" xfId="35" applyNumberFormat="1" applyFont="1" applyFill="1" applyBorder="1" applyProtection="1">
      <protection locked="0"/>
    </xf>
    <xf numFmtId="0" fontId="44" fillId="0" borderId="0" xfId="35" applyFont="1" applyAlignment="1">
      <alignment horizontal="left"/>
    </xf>
    <xf numFmtId="0" fontId="38" fillId="0" borderId="24" xfId="35" applyFont="1" applyBorder="1" applyAlignment="1">
      <alignment horizontal="right"/>
    </xf>
    <xf numFmtId="3" fontId="39" fillId="17" borderId="18" xfId="35" applyNumberFormat="1" applyFont="1" applyFill="1" applyBorder="1"/>
    <xf numFmtId="0" fontId="38" fillId="0" borderId="24" xfId="35" applyFont="1" applyBorder="1" applyAlignment="1">
      <alignment horizontal="center"/>
    </xf>
    <xf numFmtId="166" fontId="39" fillId="17" borderId="19" xfId="35" applyNumberFormat="1" applyFont="1" applyFill="1" applyBorder="1" applyAlignment="1">
      <alignment horizontal="center"/>
    </xf>
    <xf numFmtId="3" fontId="37" fillId="0" borderId="0" xfId="35" applyNumberFormat="1" applyFont="1" applyAlignment="1">
      <alignment horizontal="right"/>
    </xf>
    <xf numFmtId="3" fontId="39" fillId="0" borderId="0" xfId="35" applyNumberFormat="1" applyFont="1" applyAlignment="1">
      <alignment horizontal="right"/>
    </xf>
    <xf numFmtId="0" fontId="38" fillId="0" borderId="0" xfId="35" applyFont="1" applyAlignment="1">
      <alignment horizontal="left"/>
    </xf>
    <xf numFmtId="166" fontId="38" fillId="0" borderId="0" xfId="35" applyNumberFormat="1" applyFont="1" applyAlignment="1">
      <alignment horizontal="center"/>
    </xf>
    <xf numFmtId="3" fontId="26" fillId="17" borderId="18" xfId="35" applyNumberFormat="1" applyFont="1" applyFill="1" applyBorder="1"/>
    <xf numFmtId="3" fontId="39" fillId="17" borderId="19" xfId="35" applyNumberFormat="1" applyFont="1" applyFill="1" applyBorder="1" applyAlignment="1">
      <alignment horizontal="right"/>
    </xf>
    <xf numFmtId="166" fontId="42" fillId="0" borderId="0" xfId="35" applyNumberFormat="1" applyFont="1"/>
    <xf numFmtId="0" fontId="72" fillId="0" borderId="0" xfId="40"/>
    <xf numFmtId="0" fontId="38" fillId="0" borderId="0" xfId="35" applyFont="1" applyAlignment="1">
      <alignment horizontal="center" vertical="center"/>
    </xf>
    <xf numFmtId="0" fontId="25" fillId="0" borderId="0" xfId="35" applyFont="1" applyAlignment="1">
      <alignment horizontal="center" vertical="center"/>
    </xf>
    <xf numFmtId="166" fontId="26" fillId="0" borderId="0" xfId="35" applyNumberFormat="1" applyFont="1"/>
    <xf numFmtId="0" fontId="39" fillId="16" borderId="36" xfId="35" applyFont="1" applyFill="1" applyBorder="1"/>
    <xf numFmtId="0" fontId="36" fillId="16" borderId="36" xfId="35" applyFont="1" applyFill="1" applyBorder="1"/>
    <xf numFmtId="0" fontId="36" fillId="0" borderId="36" xfId="35" applyFont="1" applyBorder="1"/>
    <xf numFmtId="166" fontId="36" fillId="16" borderId="36" xfId="35" applyNumberFormat="1" applyFont="1" applyFill="1" applyBorder="1"/>
    <xf numFmtId="166" fontId="26" fillId="16" borderId="36" xfId="35" applyNumberFormat="1" applyFont="1" applyFill="1" applyBorder="1"/>
    <xf numFmtId="0" fontId="39" fillId="16" borderId="37" xfId="35" applyFont="1" applyFill="1" applyBorder="1"/>
    <xf numFmtId="166" fontId="26" fillId="16" borderId="38" xfId="35" applyNumberFormat="1" applyFont="1" applyFill="1" applyBorder="1"/>
    <xf numFmtId="0" fontId="41" fillId="9" borderId="17" xfId="35" applyFont="1" applyFill="1" applyBorder="1"/>
    <xf numFmtId="0" fontId="73" fillId="9" borderId="18" xfId="35" applyFont="1" applyFill="1" applyBorder="1"/>
    <xf numFmtId="0" fontId="41" fillId="9" borderId="18" xfId="35" applyFont="1" applyFill="1" applyBorder="1"/>
    <xf numFmtId="166" fontId="74" fillId="9" borderId="19" xfId="35" applyNumberFormat="1" applyFont="1" applyFill="1" applyBorder="1"/>
    <xf numFmtId="166" fontId="21" fillId="22" borderId="20" xfId="35" applyNumberFormat="1" applyFill="1" applyBorder="1"/>
    <xf numFmtId="166" fontId="25" fillId="0" borderId="0" xfId="35" applyNumberFormat="1" applyFont="1"/>
    <xf numFmtId="166" fontId="21" fillId="22" borderId="25" xfId="35" applyNumberFormat="1" applyFill="1" applyBorder="1"/>
    <xf numFmtId="166" fontId="25" fillId="0" borderId="24" xfId="35" applyNumberFormat="1" applyFont="1" applyBorder="1"/>
    <xf numFmtId="166" fontId="75" fillId="0" borderId="0" xfId="35" applyNumberFormat="1" applyFont="1"/>
    <xf numFmtId="166" fontId="26" fillId="22" borderId="31" xfId="35" applyNumberFormat="1" applyFont="1" applyFill="1" applyBorder="1"/>
    <xf numFmtId="166" fontId="26" fillId="0" borderId="18" xfId="35" applyNumberFormat="1" applyFont="1" applyBorder="1"/>
    <xf numFmtId="166" fontId="26" fillId="22" borderId="34" xfId="35" applyNumberFormat="1" applyFont="1" applyFill="1" applyBorder="1"/>
    <xf numFmtId="166" fontId="76" fillId="0" borderId="0" xfId="35" applyNumberFormat="1" applyFont="1"/>
    <xf numFmtId="166" fontId="25" fillId="0" borderId="20" xfId="35" applyNumberFormat="1" applyFont="1" applyBorder="1"/>
    <xf numFmtId="166" fontId="26" fillId="22" borderId="20" xfId="35" applyNumberFormat="1" applyFont="1" applyFill="1" applyBorder="1"/>
    <xf numFmtId="166" fontId="21" fillId="0" borderId="24" xfId="35" applyNumberFormat="1" applyBorder="1"/>
    <xf numFmtId="166" fontId="75" fillId="22" borderId="20" xfId="35" applyNumberFormat="1" applyFont="1" applyFill="1" applyBorder="1"/>
    <xf numFmtId="166" fontId="25" fillId="0" borderId="0" xfId="35" applyNumberFormat="1" applyFont="1" applyAlignment="1">
      <alignment vertical="center"/>
    </xf>
    <xf numFmtId="166" fontId="26" fillId="21" borderId="18" xfId="35" applyNumberFormat="1" applyFont="1" applyFill="1" applyBorder="1"/>
    <xf numFmtId="166" fontId="75" fillId="21" borderId="19" xfId="35" applyNumberFormat="1" applyFont="1" applyFill="1" applyBorder="1"/>
    <xf numFmtId="166" fontId="75" fillId="0" borderId="18" xfId="35" applyNumberFormat="1" applyFont="1" applyBorder="1"/>
    <xf numFmtId="166" fontId="75" fillId="0" borderId="19" xfId="35" applyNumberFormat="1" applyFont="1" applyBorder="1"/>
    <xf numFmtId="166" fontId="21" fillId="0" borderId="20" xfId="35" applyNumberFormat="1" applyBorder="1"/>
    <xf numFmtId="166" fontId="21" fillId="0" borderId="31" xfId="35" applyNumberFormat="1" applyBorder="1"/>
    <xf numFmtId="166" fontId="25" fillId="0" borderId="22" xfId="35" applyNumberFormat="1" applyFont="1" applyBorder="1" applyAlignment="1">
      <alignment horizontal="right"/>
    </xf>
    <xf numFmtId="166" fontId="25" fillId="0" borderId="23" xfId="35" applyNumberFormat="1" applyFont="1" applyBorder="1" applyAlignment="1">
      <alignment horizontal="right"/>
    </xf>
    <xf numFmtId="166" fontId="21" fillId="0" borderId="27" xfId="35" applyNumberFormat="1" applyBorder="1"/>
    <xf numFmtId="166" fontId="21" fillId="0" borderId="30" xfId="35" applyNumberFormat="1" applyBorder="1"/>
    <xf numFmtId="2" fontId="25" fillId="0" borderId="0" xfId="35" applyNumberFormat="1" applyFont="1" applyAlignment="1">
      <alignment horizontal="right"/>
    </xf>
    <xf numFmtId="175" fontId="21" fillId="0" borderId="0" xfId="35" applyNumberFormat="1" applyAlignment="1">
      <alignment horizontal="center"/>
    </xf>
    <xf numFmtId="166" fontId="25" fillId="0" borderId="0" xfId="35" applyNumberFormat="1" applyFont="1" applyAlignment="1">
      <alignment horizontal="right"/>
    </xf>
    <xf numFmtId="2" fontId="77" fillId="0" borderId="0" xfId="35" applyNumberFormat="1" applyFont="1"/>
    <xf numFmtId="2" fontId="26" fillId="16" borderId="18" xfId="35" applyNumberFormat="1" applyFont="1" applyFill="1" applyBorder="1"/>
    <xf numFmtId="166" fontId="21" fillId="16" borderId="20" xfId="35" applyNumberFormat="1" applyFill="1" applyBorder="1" applyProtection="1">
      <protection locked="0"/>
    </xf>
    <xf numFmtId="2" fontId="26" fillId="17" borderId="18" xfId="35" applyNumberFormat="1" applyFont="1" applyFill="1" applyBorder="1"/>
    <xf numFmtId="166" fontId="26" fillId="17" borderId="19" xfId="35" applyNumberFormat="1" applyFont="1" applyFill="1" applyBorder="1"/>
    <xf numFmtId="0" fontId="25" fillId="0" borderId="0" xfId="35" applyFont="1" applyAlignment="1">
      <alignment horizontal="right"/>
    </xf>
    <xf numFmtId="3" fontId="21" fillId="15" borderId="20" xfId="35" applyNumberFormat="1" applyFill="1" applyBorder="1" applyProtection="1">
      <protection locked="0"/>
    </xf>
    <xf numFmtId="3" fontId="26" fillId="17" borderId="19" xfId="35" applyNumberFormat="1" applyFont="1" applyFill="1" applyBorder="1"/>
    <xf numFmtId="175" fontId="21" fillId="14" borderId="20" xfId="35" applyNumberFormat="1" applyFill="1" applyBorder="1" applyAlignment="1">
      <alignment horizontal="right"/>
    </xf>
    <xf numFmtId="2" fontId="21" fillId="0" borderId="0" xfId="35" applyNumberFormat="1" applyAlignment="1">
      <alignment horizontal="right"/>
    </xf>
    <xf numFmtId="171" fontId="21" fillId="0" borderId="0" xfId="35" applyNumberFormat="1" applyAlignment="1">
      <alignment horizontal="right"/>
    </xf>
    <xf numFmtId="0" fontId="21" fillId="0" borderId="0" xfId="35" applyAlignment="1">
      <alignment horizontal="right"/>
    </xf>
    <xf numFmtId="171" fontId="26" fillId="17" borderId="19" xfId="35" applyNumberFormat="1" applyFont="1" applyFill="1" applyBorder="1" applyAlignment="1">
      <alignment horizontal="right"/>
    </xf>
    <xf numFmtId="3" fontId="21" fillId="0" borderId="24" xfId="35" applyNumberFormat="1" applyBorder="1"/>
    <xf numFmtId="0" fontId="21" fillId="0" borderId="24" xfId="35" applyBorder="1" applyAlignment="1">
      <alignment horizontal="right"/>
    </xf>
    <xf numFmtId="0" fontId="78" fillId="0" borderId="0" xfId="40" applyFont="1"/>
    <xf numFmtId="0" fontId="37" fillId="0" borderId="0" xfId="40" applyFont="1"/>
    <xf numFmtId="0" fontId="79" fillId="0" borderId="0" xfId="40" applyFont="1"/>
    <xf numFmtId="0" fontId="37" fillId="0" borderId="0" xfId="35" applyFont="1" applyAlignment="1">
      <alignment horizontal="left"/>
    </xf>
    <xf numFmtId="0" fontId="11" fillId="0" borderId="0" xfId="0" applyFont="1"/>
    <xf numFmtId="14" fontId="11" fillId="0" borderId="0" xfId="0" quotePrefix="1" applyNumberFormat="1" applyFont="1"/>
    <xf numFmtId="166" fontId="36" fillId="0" borderId="0" xfId="35" applyNumberFormat="1" applyFont="1" applyAlignment="1">
      <alignment horizontal="left"/>
    </xf>
    <xf numFmtId="0" fontId="36" fillId="21" borderId="0" xfId="35" applyFont="1" applyFill="1"/>
    <xf numFmtId="0" fontId="36" fillId="21" borderId="0" xfId="35" quotePrefix="1" applyFont="1" applyFill="1"/>
    <xf numFmtId="0" fontId="36" fillId="9" borderId="0" xfId="35" applyFont="1" applyFill="1"/>
    <xf numFmtId="1" fontId="36" fillId="25" borderId="0" xfId="35" applyNumberFormat="1" applyFont="1" applyFill="1"/>
    <xf numFmtId="0" fontId="82" fillId="0" borderId="0" xfId="35" applyFont="1"/>
    <xf numFmtId="0" fontId="35" fillId="0" borderId="0" xfId="35" applyFont="1" applyAlignment="1">
      <alignment horizontal="right"/>
    </xf>
    <xf numFmtId="0" fontId="83" fillId="0" borderId="0" xfId="35" applyFont="1"/>
    <xf numFmtId="2" fontId="43" fillId="0" borderId="0" xfId="35" applyNumberFormat="1" applyFont="1"/>
    <xf numFmtId="0" fontId="84" fillId="0" borderId="0" xfId="0" applyFont="1" applyAlignment="1">
      <alignment vertical="center"/>
    </xf>
    <xf numFmtId="167" fontId="39" fillId="14" borderId="20" xfId="35" applyNumberFormat="1" applyFont="1" applyFill="1" applyBorder="1"/>
    <xf numFmtId="167" fontId="39" fillId="16" borderId="18" xfId="35" applyNumberFormat="1" applyFont="1" applyFill="1" applyBorder="1"/>
    <xf numFmtId="166" fontId="39" fillId="0" borderId="0" xfId="35" applyNumberFormat="1" applyFont="1"/>
    <xf numFmtId="0" fontId="85" fillId="0" borderId="0" xfId="0" applyFont="1"/>
    <xf numFmtId="166" fontId="50" fillId="0" borderId="0" xfId="35" applyNumberFormat="1" applyFont="1"/>
    <xf numFmtId="0" fontId="50" fillId="0" borderId="0" xfId="0" applyFont="1"/>
    <xf numFmtId="166" fontId="50" fillId="0" borderId="0" xfId="0" applyNumberFormat="1" applyFont="1"/>
    <xf numFmtId="0" fontId="34" fillId="0" borderId="0" xfId="0" applyFont="1"/>
    <xf numFmtId="166" fontId="86" fillId="0" borderId="0" xfId="0" applyNumberFormat="1" applyFont="1" applyAlignment="1">
      <alignment horizontal="right"/>
    </xf>
    <xf numFmtId="3" fontId="86" fillId="0" borderId="0" xfId="0" applyNumberFormat="1" applyFont="1" applyAlignment="1">
      <alignment horizontal="right"/>
    </xf>
    <xf numFmtId="178" fontId="87" fillId="14" borderId="39" xfId="0" applyNumberFormat="1" applyFont="1" applyFill="1" applyBorder="1" applyAlignment="1">
      <alignment horizontal="right"/>
    </xf>
    <xf numFmtId="178" fontId="87" fillId="14" borderId="40" xfId="0" applyNumberFormat="1" applyFont="1" applyFill="1" applyBorder="1" applyAlignment="1">
      <alignment horizontal="right"/>
    </xf>
    <xf numFmtId="166" fontId="0" fillId="0" borderId="0" xfId="0" applyNumberFormat="1"/>
    <xf numFmtId="171" fontId="0" fillId="0" borderId="0" xfId="0" applyNumberFormat="1"/>
    <xf numFmtId="0" fontId="88" fillId="0" borderId="0" xfId="35" applyFont="1"/>
    <xf numFmtId="0" fontId="89" fillId="0" borderId="0" xfId="35" applyFont="1"/>
    <xf numFmtId="0" fontId="90" fillId="0" borderId="0" xfId="35" applyFont="1"/>
    <xf numFmtId="0" fontId="91" fillId="0" borderId="0" xfId="35" applyFont="1"/>
    <xf numFmtId="0" fontId="92" fillId="0" borderId="0" xfId="35" applyFont="1"/>
    <xf numFmtId="0" fontId="93" fillId="0" borderId="0" xfId="35" applyFont="1"/>
    <xf numFmtId="166" fontId="34" fillId="0" borderId="0" xfId="0" applyNumberFormat="1" applyFont="1"/>
    <xf numFmtId="166" fontId="34" fillId="0" borderId="0" xfId="35" applyNumberFormat="1" applyFont="1"/>
    <xf numFmtId="0" fontId="50" fillId="8" borderId="0" xfId="35" applyFont="1" applyFill="1"/>
    <xf numFmtId="166" fontId="50" fillId="8" borderId="0" xfId="35" applyNumberFormat="1" applyFont="1" applyFill="1"/>
    <xf numFmtId="166" fontId="50" fillId="24" borderId="0" xfId="35" applyNumberFormat="1" applyFont="1" applyFill="1"/>
    <xf numFmtId="0" fontId="50" fillId="24" borderId="0" xfId="35" applyFont="1" applyFill="1"/>
    <xf numFmtId="166" fontId="50" fillId="6" borderId="0" xfId="35" applyNumberFormat="1" applyFont="1" applyFill="1"/>
    <xf numFmtId="0" fontId="50" fillId="6" borderId="0" xfId="35" applyFont="1" applyFill="1"/>
    <xf numFmtId="0" fontId="95" fillId="13" borderId="0" xfId="35" applyFont="1" applyFill="1"/>
    <xf numFmtId="166" fontId="95" fillId="13" borderId="0" xfId="35" applyNumberFormat="1" applyFont="1" applyFill="1"/>
    <xf numFmtId="166" fontId="50" fillId="26" borderId="0" xfId="35" applyNumberFormat="1" applyFont="1" applyFill="1"/>
    <xf numFmtId="0" fontId="50" fillId="26" borderId="0" xfId="35" applyFont="1" applyFill="1"/>
    <xf numFmtId="0" fontId="95" fillId="5" borderId="0" xfId="35" applyFont="1" applyFill="1"/>
    <xf numFmtId="166" fontId="95" fillId="5" borderId="0" xfId="35" applyNumberFormat="1" applyFont="1" applyFill="1"/>
    <xf numFmtId="0" fontId="50" fillId="21" borderId="0" xfId="35" applyFont="1" applyFill="1"/>
    <xf numFmtId="166" fontId="50" fillId="21" borderId="0" xfId="35" applyNumberFormat="1" applyFont="1" applyFill="1"/>
    <xf numFmtId="0" fontId="95" fillId="20" borderId="0" xfId="35" applyFont="1" applyFill="1"/>
    <xf numFmtId="166" fontId="95" fillId="20" borderId="0" xfId="35" applyNumberFormat="1" applyFont="1" applyFill="1"/>
    <xf numFmtId="166" fontId="95" fillId="20" borderId="0" xfId="0" applyNumberFormat="1" applyFont="1" applyFill="1"/>
    <xf numFmtId="166" fontId="95" fillId="13" borderId="0" xfId="0" applyNumberFormat="1" applyFont="1" applyFill="1"/>
    <xf numFmtId="166" fontId="95" fillId="5" borderId="0" xfId="0" applyNumberFormat="1" applyFont="1" applyFill="1"/>
    <xf numFmtId="0" fontId="50" fillId="14" borderId="0" xfId="35" applyFont="1" applyFill="1"/>
    <xf numFmtId="0" fontId="94" fillId="27" borderId="0" xfId="35" applyFont="1" applyFill="1"/>
    <xf numFmtId="166" fontId="50" fillId="27" borderId="0" xfId="0" applyNumberFormat="1" applyFont="1" applyFill="1"/>
    <xf numFmtId="0" fontId="95" fillId="28" borderId="0" xfId="35" applyFont="1" applyFill="1"/>
    <xf numFmtId="166" fontId="95" fillId="28" borderId="0" xfId="0" applyNumberFormat="1" applyFont="1" applyFill="1"/>
    <xf numFmtId="166" fontId="50" fillId="14" borderId="0" xfId="0" applyNumberFormat="1" applyFont="1" applyFill="1"/>
    <xf numFmtId="0" fontId="96" fillId="0" borderId="0" xfId="0" applyFont="1"/>
    <xf numFmtId="0" fontId="97" fillId="0" borderId="0" xfId="0" applyFont="1"/>
    <xf numFmtId="0" fontId="71" fillId="20" borderId="17" xfId="35" applyFont="1" applyFill="1" applyBorder="1" applyAlignment="1">
      <alignment horizontal="center"/>
    </xf>
    <xf numFmtId="0" fontId="71" fillId="20" borderId="18" xfId="35" applyFont="1" applyFill="1" applyBorder="1" applyAlignment="1">
      <alignment horizontal="center"/>
    </xf>
    <xf numFmtId="0" fontId="71" fillId="20" borderId="19" xfId="35" applyFont="1" applyFill="1" applyBorder="1" applyAlignment="1">
      <alignment horizontal="center"/>
    </xf>
    <xf numFmtId="0" fontId="41" fillId="21" borderId="17" xfId="35" applyFont="1" applyFill="1" applyBorder="1" applyAlignment="1" applyProtection="1">
      <alignment horizontal="center"/>
      <protection locked="0"/>
    </xf>
    <xf numFmtId="0" fontId="41" fillId="21" borderId="19" xfId="35" applyFont="1" applyFill="1" applyBorder="1" applyAlignment="1" applyProtection="1">
      <alignment horizontal="center"/>
      <protection locked="0"/>
    </xf>
    <xf numFmtId="0" fontId="44" fillId="17" borderId="0" xfId="35" applyFont="1" applyFill="1" applyAlignment="1">
      <alignment horizontal="center"/>
    </xf>
    <xf numFmtId="0" fontId="44" fillId="24" borderId="0" xfId="35" applyFont="1" applyFill="1" applyAlignment="1">
      <alignment horizontal="center"/>
    </xf>
  </cellXfs>
  <cellStyles count="41">
    <cellStyle name="20 % - Aksentti1" xfId="17" builtinId="30" customBuiltin="1"/>
    <cellStyle name="60 % - Aksentti6" xfId="32" builtinId="52" customBuiltin="1"/>
    <cellStyle name="Aksentti5" xfId="18" builtinId="45" customBuiltin="1"/>
    <cellStyle name="Aksentti6" xfId="19" builtinId="49" customBuiltin="1"/>
    <cellStyle name="Huomautus" xfId="14" builtinId="10" customBuiltin="1"/>
    <cellStyle name="Huono" xfId="7" builtinId="27" customBuiltin="1"/>
    <cellStyle name="Hyperlinkki" xfId="40" builtinId="8"/>
    <cellStyle name="Hyperlinkki 2" xfId="37" xr:uid="{5E691E6A-C93D-4886-A095-EAAA86076A92}"/>
    <cellStyle name="Hyvä" xfId="6" builtinId="26" customBuiltin="1"/>
    <cellStyle name="Laskenta" xfId="11" builtinId="22" customBuiltin="1"/>
    <cellStyle name="Linkitetty solu" xfId="12" builtinId="24" customBuiltin="1"/>
    <cellStyle name="Neutraali" xfId="8" builtinId="28" customBuiltin="1"/>
    <cellStyle name="Normaali" xfId="0" builtinId="0" customBuiltin="1"/>
    <cellStyle name="Normaali 2" xfId="35" xr:uid="{EE5A149F-090C-46E1-9B99-FF30ABABBEAD}"/>
    <cellStyle name="Normaali 4" xfId="39" xr:uid="{DF3BD711-B6E9-4677-8192-03945722B2C1}"/>
    <cellStyle name="Otsikko" xfId="1" builtinId="15" customBuiltin="1"/>
    <cellStyle name="Otsikko 1" xfId="2" builtinId="16" customBuiltin="1"/>
    <cellStyle name="Otsikko 2" xfId="3" builtinId="17" customBuiltin="1"/>
    <cellStyle name="Otsikko 2 2" xfId="36" xr:uid="{FA7B2AE5-ED9A-4D4C-8B0B-9D6E8201416A}"/>
    <cellStyle name="Otsikko 3" xfId="4" builtinId="18" customBuiltin="1"/>
    <cellStyle name="Otsikko 4" xfId="5" builtinId="19" customBuiltin="1"/>
    <cellStyle name="Pilkku" xfId="27" builtinId="3" customBuiltin="1"/>
    <cellStyle name="Pilkku [0]" xfId="28" builtinId="6" customBuiltin="1"/>
    <cellStyle name="Prosenttia" xfId="31" builtinId="5" customBuiltin="1"/>
    <cellStyle name="Prosenttia 2" xfId="38" xr:uid="{9334CD25-D323-4073-A5E2-168D94562E17}"/>
    <cellStyle name="Selittävä teksti" xfId="15" builtinId="53" customBuiltin="1"/>
    <cellStyle name="Summa" xfId="16" builtinId="25" hidden="1" customBuiltin="1"/>
    <cellStyle name="Syöttö" xfId="9" builtinId="20" customBuiltin="1"/>
    <cellStyle name="Table Fill" xfId="25" xr:uid="{00000000-0005-0000-0000-00001C000000}"/>
    <cellStyle name="Table Heading" xfId="20" xr:uid="{00000000-0005-0000-0000-00001D000000}"/>
    <cellStyle name="Table Heading 2" xfId="26" xr:uid="{00000000-0005-0000-0000-00001E000000}"/>
    <cellStyle name="Table heading 3" xfId="21" xr:uid="{00000000-0005-0000-0000-00001F000000}"/>
    <cellStyle name="Table heading 4" xfId="33" xr:uid="{00000000-0005-0000-0000-000020000000}"/>
    <cellStyle name="Table Highlight" xfId="22" xr:uid="{00000000-0005-0000-0000-000021000000}"/>
    <cellStyle name="Table Section Break" xfId="24" xr:uid="{00000000-0005-0000-0000-000022000000}"/>
    <cellStyle name="Table Total" xfId="23" xr:uid="{00000000-0005-0000-0000-000023000000}"/>
    <cellStyle name="Table Total 2" xfId="34" xr:uid="{00000000-0005-0000-0000-000024000000}"/>
    <cellStyle name="Tarkistussolu" xfId="13" builtinId="23" customBuiltin="1"/>
    <cellStyle name="Tulostus" xfId="10" builtinId="21" customBuiltin="1"/>
    <cellStyle name="Valuutta" xfId="29" builtinId="4" customBuiltin="1"/>
    <cellStyle name="Valuutta [0]" xfId="30" builtinId="7" customBuiltin="1"/>
  </cellStyles>
  <dxfs count="13">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ill>
        <patternFill patternType="none">
          <bgColor auto="1"/>
        </patternFill>
      </fill>
      <border>
        <left style="thin">
          <color theme="0"/>
        </left>
        <right style="thin">
          <color theme="0"/>
        </right>
        <vertical style="thin">
          <color theme="0"/>
        </vertical>
      </border>
    </dxf>
    <dxf>
      <fill>
        <patternFill patternType="none">
          <bgColor auto="1"/>
        </patternFill>
      </fill>
      <border>
        <left style="thin">
          <color theme="0"/>
        </left>
        <right style="thin">
          <color theme="0"/>
        </right>
        <top style="thin">
          <color theme="0"/>
        </top>
        <bottom style="thin">
          <color theme="0"/>
        </bottom>
        <vertical style="thin">
          <color theme="0"/>
        </vertical>
        <horizontal style="thin">
          <color theme="0"/>
        </horizontal>
      </border>
    </dxf>
    <dxf>
      <fill>
        <patternFill patternType="none">
          <bgColor auto="1"/>
        </patternFill>
      </fill>
      <border>
        <left style="thin">
          <color theme="0"/>
        </left>
        <right style="thin">
          <color theme="0"/>
        </right>
        <top style="thin">
          <color theme="0"/>
        </top>
        <bottom style="thin">
          <color theme="0"/>
        </bottom>
        <vertical style="thin">
          <color theme="0"/>
        </vertical>
        <horizontal style="thin">
          <color theme="0"/>
        </horizontal>
      </border>
    </dxf>
    <dxf>
      <fill>
        <patternFill patternType="none">
          <bgColor auto="1"/>
        </patternFill>
      </fill>
      <border>
        <left style="thin">
          <color theme="0"/>
        </left>
        <right style="thin">
          <color theme="0"/>
        </right>
        <top style="thin">
          <color theme="0"/>
        </top>
        <bottom style="thin">
          <color theme="0"/>
        </bottom>
        <vertical style="thin">
          <color theme="0"/>
        </vertical>
        <horizontal style="thin">
          <color theme="0"/>
        </horizontal>
      </border>
    </dxf>
    <dxf>
      <font>
        <b/>
        <color theme="1"/>
      </font>
      <fill>
        <patternFill patternType="none">
          <bgColor auto="1"/>
        </patternFill>
      </fill>
    </dxf>
    <dxf>
      <font>
        <b/>
        <color theme="1"/>
      </font>
      <fill>
        <patternFill patternType="none">
          <bgColor auto="1"/>
        </patternFill>
      </fill>
    </dxf>
    <dxf>
      <font>
        <b/>
        <i val="0"/>
        <color theme="1"/>
      </font>
      <fill>
        <patternFill patternType="none">
          <bgColor auto="1"/>
        </patternFill>
      </fill>
      <border diagonalUp="0" diagonalDown="0">
        <left/>
        <right/>
        <top style="thin">
          <color theme="6"/>
        </top>
        <bottom/>
        <vertical/>
        <horizontal/>
      </border>
    </dxf>
    <dxf>
      <font>
        <b/>
        <i val="0"/>
        <color theme="6"/>
      </font>
      <fill>
        <patternFill patternType="none">
          <fgColor indexed="64"/>
          <bgColor auto="1"/>
        </patternFill>
      </fill>
      <border diagonalUp="0" diagonalDown="0">
        <left/>
        <right/>
        <top/>
        <bottom style="medium">
          <color theme="6"/>
        </bottom>
        <vertical/>
        <horizontal/>
      </border>
    </dxf>
    <dxf>
      <font>
        <color theme="1"/>
      </font>
      <fill>
        <patternFill patternType="none">
          <fgColor auto="1"/>
          <bgColor auto="1"/>
        </patternFill>
      </fill>
      <border diagonalUp="0" diagonalDown="0">
        <left/>
        <right/>
        <top/>
        <bottom/>
        <vertical style="hair">
          <color theme="0"/>
        </vertical>
        <horizontal style="thin">
          <color theme="6"/>
        </horizontal>
      </border>
    </dxf>
  </dxfs>
  <tableStyles count="1" defaultTableStyle="Kuntaliitto" defaultPivotStyle="PivotStyleLight16">
    <tableStyle name="Kuntaliitto" pivot="0" count="9" xr9:uid="{00000000-0011-0000-FFFF-FFFF00000000}">
      <tableStyleElement type="wholeTable" dxfId="12"/>
      <tableStyleElement type="headerRow" dxfId="11"/>
      <tableStyleElement type="totalRow" dxfId="10"/>
      <tableStyleElement type="firstColumn" dxfId="9"/>
      <tableStyleElement type="lastColumn" dxfId="8"/>
      <tableStyleElement type="firstRowStripe" dxfId="7"/>
      <tableStyleElement type="secondRowStripe" dxfId="6"/>
      <tableStyleElement type="firstColumnStripe" dxfId="5"/>
      <tableStyleElement type="secondColumnStripe" dxfId="4"/>
    </tableStyle>
  </tableStyles>
  <colors>
    <mruColors>
      <color rgb="FFD9D9D9"/>
      <color rgb="FF00FFFF"/>
      <color rgb="FFEF6079"/>
      <color rgb="FFE6F7FB"/>
      <color rgb="FFF2F2F2"/>
      <color rgb="FFCCD8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lumMod val="65000"/>
                    <a:lumOff val="35000"/>
                  </a:schemeClr>
                </a:solidFill>
                <a:latin typeface="+mj-lt"/>
                <a:ea typeface="+mn-ea"/>
                <a:cs typeface="+mn-cs"/>
              </a:defRPr>
            </a:pPr>
            <a:r>
              <a:rPr lang="en-US" sz="2400">
                <a:latin typeface="+mj-lt"/>
              </a:rPr>
              <a:t>Valtionosuuksien rakenne (1) </a:t>
            </a:r>
          </a:p>
          <a:p>
            <a:pPr>
              <a:defRPr sz="2400">
                <a:latin typeface="+mj-lt"/>
              </a:defRPr>
            </a:pPr>
            <a:r>
              <a:rPr lang="en-US" sz="1400">
                <a:latin typeface="+mj-lt"/>
              </a:rPr>
              <a:t>Luvut €/asukas 2026</a:t>
            </a:r>
          </a:p>
        </c:rich>
      </c:tx>
      <c:overlay val="0"/>
      <c:spPr>
        <a:noFill/>
        <a:ln>
          <a:noFill/>
        </a:ln>
        <a:effectLst/>
      </c:spPr>
      <c:txPr>
        <a:bodyPr rot="0" spcFirstLastPara="1" vertOverflow="ellipsis" vert="horz" wrap="square" anchor="ctr" anchorCtr="1"/>
        <a:lstStyle/>
        <a:p>
          <a:pPr>
            <a:defRPr sz="2400" b="0" i="0" u="none" strike="noStrike" kern="1200" spc="0" baseline="0">
              <a:solidFill>
                <a:schemeClr val="tx1">
                  <a:lumMod val="65000"/>
                  <a:lumOff val="35000"/>
                </a:schemeClr>
              </a:solidFill>
              <a:latin typeface="+mj-lt"/>
              <a:ea typeface="+mn-ea"/>
              <a:cs typeface="+mn-cs"/>
            </a:defRPr>
          </a:pPr>
          <a:endParaRPr lang="en-US"/>
        </a:p>
      </c:txPr>
    </c:title>
    <c:autoTitleDeleted val="0"/>
    <c:plotArea>
      <c:layout>
        <c:manualLayout>
          <c:layoutTarget val="inner"/>
          <c:xMode val="edge"/>
          <c:yMode val="edge"/>
          <c:x val="0.11301982750319448"/>
          <c:y val="0.22782201560175891"/>
          <c:w val="0.46621562202290273"/>
          <c:h val="0.74791214059128264"/>
        </c:manualLayout>
      </c:layout>
      <c:barChart>
        <c:barDir val="col"/>
        <c:grouping val="stacked"/>
        <c:varyColors val="0"/>
        <c:ser>
          <c:idx val="0"/>
          <c:order val="0"/>
          <c:tx>
            <c:strRef>
              <c:f>'9. Kaaviot'!$A$12</c:f>
              <c:strCache>
                <c:ptCount val="1"/>
                <c:pt idx="0">
                  <c:v>Valtionosuus laskennallisista kustannuksista </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Kaaviot'!$B$10:$C$10</c:f>
              <c:strCache>
                <c:ptCount val="2"/>
                <c:pt idx="0">
                  <c:v>Akaa</c:v>
                </c:pt>
                <c:pt idx="1">
                  <c:v>Manner-Suomi</c:v>
                </c:pt>
              </c:strCache>
            </c:strRef>
          </c:cat>
          <c:val>
            <c:numRef>
              <c:f>'9. Kaaviot'!$B$12:$C$12</c:f>
              <c:numCache>
                <c:formatCode>#\ ##0_ ;[Red]\-#\ ##0\ </c:formatCode>
                <c:ptCount val="2"/>
                <c:pt idx="0">
                  <c:v>389.70076510923673</c:v>
                </c:pt>
                <c:pt idx="1">
                  <c:v>536</c:v>
                </c:pt>
              </c:numCache>
            </c:numRef>
          </c:val>
          <c:extLst>
            <c:ext xmlns:c16="http://schemas.microsoft.com/office/drawing/2014/chart" uri="{C3380CC4-5D6E-409C-BE32-E72D297353CC}">
              <c16:uniqueId val="{00000000-EE3E-4F99-ACB9-4E54F2C4D9F4}"/>
            </c:ext>
          </c:extLst>
        </c:ser>
        <c:ser>
          <c:idx val="1"/>
          <c:order val="1"/>
          <c:tx>
            <c:strRef>
              <c:f>'9. Kaaviot'!$A$13</c:f>
              <c:strCache>
                <c:ptCount val="1"/>
                <c:pt idx="0">
                  <c:v>Lisäosat</c:v>
                </c:pt>
              </c:strCache>
            </c:strRef>
          </c:tx>
          <c:spPr>
            <a:solidFill>
              <a:schemeClr val="accent2">
                <a:lumMod val="9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Kaaviot'!$B$10:$C$10</c:f>
              <c:strCache>
                <c:ptCount val="2"/>
                <c:pt idx="0">
                  <c:v>Akaa</c:v>
                </c:pt>
                <c:pt idx="1">
                  <c:v>Manner-Suomi</c:v>
                </c:pt>
              </c:strCache>
            </c:strRef>
          </c:cat>
          <c:val>
            <c:numRef>
              <c:f>'9. Kaaviot'!$B$13:$C$13</c:f>
              <c:numCache>
                <c:formatCode>#\ ##0_ ;[Red]\-#\ ##0\ </c:formatCode>
                <c:ptCount val="2"/>
                <c:pt idx="0">
                  <c:v>28.688790977321791</c:v>
                </c:pt>
                <c:pt idx="1">
                  <c:v>56</c:v>
                </c:pt>
              </c:numCache>
            </c:numRef>
          </c:val>
          <c:extLst>
            <c:ext xmlns:c16="http://schemas.microsoft.com/office/drawing/2014/chart" uri="{C3380CC4-5D6E-409C-BE32-E72D297353CC}">
              <c16:uniqueId val="{00000001-EE3E-4F99-ACB9-4E54F2C4D9F4}"/>
            </c:ext>
          </c:extLst>
        </c:ser>
        <c:ser>
          <c:idx val="2"/>
          <c:order val="2"/>
          <c:tx>
            <c:strRef>
              <c:f>'9. Kaaviot'!$A$14</c:f>
              <c:strCache>
                <c:ptCount val="1"/>
                <c:pt idx="0">
                  <c:v>Sote-muutosrajoitin</c:v>
                </c:pt>
              </c:strCache>
            </c:strRef>
          </c:tx>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Kaaviot'!$B$10:$C$10</c:f>
              <c:strCache>
                <c:ptCount val="2"/>
                <c:pt idx="0">
                  <c:v>Akaa</c:v>
                </c:pt>
                <c:pt idx="1">
                  <c:v>Manner-Suomi</c:v>
                </c:pt>
              </c:strCache>
            </c:strRef>
          </c:cat>
          <c:val>
            <c:numRef>
              <c:f>'9. Kaaviot'!$B$14:$C$14</c:f>
              <c:numCache>
                <c:formatCode>#\ ##0_ ;[Red]\-#\ ##0\ </c:formatCode>
                <c:ptCount val="2"/>
                <c:pt idx="0">
                  <c:v>-169.95895113483093</c:v>
                </c:pt>
                <c:pt idx="1">
                  <c:v>0</c:v>
                </c:pt>
              </c:numCache>
            </c:numRef>
          </c:val>
          <c:extLst>
            <c:ext xmlns:c16="http://schemas.microsoft.com/office/drawing/2014/chart" uri="{C3380CC4-5D6E-409C-BE32-E72D297353CC}">
              <c16:uniqueId val="{00000002-EE3E-4F99-ACB9-4E54F2C4D9F4}"/>
            </c:ext>
          </c:extLst>
        </c:ser>
        <c:ser>
          <c:idx val="3"/>
          <c:order val="3"/>
          <c:tx>
            <c:strRef>
              <c:f>'9. Kaaviot'!$A$15</c:f>
              <c:strCache>
                <c:ptCount val="1"/>
                <c:pt idx="0">
                  <c:v>Sote-järjestelmämuutoksen tasaus</c:v>
                </c:pt>
              </c:strCache>
            </c:strRef>
          </c:tx>
          <c:spPr>
            <a:solidFill>
              <a:schemeClr val="tx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Kaaviot'!$B$10:$C$10</c:f>
              <c:strCache>
                <c:ptCount val="2"/>
                <c:pt idx="0">
                  <c:v>Akaa</c:v>
                </c:pt>
                <c:pt idx="1">
                  <c:v>Manner-Suomi</c:v>
                </c:pt>
              </c:strCache>
            </c:strRef>
          </c:cat>
          <c:val>
            <c:numRef>
              <c:f>'9. Kaaviot'!$B$15:$C$15</c:f>
              <c:numCache>
                <c:formatCode>#\ ##0_ ;[Red]\-#\ ##0\ </c:formatCode>
                <c:ptCount val="2"/>
                <c:pt idx="0">
                  <c:v>-117.67457090303361</c:v>
                </c:pt>
                <c:pt idx="1">
                  <c:v>0</c:v>
                </c:pt>
              </c:numCache>
            </c:numRef>
          </c:val>
          <c:extLst>
            <c:ext xmlns:c16="http://schemas.microsoft.com/office/drawing/2014/chart" uri="{C3380CC4-5D6E-409C-BE32-E72D297353CC}">
              <c16:uniqueId val="{00000003-EE3E-4F99-ACB9-4E54F2C4D9F4}"/>
            </c:ext>
          </c:extLst>
        </c:ser>
        <c:ser>
          <c:idx val="4"/>
          <c:order val="4"/>
          <c:tx>
            <c:strRef>
              <c:f>'9. Kaaviot'!$A$16</c:f>
              <c:strCache>
                <c:ptCount val="1"/>
                <c:pt idx="0">
                  <c:v>Muut valtionosuuden lisäykset ja vähennykset yhteensä</c:v>
                </c:pt>
              </c:strCache>
            </c:strRef>
          </c:tx>
          <c:spPr>
            <a:solidFill>
              <a:schemeClr val="bg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Kaaviot'!$B$10:$C$10</c:f>
              <c:strCache>
                <c:ptCount val="2"/>
                <c:pt idx="0">
                  <c:v>Akaa</c:v>
                </c:pt>
                <c:pt idx="1">
                  <c:v>Manner-Suomi</c:v>
                </c:pt>
              </c:strCache>
            </c:strRef>
          </c:cat>
          <c:val>
            <c:numRef>
              <c:f>'9. Kaaviot'!$B$16:$C$16</c:f>
              <c:numCache>
                <c:formatCode>#\ ##0_ ;[Red]\-#\ ##0\ </c:formatCode>
                <c:ptCount val="2"/>
                <c:pt idx="0">
                  <c:v>-72.298758439452143</c:v>
                </c:pt>
                <c:pt idx="1">
                  <c:v>-106</c:v>
                </c:pt>
              </c:numCache>
            </c:numRef>
          </c:val>
          <c:extLst>
            <c:ext xmlns:c16="http://schemas.microsoft.com/office/drawing/2014/chart" uri="{C3380CC4-5D6E-409C-BE32-E72D297353CC}">
              <c16:uniqueId val="{00000004-EE3E-4F99-ACB9-4E54F2C4D9F4}"/>
            </c:ext>
          </c:extLst>
        </c:ser>
        <c:ser>
          <c:idx val="5"/>
          <c:order val="5"/>
          <c:tx>
            <c:strRef>
              <c:f>'9. Kaaviot'!$A$17</c:f>
              <c:strCache>
                <c:ptCount val="1"/>
                <c:pt idx="0">
                  <c:v>Verotuloihin perustuva valtionosuuden tasaus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Kaaviot'!$B$10:$C$10</c:f>
              <c:strCache>
                <c:ptCount val="2"/>
                <c:pt idx="0">
                  <c:v>Akaa</c:v>
                </c:pt>
                <c:pt idx="1">
                  <c:v>Manner-Suomi</c:v>
                </c:pt>
              </c:strCache>
            </c:strRef>
          </c:cat>
          <c:val>
            <c:numRef>
              <c:f>'9. Kaaviot'!$B$17:$C$17</c:f>
              <c:numCache>
                <c:formatCode>#\ ##0_ ;[Red]\-#\ ##0\ </c:formatCode>
                <c:ptCount val="2"/>
                <c:pt idx="0">
                  <c:v>411.75620271644334</c:v>
                </c:pt>
                <c:pt idx="1">
                  <c:v>140</c:v>
                </c:pt>
              </c:numCache>
            </c:numRef>
          </c:val>
          <c:extLst>
            <c:ext xmlns:c16="http://schemas.microsoft.com/office/drawing/2014/chart" uri="{C3380CC4-5D6E-409C-BE32-E72D297353CC}">
              <c16:uniqueId val="{00000005-EE3E-4F99-ACB9-4E54F2C4D9F4}"/>
            </c:ext>
          </c:extLst>
        </c:ser>
        <c:ser>
          <c:idx val="6"/>
          <c:order val="6"/>
          <c:tx>
            <c:strRef>
              <c:f>'9. Kaaviot'!$A$19</c:f>
              <c:strCache>
                <c:ptCount val="1"/>
                <c:pt idx="0">
                  <c:v>OKM-vos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Kaaviot'!$B$10:$C$10</c:f>
              <c:strCache>
                <c:ptCount val="2"/>
                <c:pt idx="0">
                  <c:v>Akaa</c:v>
                </c:pt>
                <c:pt idx="1">
                  <c:v>Manner-Suomi</c:v>
                </c:pt>
              </c:strCache>
            </c:strRef>
          </c:cat>
          <c:val>
            <c:numRef>
              <c:f>'9. Kaaviot'!$B$19:$C$19</c:f>
              <c:numCache>
                <c:formatCode>#\ ##0_ ;[Red]\-#\ ##0\ </c:formatCode>
                <c:ptCount val="2"/>
                <c:pt idx="0">
                  <c:v>-136.61121620796973</c:v>
                </c:pt>
                <c:pt idx="1">
                  <c:v>32</c:v>
                </c:pt>
              </c:numCache>
            </c:numRef>
          </c:val>
          <c:extLst>
            <c:ext xmlns:c16="http://schemas.microsoft.com/office/drawing/2014/chart" uri="{C3380CC4-5D6E-409C-BE32-E72D297353CC}">
              <c16:uniqueId val="{00000006-EE3E-4F99-ACB9-4E54F2C4D9F4}"/>
            </c:ext>
          </c:extLst>
        </c:ser>
        <c:ser>
          <c:idx val="7"/>
          <c:order val="7"/>
          <c:tx>
            <c:strRef>
              <c:f>'9. Kaaviot'!$A$18</c:f>
              <c:strCache>
                <c:ptCount val="1"/>
                <c:pt idx="0">
                  <c:v>Veromenetysten korvaus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Kaaviot'!$B$10:$C$10</c:f>
              <c:strCache>
                <c:ptCount val="2"/>
                <c:pt idx="0">
                  <c:v>Akaa</c:v>
                </c:pt>
                <c:pt idx="1">
                  <c:v>Manner-Suomi</c:v>
                </c:pt>
              </c:strCache>
            </c:strRef>
          </c:cat>
          <c:val>
            <c:numRef>
              <c:f>'9. Kaaviot'!$B$18:$C$18</c:f>
              <c:numCache>
                <c:formatCode>#\ ##0_ ;[Red]\-#\ ##0\ </c:formatCode>
                <c:ptCount val="2"/>
                <c:pt idx="0">
                  <c:v>70.968223218075451</c:v>
                </c:pt>
                <c:pt idx="1">
                  <c:v>94</c:v>
                </c:pt>
              </c:numCache>
            </c:numRef>
          </c:val>
          <c:extLst>
            <c:ext xmlns:c16="http://schemas.microsoft.com/office/drawing/2014/chart" uri="{C3380CC4-5D6E-409C-BE32-E72D297353CC}">
              <c16:uniqueId val="{00000007-EE3E-4F99-ACB9-4E54F2C4D9F4}"/>
            </c:ext>
          </c:extLst>
        </c:ser>
        <c:dLbls>
          <c:showLegendKey val="0"/>
          <c:showVal val="0"/>
          <c:showCatName val="0"/>
          <c:showSerName val="0"/>
          <c:showPercent val="0"/>
          <c:showBubbleSize val="0"/>
        </c:dLbls>
        <c:gapWidth val="150"/>
        <c:overlap val="100"/>
        <c:axId val="1457039055"/>
        <c:axId val="1457047215"/>
      </c:barChart>
      <c:scatterChart>
        <c:scatterStyle val="lineMarker"/>
        <c:varyColors val="0"/>
        <c:ser>
          <c:idx val="8"/>
          <c:order val="8"/>
          <c:tx>
            <c:strRef>
              <c:f>'9. Kaaviot'!$A$11</c:f>
              <c:strCache>
                <c:ptCount val="1"/>
                <c:pt idx="0">
                  <c:v>Valtionosuudet yhteensä</c:v>
                </c:pt>
              </c:strCache>
            </c:strRef>
          </c:tx>
          <c:spPr>
            <a:ln w="25400" cap="rnd">
              <a:noFill/>
              <a:round/>
            </a:ln>
            <a:effectLst/>
          </c:spPr>
          <c:marker>
            <c:symbol val="circle"/>
            <c:size val="5"/>
            <c:spPr>
              <a:solidFill>
                <a:srgbClr val="FF0000"/>
              </a:solidFill>
              <a:ln w="9525">
                <a:solidFill>
                  <a:schemeClr val="accent6">
                    <a:lumMod val="80000"/>
                    <a:lumOff val="20000"/>
                  </a:schemeClr>
                </a:solidFill>
              </a:ln>
              <a:effectLst/>
            </c:spPr>
          </c:marker>
          <c:dLbls>
            <c:dLbl>
              <c:idx val="0"/>
              <c:layout>
                <c:manualLayout>
                  <c:x val="-0.13685523248325204"/>
                  <c:y val="-2.478378253301776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E3E-4F99-ACB9-4E54F2C4D9F4}"/>
                </c:ext>
              </c:extLst>
            </c:dLbl>
            <c:dLbl>
              <c:idx val="1"/>
              <c:layout>
                <c:manualLayout>
                  <c:x val="3.8888894559477118E-2"/>
                  <c:y val="4.065040650406467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E3E-4F99-ACB9-4E54F2C4D9F4}"/>
                </c:ext>
              </c:extLst>
            </c:dLbl>
            <c:spPr>
              <a:solidFill>
                <a:sysClr val="window" lastClr="FFFFFF"/>
              </a:solidFill>
              <a:ln>
                <a:solidFill>
                  <a:srgbClr val="000000">
                    <a:lumMod val="25000"/>
                    <a:lumOff val="75000"/>
                  </a:srgbClr>
                </a:solidFill>
              </a:ln>
              <a:effectLst/>
            </c:spPr>
            <c:txPr>
              <a:bodyPr rot="0" spcFirstLastPara="1" vertOverflow="clip" horzOverflow="clip" vert="horz" wrap="square" lIns="36576" tIns="18288" rIns="36576" bIns="18288" anchor="ctr" anchorCtr="1">
                <a:spAutoFit/>
              </a:bodyPr>
              <a:lstStyle/>
              <a:p>
                <a:pPr>
                  <a:defRPr sz="1400" b="1" i="0" u="none" strike="noStrike" kern="1200" baseline="0">
                    <a:solidFill>
                      <a:schemeClr val="dk1">
                        <a:lumMod val="65000"/>
                        <a:lumOff val="3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EllipseCallout">
                    <a:avLst/>
                  </a:prstGeom>
                  <a:noFill/>
                  <a:ln>
                    <a:noFill/>
                  </a:ln>
                </c15:spPr>
                <c15:showLeaderLines val="1"/>
                <c15:leaderLines>
                  <c:spPr>
                    <a:ln w="9525" cap="flat" cmpd="sng" algn="ctr">
                      <a:solidFill>
                        <a:srgbClr val="FF0000"/>
                      </a:solidFill>
                      <a:round/>
                    </a:ln>
                    <a:effectLst/>
                  </c:spPr>
                </c15:leaderLines>
              </c:ext>
            </c:extLst>
          </c:dLbls>
          <c:xVal>
            <c:strRef>
              <c:f>'9. Kaaviot'!$B$10:$C$10</c:f>
              <c:strCache>
                <c:ptCount val="2"/>
                <c:pt idx="0">
                  <c:v>Akaa</c:v>
                </c:pt>
                <c:pt idx="1">
                  <c:v>Manner-Suomi</c:v>
                </c:pt>
              </c:strCache>
            </c:strRef>
          </c:xVal>
          <c:yVal>
            <c:numRef>
              <c:f>'9. Kaaviot'!$B$11:$C$11</c:f>
              <c:numCache>
                <c:formatCode>#\ ##0_ ;[Red]\-#\ ##0\ </c:formatCode>
                <c:ptCount val="2"/>
                <c:pt idx="0">
                  <c:v>404.57048533579086</c:v>
                </c:pt>
                <c:pt idx="1">
                  <c:v>752</c:v>
                </c:pt>
              </c:numCache>
            </c:numRef>
          </c:yVal>
          <c:smooth val="0"/>
          <c:extLst>
            <c:ext xmlns:c16="http://schemas.microsoft.com/office/drawing/2014/chart" uri="{C3380CC4-5D6E-409C-BE32-E72D297353CC}">
              <c16:uniqueId val="{0000000A-EE3E-4F99-ACB9-4E54F2C4D9F4}"/>
            </c:ext>
          </c:extLst>
        </c:ser>
        <c:dLbls>
          <c:showLegendKey val="0"/>
          <c:showVal val="0"/>
          <c:showCatName val="0"/>
          <c:showSerName val="0"/>
          <c:showPercent val="0"/>
          <c:showBubbleSize val="0"/>
        </c:dLbls>
        <c:axId val="1457039055"/>
        <c:axId val="1457047215"/>
      </c:scatterChart>
      <c:catAx>
        <c:axId val="1457039055"/>
        <c:scaling>
          <c:orientation val="minMax"/>
        </c:scaling>
        <c:delete val="0"/>
        <c:axPos val="b"/>
        <c:numFmt formatCode="General" sourceLinked="1"/>
        <c:majorTickMark val="out"/>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fi-FI"/>
          </a:p>
        </c:txPr>
        <c:crossAx val="1457047215"/>
        <c:crosses val="autoZero"/>
        <c:auto val="1"/>
        <c:lblAlgn val="ctr"/>
        <c:lblOffset val="100"/>
        <c:noMultiLvlLbl val="0"/>
      </c:catAx>
      <c:valAx>
        <c:axId val="1457047215"/>
        <c:scaling>
          <c:orientation val="minMax"/>
        </c:scaling>
        <c:delete val="0"/>
        <c:axPos val="l"/>
        <c:majorGridlines>
          <c:spPr>
            <a:ln w="9525" cap="flat" cmpd="sng" algn="ctr">
              <a:solidFill>
                <a:schemeClr val="tx1">
                  <a:lumMod val="15000"/>
                  <a:lumOff val="85000"/>
                </a:schemeClr>
              </a:solidFill>
              <a:round/>
            </a:ln>
            <a:effectLst/>
          </c:spPr>
        </c:majorGridlines>
        <c:numFmt formatCode="#\ ##0_ ;[Red]\-#\ ##0\ "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i-FI"/>
          </a:p>
        </c:txPr>
        <c:crossAx val="1457039055"/>
        <c:crosses val="autoZero"/>
        <c:crossBetween val="between"/>
      </c:valAx>
      <c:spPr>
        <a:noFill/>
        <a:ln>
          <a:noFill/>
        </a:ln>
        <a:effectLst/>
      </c:spPr>
    </c:plotArea>
    <c:legend>
      <c:legendPos val="r"/>
      <c:legendEntry>
        <c:idx val="8"/>
        <c:txPr>
          <a:bodyPr rot="0" spcFirstLastPara="1" vertOverflow="ellipsis" vert="horz" wrap="square" anchor="ctr" anchorCtr="1"/>
          <a:lstStyle/>
          <a:p>
            <a:pPr>
              <a:defRPr sz="1050" b="1" i="0" u="none" strike="noStrike" kern="1200" baseline="0">
                <a:ln>
                  <a:noFill/>
                </a:ln>
                <a:solidFill>
                  <a:schemeClr val="tx1">
                    <a:lumMod val="65000"/>
                    <a:lumOff val="35000"/>
                  </a:schemeClr>
                </a:solidFill>
                <a:latin typeface="+mn-lt"/>
                <a:ea typeface="+mn-ea"/>
                <a:cs typeface="+mn-cs"/>
              </a:defRPr>
            </a:pPr>
            <a:endParaRPr lang="fi-FI"/>
          </a:p>
        </c:txPr>
      </c:legendEntry>
      <c:layout>
        <c:manualLayout>
          <c:xMode val="edge"/>
          <c:yMode val="edge"/>
          <c:x val="0.57882105773982306"/>
          <c:y val="0.24851492530540945"/>
          <c:w val="0.38355618959092491"/>
          <c:h val="0.68839598053365714"/>
        </c:manualLayout>
      </c:layout>
      <c:overlay val="0"/>
      <c:spPr>
        <a:noFill/>
        <a:ln>
          <a:noFill/>
        </a:ln>
        <a:effectLst/>
      </c:spPr>
      <c:txPr>
        <a:bodyPr rot="0" spcFirstLastPara="1" vertOverflow="ellipsis" vert="horz" wrap="square" anchor="ctr" anchorCtr="1"/>
        <a:lstStyle/>
        <a:p>
          <a:pPr>
            <a:defRPr sz="1050" b="0" i="0" u="none" strike="noStrike" kern="1200" baseline="0">
              <a:ln>
                <a:noFill/>
              </a:ln>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i-FI" sz="1800"/>
              <a:t>Valtionosuuksien</a:t>
            </a:r>
            <a:r>
              <a:rPr lang="fi-FI" sz="1800" baseline="0"/>
              <a:t> rakenne (4)</a:t>
            </a:r>
          </a:p>
          <a:p>
            <a:pPr>
              <a:defRPr/>
            </a:pPr>
            <a:r>
              <a:rPr lang="fi-FI" sz="1200" baseline="0"/>
              <a:t>Luvut €/as. 2026</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i-FI"/>
        </a:p>
      </c:txPr>
    </c:title>
    <c:autoTitleDeleted val="0"/>
    <c:plotArea>
      <c:layout/>
      <c:barChart>
        <c:barDir val="col"/>
        <c:grouping val="clustered"/>
        <c:varyColors val="0"/>
        <c:ser>
          <c:idx val="0"/>
          <c:order val="0"/>
          <c:tx>
            <c:strRef>
              <c:f>'9. Kaaviot'!$B$102</c:f>
              <c:strCache>
                <c:ptCount val="1"/>
                <c:pt idx="0">
                  <c:v>Akaa</c:v>
                </c:pt>
              </c:strCache>
            </c:strRef>
          </c:tx>
          <c:spPr>
            <a:solidFill>
              <a:schemeClr val="accent1">
                <a:alpha val="85000"/>
              </a:schemeClr>
            </a:solidFill>
            <a:ln w="9525" cap="flat" cmpd="sng" algn="ctr">
              <a:solidFill>
                <a:schemeClr val="lt1">
                  <a:alpha val="50000"/>
                </a:schemeClr>
              </a:solidFill>
              <a:round/>
            </a:ln>
            <a:effectLst/>
          </c:spPr>
          <c:invertIfNegative val="0"/>
          <c:dLbls>
            <c:spPr>
              <a:solidFill>
                <a:schemeClr val="bg1"/>
              </a:solidFill>
              <a:ln>
                <a:noFill/>
              </a:ln>
              <a:effectLst/>
            </c:spPr>
            <c:txPr>
              <a:bodyPr rot="0" spcFirstLastPara="1" vertOverflow="clip" horzOverflow="clip" vert="horz" wrap="square" lIns="36576" tIns="18288" rIns="36576" bIns="18288" anchor="ctr" anchorCtr="1">
                <a:spAutoFit/>
              </a:bodyPr>
              <a:lstStyle/>
              <a:p>
                <a:pPr>
                  <a:defRPr sz="900" b="1" i="0" u="none" strike="noStrike" kern="1200" baseline="0">
                    <a:solidFill>
                      <a:sysClr val="windowText" lastClr="000000"/>
                    </a:solidFill>
                    <a:latin typeface="+mn-lt"/>
                    <a:ea typeface="+mn-ea"/>
                    <a:cs typeface="+mn-cs"/>
                  </a:defRPr>
                </a:pPr>
                <a:endParaRPr lang="fi-FI"/>
              </a:p>
            </c:txPr>
            <c:dLblPos val="in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dk1">
                          <a:lumMod val="50000"/>
                          <a:lumOff val="50000"/>
                        </a:schemeClr>
                      </a:solidFill>
                    </a:ln>
                    <a:effectLst/>
                  </c:spPr>
                </c15:leaderLines>
              </c:ext>
            </c:extLst>
          </c:dLbls>
          <c:cat>
            <c:strRef>
              <c:f>'9. Kaaviot'!$A$104:$A$106</c:f>
              <c:strCache>
                <c:ptCount val="3"/>
                <c:pt idx="0">
                  <c:v>VM-vos (sis. Veromenetysten kompensaatiot)</c:v>
                </c:pt>
                <c:pt idx="1">
                  <c:v>OKM-vos</c:v>
                </c:pt>
                <c:pt idx="2">
                  <c:v>Valtionosuudet yhteensä</c:v>
                </c:pt>
              </c:strCache>
            </c:strRef>
          </c:cat>
          <c:val>
            <c:numRef>
              <c:f>'9. Kaaviot'!$B$104:$B$106</c:f>
              <c:numCache>
                <c:formatCode>#\ ##0_ ;[Red]\-#\ ##0\ </c:formatCode>
                <c:ptCount val="3"/>
                <c:pt idx="0">
                  <c:v>541.1817015437606</c:v>
                </c:pt>
                <c:pt idx="1">
                  <c:v>-136.61121620796973</c:v>
                </c:pt>
                <c:pt idx="2">
                  <c:v>404.57048533579086</c:v>
                </c:pt>
              </c:numCache>
            </c:numRef>
          </c:val>
          <c:extLst>
            <c:ext xmlns:c16="http://schemas.microsoft.com/office/drawing/2014/chart" uri="{C3380CC4-5D6E-409C-BE32-E72D297353CC}">
              <c16:uniqueId val="{00000000-6514-4EE2-AC89-32FF7579E8EC}"/>
            </c:ext>
          </c:extLst>
        </c:ser>
        <c:ser>
          <c:idx val="1"/>
          <c:order val="1"/>
          <c:tx>
            <c:strRef>
              <c:f>'9. Kaaviot'!$C$102</c:f>
              <c:strCache>
                <c:ptCount val="1"/>
                <c:pt idx="0">
                  <c:v>Manner-Suomi</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fi-FI"/>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'9. Kaaviot'!$A$104:$A$106</c:f>
              <c:strCache>
                <c:ptCount val="3"/>
                <c:pt idx="0">
                  <c:v>VM-vos (sis. Veromenetysten kompensaatiot)</c:v>
                </c:pt>
                <c:pt idx="1">
                  <c:v>OKM-vos</c:v>
                </c:pt>
                <c:pt idx="2">
                  <c:v>Valtionosuudet yhteensä</c:v>
                </c:pt>
              </c:strCache>
            </c:strRef>
          </c:cat>
          <c:val>
            <c:numRef>
              <c:f>'9. Kaaviot'!$C$104:$C$106</c:f>
              <c:numCache>
                <c:formatCode>General</c:formatCode>
                <c:ptCount val="3"/>
                <c:pt idx="0">
                  <c:v>720</c:v>
                </c:pt>
                <c:pt idx="1">
                  <c:v>32</c:v>
                </c:pt>
                <c:pt idx="2">
                  <c:v>752</c:v>
                </c:pt>
              </c:numCache>
            </c:numRef>
          </c:val>
          <c:extLst>
            <c:ext xmlns:c16="http://schemas.microsoft.com/office/drawing/2014/chart" uri="{C3380CC4-5D6E-409C-BE32-E72D297353CC}">
              <c16:uniqueId val="{00000001-6514-4EE2-AC89-32FF7579E8EC}"/>
            </c:ext>
          </c:extLst>
        </c:ser>
        <c:dLbls>
          <c:dLblPos val="inEnd"/>
          <c:showLegendKey val="0"/>
          <c:showVal val="1"/>
          <c:showCatName val="0"/>
          <c:showSerName val="0"/>
          <c:showPercent val="0"/>
          <c:showBubbleSize val="0"/>
        </c:dLbls>
        <c:gapWidth val="65"/>
        <c:axId val="1493022639"/>
        <c:axId val="1493046159"/>
      </c:barChart>
      <c:catAx>
        <c:axId val="1493022639"/>
        <c:scaling>
          <c:orientation val="minMax"/>
        </c:scaling>
        <c:delete val="0"/>
        <c:axPos val="b"/>
        <c:numFmt formatCode="General" sourceLinked="1"/>
        <c:majorTickMark val="none"/>
        <c:minorTickMark val="none"/>
        <c:tickLblPos val="low"/>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400" b="0" i="0" u="none" strike="noStrike" kern="1200" cap="all" baseline="0">
                <a:solidFill>
                  <a:schemeClr val="dk1">
                    <a:lumMod val="75000"/>
                    <a:lumOff val="25000"/>
                  </a:schemeClr>
                </a:solidFill>
                <a:latin typeface="+mn-lt"/>
                <a:ea typeface="+mn-ea"/>
                <a:cs typeface="+mn-cs"/>
              </a:defRPr>
            </a:pPr>
            <a:endParaRPr lang="fi-FI"/>
          </a:p>
        </c:txPr>
        <c:crossAx val="1493046159"/>
        <c:crosses val="autoZero"/>
        <c:auto val="1"/>
        <c:lblAlgn val="ctr"/>
        <c:lblOffset val="100"/>
        <c:noMultiLvlLbl val="0"/>
      </c:catAx>
      <c:valAx>
        <c:axId val="1493046159"/>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 ##0_ ;[Red]\-#\ ##0\ " sourceLinked="1"/>
        <c:majorTickMark val="none"/>
        <c:minorTickMark val="none"/>
        <c:tickLblPos val="nextTo"/>
        <c:crossAx val="1493022639"/>
        <c:crosses val="autoZero"/>
        <c:crossBetween val="between"/>
      </c:valAx>
      <c:spPr>
        <a:noFill/>
        <a:ln>
          <a:noFill/>
        </a:ln>
        <a:effectLst/>
      </c:spPr>
    </c:plotArea>
    <c:legend>
      <c:legendPos val="b"/>
      <c:layout>
        <c:manualLayout>
          <c:xMode val="edge"/>
          <c:yMode val="edge"/>
          <c:x val="0.3099165235924457"/>
          <c:y val="0.15052640269025341"/>
          <c:w val="0.36055564862902778"/>
          <c:h val="6.8569813292521709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1600" b="0" i="0" u="none" strike="noStrike" kern="1200" baseline="0">
              <a:solidFill>
                <a:schemeClr val="dk1">
                  <a:lumMod val="75000"/>
                  <a:lumOff val="25000"/>
                </a:schemeClr>
              </a:solidFill>
              <a:latin typeface="+mn-lt"/>
              <a:ea typeface="+mn-ea"/>
              <a:cs typeface="+mn-cs"/>
            </a:defRPr>
          </a:pPr>
          <a:endParaRPr lang="fi-FI"/>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i-F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j-lt"/>
                <a:ea typeface="+mn-ea"/>
                <a:cs typeface="+mn-cs"/>
              </a:defRPr>
            </a:pPr>
            <a:r>
              <a:rPr lang="en-US" sz="2000">
                <a:latin typeface="+mj-lt"/>
              </a:rPr>
              <a:t>Valtionosuuksien rakenne (2) </a:t>
            </a:r>
          </a:p>
          <a:p>
            <a:pPr>
              <a:defRPr sz="2000">
                <a:latin typeface="+mj-lt"/>
              </a:defRPr>
            </a:pPr>
            <a:r>
              <a:rPr lang="en-US" sz="1400">
                <a:latin typeface="+mj-lt"/>
              </a:rPr>
              <a:t>Luvut €/as.</a:t>
            </a:r>
            <a:r>
              <a:rPr lang="en-US" sz="1400" baseline="0">
                <a:latin typeface="+mj-lt"/>
              </a:rPr>
              <a:t> </a:t>
            </a:r>
            <a:r>
              <a:rPr lang="en-US" sz="1400">
                <a:latin typeface="+mj-lt"/>
              </a:rPr>
              <a:t>2026</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j-lt"/>
              <a:ea typeface="+mn-ea"/>
              <a:cs typeface="+mn-cs"/>
            </a:defRPr>
          </a:pPr>
          <a:endParaRPr lang="fi-FI"/>
        </a:p>
      </c:txPr>
    </c:title>
    <c:autoTitleDeleted val="0"/>
    <c:plotArea>
      <c:layout/>
      <c:barChart>
        <c:barDir val="col"/>
        <c:grouping val="stacked"/>
        <c:varyColors val="0"/>
        <c:ser>
          <c:idx val="1"/>
          <c:order val="1"/>
          <c:tx>
            <c:strRef>
              <c:f>'9. Kaaviot'!$A$42</c:f>
              <c:strCache>
                <c:ptCount val="1"/>
                <c:pt idx="0">
                  <c:v>Valtionosuus kunnan lakisääteisiin tehtäviin (kustannuserojen tasaus)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Kaaviot'!$B$40:$C$40</c:f>
              <c:strCache>
                <c:ptCount val="2"/>
                <c:pt idx="0">
                  <c:v>Akaa</c:v>
                </c:pt>
                <c:pt idx="1">
                  <c:v>Manner-Suomi</c:v>
                </c:pt>
              </c:strCache>
            </c:strRef>
          </c:cat>
          <c:val>
            <c:numRef>
              <c:f>'9. Kaaviot'!$B$42:$C$42</c:f>
              <c:numCache>
                <c:formatCode>#\ ##0_ ;[Red]\-#\ ##0\ </c:formatCode>
                <c:ptCount val="2"/>
                <c:pt idx="0">
                  <c:v>281.77833987858878</c:v>
                </c:pt>
                <c:pt idx="1">
                  <c:v>624</c:v>
                </c:pt>
              </c:numCache>
            </c:numRef>
          </c:val>
          <c:extLst>
            <c:ext xmlns:c16="http://schemas.microsoft.com/office/drawing/2014/chart" uri="{C3380CC4-5D6E-409C-BE32-E72D297353CC}">
              <c16:uniqueId val="{00000001-6657-4A6F-AAA5-F927335F6CA9}"/>
            </c:ext>
          </c:extLst>
        </c:ser>
        <c:ser>
          <c:idx val="2"/>
          <c:order val="2"/>
          <c:tx>
            <c:strRef>
              <c:f>'9. Kaaviot'!$A$43</c:f>
              <c:strCache>
                <c:ptCount val="1"/>
                <c:pt idx="0">
                  <c:v>Verotuloihin perustuva ts. tulopohjan tasaus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Kaaviot'!$B$40:$C$40</c:f>
              <c:strCache>
                <c:ptCount val="2"/>
                <c:pt idx="0">
                  <c:v>Akaa</c:v>
                </c:pt>
                <c:pt idx="1">
                  <c:v>Manner-Suomi</c:v>
                </c:pt>
              </c:strCache>
            </c:strRef>
          </c:cat>
          <c:val>
            <c:numRef>
              <c:f>'9. Kaaviot'!$B$43:$C$43</c:f>
              <c:numCache>
                <c:formatCode>#\ ##0_ ;[Red]\-#\ ##0\ </c:formatCode>
                <c:ptCount val="2"/>
                <c:pt idx="0">
                  <c:v>411.75620271644334</c:v>
                </c:pt>
                <c:pt idx="1">
                  <c:v>140</c:v>
                </c:pt>
              </c:numCache>
            </c:numRef>
          </c:val>
          <c:extLst>
            <c:ext xmlns:c16="http://schemas.microsoft.com/office/drawing/2014/chart" uri="{C3380CC4-5D6E-409C-BE32-E72D297353CC}">
              <c16:uniqueId val="{00000002-6657-4A6F-AAA5-F927335F6CA9}"/>
            </c:ext>
          </c:extLst>
        </c:ser>
        <c:ser>
          <c:idx val="3"/>
          <c:order val="3"/>
          <c:tx>
            <c:strRef>
              <c:f>'9. Kaaviot'!$A$44</c:f>
              <c:strCache>
                <c:ptCount val="1"/>
                <c:pt idx="0">
                  <c:v>Kuntakohtaiset sote-erät</c:v>
                </c:pt>
              </c:strCache>
            </c:strRef>
          </c:tx>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Kaaviot'!$B$40:$C$40</c:f>
              <c:strCache>
                <c:ptCount val="2"/>
                <c:pt idx="0">
                  <c:v>Akaa</c:v>
                </c:pt>
                <c:pt idx="1">
                  <c:v>Manner-Suomi</c:v>
                </c:pt>
              </c:strCache>
            </c:strRef>
          </c:cat>
          <c:val>
            <c:numRef>
              <c:f>'9. Kaaviot'!$B$44:$C$44</c:f>
              <c:numCache>
                <c:formatCode>#\ ##0_ ;[Red]\-#\ ##0\ </c:formatCode>
                <c:ptCount val="2"/>
                <c:pt idx="0">
                  <c:v>-287.63352203786451</c:v>
                </c:pt>
                <c:pt idx="1">
                  <c:v>0</c:v>
                </c:pt>
              </c:numCache>
            </c:numRef>
          </c:val>
          <c:extLst>
            <c:ext xmlns:c16="http://schemas.microsoft.com/office/drawing/2014/chart" uri="{C3380CC4-5D6E-409C-BE32-E72D297353CC}">
              <c16:uniqueId val="{00000003-6657-4A6F-AAA5-F927335F6CA9}"/>
            </c:ext>
          </c:extLst>
        </c:ser>
        <c:ser>
          <c:idx val="4"/>
          <c:order val="4"/>
          <c:tx>
            <c:strRef>
              <c:f>'9. Kaaviot'!$A$45</c:f>
              <c:strCache>
                <c:ptCount val="1"/>
                <c:pt idx="0">
                  <c:v>Kunnan rahoitusosuus perustoimeentulotukeen</c:v>
                </c:pt>
              </c:strCache>
            </c:strRef>
          </c:tx>
          <c:spPr>
            <a:solidFill>
              <a:schemeClr val="tx2">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Kaaviot'!$B$40:$C$40</c:f>
              <c:strCache>
                <c:ptCount val="2"/>
                <c:pt idx="0">
                  <c:v>Akaa</c:v>
                </c:pt>
                <c:pt idx="1">
                  <c:v>Manner-Suomi</c:v>
                </c:pt>
              </c:strCache>
            </c:strRef>
          </c:cat>
          <c:val>
            <c:numRef>
              <c:f>'9. Kaaviot'!$B$45:$C$45</c:f>
              <c:numCache>
                <c:formatCode>#\ ##0_ ;[Red]\-#\ ##0\ </c:formatCode>
                <c:ptCount val="2"/>
                <c:pt idx="0">
                  <c:v>-56.098806004759865</c:v>
                </c:pt>
                <c:pt idx="1">
                  <c:v>-64</c:v>
                </c:pt>
              </c:numCache>
            </c:numRef>
          </c:val>
          <c:extLst>
            <c:ext xmlns:c16="http://schemas.microsoft.com/office/drawing/2014/chart" uri="{C3380CC4-5D6E-409C-BE32-E72D297353CC}">
              <c16:uniqueId val="{00000004-6657-4A6F-AAA5-F927335F6CA9}"/>
            </c:ext>
          </c:extLst>
        </c:ser>
        <c:ser>
          <c:idx val="5"/>
          <c:order val="5"/>
          <c:tx>
            <c:strRef>
              <c:f>'9. Kaaviot'!$A$46</c:f>
              <c:strCache>
                <c:ptCount val="1"/>
                <c:pt idx="0">
                  <c:v>Muut valtionosuuden lisäykset ja vähennykset</c:v>
                </c:pt>
              </c:strCache>
            </c:strRef>
          </c:tx>
          <c:spPr>
            <a:solidFill>
              <a:schemeClr val="bg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Kaaviot'!$B$40:$C$40</c:f>
              <c:strCache>
                <c:ptCount val="2"/>
                <c:pt idx="0">
                  <c:v>Akaa</c:v>
                </c:pt>
                <c:pt idx="1">
                  <c:v>Manner-Suomi</c:v>
                </c:pt>
              </c:strCache>
            </c:strRef>
          </c:cat>
          <c:val>
            <c:numRef>
              <c:f>'9. Kaaviot'!$B$46:$C$46</c:f>
              <c:numCache>
                <c:formatCode>#\ ##0_ ;[Red]\-#\ ##0\ </c:formatCode>
                <c:ptCount val="2"/>
                <c:pt idx="0">
                  <c:v>-16.199952434692278</c:v>
                </c:pt>
                <c:pt idx="1">
                  <c:v>-42</c:v>
                </c:pt>
              </c:numCache>
            </c:numRef>
          </c:val>
          <c:extLst>
            <c:ext xmlns:c16="http://schemas.microsoft.com/office/drawing/2014/chart" uri="{C3380CC4-5D6E-409C-BE32-E72D297353CC}">
              <c16:uniqueId val="{00000005-6657-4A6F-AAA5-F927335F6CA9}"/>
            </c:ext>
          </c:extLst>
        </c:ser>
        <c:ser>
          <c:idx val="6"/>
          <c:order val="6"/>
          <c:tx>
            <c:strRef>
              <c:f>'9. Kaaviot'!$A$47</c:f>
              <c:strCache>
                <c:ptCount val="1"/>
                <c:pt idx="0">
                  <c:v>Verotulomenetysten korvaukset</c:v>
                </c:pt>
              </c:strCache>
            </c:strRef>
          </c:tx>
          <c:spPr>
            <a:solidFill>
              <a:schemeClr val="tx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Kaaviot'!$B$40:$C$40</c:f>
              <c:strCache>
                <c:ptCount val="2"/>
                <c:pt idx="0">
                  <c:v>Akaa</c:v>
                </c:pt>
                <c:pt idx="1">
                  <c:v>Manner-Suomi</c:v>
                </c:pt>
              </c:strCache>
            </c:strRef>
          </c:cat>
          <c:val>
            <c:numRef>
              <c:f>'9. Kaaviot'!$B$47:$C$47</c:f>
              <c:numCache>
                <c:formatCode>#\ ##0_ ;[Red]\-#\ ##0\ </c:formatCode>
                <c:ptCount val="2"/>
                <c:pt idx="0">
                  <c:v>70.968223218075451</c:v>
                </c:pt>
                <c:pt idx="1">
                  <c:v>94</c:v>
                </c:pt>
              </c:numCache>
            </c:numRef>
          </c:val>
          <c:extLst>
            <c:ext xmlns:c16="http://schemas.microsoft.com/office/drawing/2014/chart" uri="{C3380CC4-5D6E-409C-BE32-E72D297353CC}">
              <c16:uniqueId val="{00000006-6657-4A6F-AAA5-F927335F6CA9}"/>
            </c:ext>
          </c:extLst>
        </c:ser>
        <c:dLbls>
          <c:showLegendKey val="0"/>
          <c:showVal val="0"/>
          <c:showCatName val="0"/>
          <c:showSerName val="0"/>
          <c:showPercent val="0"/>
          <c:showBubbleSize val="0"/>
        </c:dLbls>
        <c:gapWidth val="150"/>
        <c:overlap val="100"/>
        <c:axId val="628809519"/>
        <c:axId val="628791759"/>
      </c:barChart>
      <c:scatterChart>
        <c:scatterStyle val="lineMarker"/>
        <c:varyColors val="0"/>
        <c:ser>
          <c:idx val="0"/>
          <c:order val="0"/>
          <c:tx>
            <c:strRef>
              <c:f>'9. Kaaviot'!$A$41</c:f>
              <c:strCache>
                <c:ptCount val="1"/>
                <c:pt idx="0">
                  <c:v>Valtionosuudet yhteensä</c:v>
                </c:pt>
              </c:strCache>
            </c:strRef>
          </c:tx>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4.5878131021575251E-2"/>
                  <c:y val="-2.930403606565396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657-4A6F-AAA5-F927335F6CA9}"/>
                </c:ext>
              </c:extLst>
            </c:dLbl>
            <c:dLbl>
              <c:idx val="1"/>
              <c:layout>
                <c:manualLayout>
                  <c:x val="5.4480280588120614E-2"/>
                  <c:y val="2.930403606565396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657-4A6F-AAA5-F927335F6CA9}"/>
                </c:ext>
              </c:extLst>
            </c:dLbl>
            <c:spPr>
              <a:solidFill>
                <a:sysClr val="window" lastClr="FFFFFF"/>
              </a:solidFill>
              <a:ln>
                <a:solidFill>
                  <a:srgbClr val="000000">
                    <a:lumMod val="25000"/>
                    <a:lumOff val="75000"/>
                  </a:srgbClr>
                </a:solidFill>
              </a:ln>
              <a:effectLst/>
            </c:spPr>
            <c:txPr>
              <a:bodyPr rot="0" spcFirstLastPara="1" vertOverflow="clip" horzOverflow="clip" vert="horz" wrap="square" lIns="36576" tIns="18288" rIns="36576" bIns="18288" anchor="ctr" anchorCtr="1">
                <a:spAutoFit/>
              </a:bodyPr>
              <a:lstStyle/>
              <a:p>
                <a:pPr>
                  <a:defRPr sz="1400" b="0" i="0" u="none" strike="noStrike" kern="1200" baseline="0">
                    <a:solidFill>
                      <a:schemeClr val="dk1">
                        <a:lumMod val="65000"/>
                        <a:lumOff val="3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EllipseCallout">
                    <a:avLst/>
                  </a:prstGeom>
                  <a:noFill/>
                  <a:ln>
                    <a:noFill/>
                  </a:ln>
                </c15:spPr>
                <c15:showLeaderLines val="1"/>
                <c15:leaderLines>
                  <c:spPr>
                    <a:ln w="9525" cap="flat" cmpd="sng" algn="ctr">
                      <a:solidFill>
                        <a:schemeClr val="tx1">
                          <a:lumMod val="35000"/>
                          <a:lumOff val="65000"/>
                        </a:schemeClr>
                      </a:solidFill>
                      <a:round/>
                    </a:ln>
                    <a:effectLst/>
                  </c:spPr>
                </c15:leaderLines>
              </c:ext>
            </c:extLst>
          </c:dLbls>
          <c:xVal>
            <c:strRef>
              <c:f>'9. Kaaviot'!$B$40:$C$40</c:f>
              <c:strCache>
                <c:ptCount val="2"/>
                <c:pt idx="0">
                  <c:v>Akaa</c:v>
                </c:pt>
                <c:pt idx="1">
                  <c:v>Manner-Suomi</c:v>
                </c:pt>
              </c:strCache>
            </c:strRef>
          </c:xVal>
          <c:yVal>
            <c:numRef>
              <c:f>'9. Kaaviot'!$B$41:$C$41</c:f>
              <c:numCache>
                <c:formatCode>#\ ##0_ ;[Red]\-#\ ##0\ </c:formatCode>
                <c:ptCount val="2"/>
                <c:pt idx="0">
                  <c:v>404.57048533579086</c:v>
                </c:pt>
                <c:pt idx="1">
                  <c:v>752</c:v>
                </c:pt>
              </c:numCache>
            </c:numRef>
          </c:yVal>
          <c:smooth val="0"/>
          <c:extLst>
            <c:ext xmlns:c16="http://schemas.microsoft.com/office/drawing/2014/chart" uri="{C3380CC4-5D6E-409C-BE32-E72D297353CC}">
              <c16:uniqueId val="{00000000-6657-4A6F-AAA5-F927335F6CA9}"/>
            </c:ext>
          </c:extLst>
        </c:ser>
        <c:dLbls>
          <c:showLegendKey val="0"/>
          <c:showVal val="0"/>
          <c:showCatName val="0"/>
          <c:showSerName val="0"/>
          <c:showPercent val="0"/>
          <c:showBubbleSize val="0"/>
        </c:dLbls>
        <c:axId val="628809519"/>
        <c:axId val="628791759"/>
      </c:scatterChart>
      <c:catAx>
        <c:axId val="628809519"/>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fi-FI"/>
          </a:p>
        </c:txPr>
        <c:crossAx val="628791759"/>
        <c:crosses val="autoZero"/>
        <c:auto val="1"/>
        <c:lblAlgn val="ctr"/>
        <c:lblOffset val="100"/>
        <c:noMultiLvlLbl val="0"/>
      </c:catAx>
      <c:valAx>
        <c:axId val="628791759"/>
        <c:scaling>
          <c:orientation val="minMax"/>
        </c:scaling>
        <c:delete val="0"/>
        <c:axPos val="l"/>
        <c:majorGridlines>
          <c:spPr>
            <a:ln w="9525" cap="flat" cmpd="sng" algn="ctr">
              <a:solidFill>
                <a:schemeClr val="tx1">
                  <a:lumMod val="15000"/>
                  <a:lumOff val="85000"/>
                </a:schemeClr>
              </a:solidFill>
              <a:round/>
            </a:ln>
            <a:effectLst/>
          </c:spPr>
        </c:majorGridlines>
        <c:numFmt formatCode="#\ ##0_ ;[Red]\-#\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628809519"/>
        <c:crosses val="autoZero"/>
        <c:crossBetween val="between"/>
      </c:valAx>
      <c:spPr>
        <a:noFill/>
        <a:ln>
          <a:noFill/>
        </a:ln>
        <a:effectLst/>
      </c:spPr>
    </c:plotArea>
    <c:legend>
      <c:legendPos val="r"/>
      <c:layout>
        <c:manualLayout>
          <c:xMode val="edge"/>
          <c:yMode val="edge"/>
          <c:x val="0.66670971504420007"/>
          <c:y val="0.1441430923003299"/>
          <c:w val="0.32468813538925462"/>
          <c:h val="0.76862225343884016"/>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a:latin typeface="+mj-lt"/>
              </a:rPr>
              <a:t>Valtionosuuksien rakenne (3)</a:t>
            </a:r>
          </a:p>
          <a:p>
            <a:pPr>
              <a:defRPr/>
            </a:pPr>
            <a:r>
              <a:rPr lang="en-US" sz="1200">
                <a:latin typeface="+mj-lt"/>
              </a:rPr>
              <a:t>Luvut</a:t>
            </a:r>
            <a:r>
              <a:rPr lang="en-US" sz="1200" baseline="0">
                <a:latin typeface="+mj-lt"/>
              </a:rPr>
              <a:t> €/as. 2026</a:t>
            </a:r>
            <a:endParaRPr lang="en-US" sz="1200">
              <a:latin typeface="+mj-l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1"/>
          <c:order val="1"/>
          <c:tx>
            <c:strRef>
              <c:f>'9. Kaaviot'!$A$75</c:f>
              <c:strCache>
                <c:ptCount val="1"/>
                <c:pt idx="0">
                  <c:v>Valtionosuus kunnan lakisääteisiin tehtäviin (kustannuserojen tasaus)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Kaaviot'!$B$73:$C$73</c:f>
              <c:strCache>
                <c:ptCount val="2"/>
                <c:pt idx="0">
                  <c:v>Akaa</c:v>
                </c:pt>
                <c:pt idx="1">
                  <c:v>Manner-Suomi</c:v>
                </c:pt>
              </c:strCache>
            </c:strRef>
          </c:cat>
          <c:val>
            <c:numRef>
              <c:f>'9. Kaaviot'!$B$75:$C$75</c:f>
              <c:numCache>
                <c:formatCode>#\ ##0_ ;[Red]\-#\ ##0\ </c:formatCode>
                <c:ptCount val="2"/>
                <c:pt idx="0">
                  <c:v>281.77833987858878</c:v>
                </c:pt>
                <c:pt idx="1">
                  <c:v>624</c:v>
                </c:pt>
              </c:numCache>
            </c:numRef>
          </c:val>
          <c:extLst>
            <c:ext xmlns:c16="http://schemas.microsoft.com/office/drawing/2014/chart" uri="{C3380CC4-5D6E-409C-BE32-E72D297353CC}">
              <c16:uniqueId val="{00000001-7FB4-4EEC-B2EF-8D92278241AB}"/>
            </c:ext>
          </c:extLst>
        </c:ser>
        <c:ser>
          <c:idx val="2"/>
          <c:order val="2"/>
          <c:tx>
            <c:strRef>
              <c:f>'9. Kaaviot'!$A$76</c:f>
              <c:strCache>
                <c:ptCount val="1"/>
                <c:pt idx="0">
                  <c:v>Verotuloihin perustuva ts. tulopohjan tasaus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Kaaviot'!$B$73:$C$73</c:f>
              <c:strCache>
                <c:ptCount val="2"/>
                <c:pt idx="0">
                  <c:v>Akaa</c:v>
                </c:pt>
                <c:pt idx="1">
                  <c:v>Manner-Suomi</c:v>
                </c:pt>
              </c:strCache>
            </c:strRef>
          </c:cat>
          <c:val>
            <c:numRef>
              <c:f>'9. Kaaviot'!$B$76:$C$76</c:f>
              <c:numCache>
                <c:formatCode>#\ ##0_ ;[Red]\-#\ ##0\ </c:formatCode>
                <c:ptCount val="2"/>
                <c:pt idx="0">
                  <c:v>411.75620271644334</c:v>
                </c:pt>
                <c:pt idx="1">
                  <c:v>140</c:v>
                </c:pt>
              </c:numCache>
            </c:numRef>
          </c:val>
          <c:extLst>
            <c:ext xmlns:c16="http://schemas.microsoft.com/office/drawing/2014/chart" uri="{C3380CC4-5D6E-409C-BE32-E72D297353CC}">
              <c16:uniqueId val="{00000002-7FB4-4EEC-B2EF-8D92278241AB}"/>
            </c:ext>
          </c:extLst>
        </c:ser>
        <c:ser>
          <c:idx val="3"/>
          <c:order val="3"/>
          <c:tx>
            <c:strRef>
              <c:f>'9. Kaaviot'!$A$77</c:f>
              <c:strCache>
                <c:ptCount val="1"/>
                <c:pt idx="0">
                  <c:v>Kaikki muut tekijät</c:v>
                </c:pt>
              </c:strCache>
            </c:strRef>
          </c:tx>
          <c:spPr>
            <a:solidFill>
              <a:schemeClr val="bg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 Kaaviot'!$B$73:$C$73</c:f>
              <c:strCache>
                <c:ptCount val="2"/>
                <c:pt idx="0">
                  <c:v>Akaa</c:v>
                </c:pt>
                <c:pt idx="1">
                  <c:v>Manner-Suomi</c:v>
                </c:pt>
              </c:strCache>
            </c:strRef>
          </c:cat>
          <c:val>
            <c:numRef>
              <c:f>'9. Kaaviot'!$B$77:$C$77</c:f>
              <c:numCache>
                <c:formatCode>#\ ##0_ ;[Red]\-#\ ##0\ </c:formatCode>
                <c:ptCount val="2"/>
                <c:pt idx="0">
                  <c:v>-288.96405725924126</c:v>
                </c:pt>
                <c:pt idx="1">
                  <c:v>-12</c:v>
                </c:pt>
              </c:numCache>
            </c:numRef>
          </c:val>
          <c:extLst>
            <c:ext xmlns:c16="http://schemas.microsoft.com/office/drawing/2014/chart" uri="{C3380CC4-5D6E-409C-BE32-E72D297353CC}">
              <c16:uniqueId val="{00000003-7FB4-4EEC-B2EF-8D92278241AB}"/>
            </c:ext>
          </c:extLst>
        </c:ser>
        <c:dLbls>
          <c:showLegendKey val="0"/>
          <c:showVal val="0"/>
          <c:showCatName val="0"/>
          <c:showSerName val="0"/>
          <c:showPercent val="0"/>
          <c:showBubbleSize val="0"/>
        </c:dLbls>
        <c:gapWidth val="150"/>
        <c:overlap val="100"/>
        <c:axId val="333042719"/>
        <c:axId val="333036479"/>
      </c:barChart>
      <c:scatterChart>
        <c:scatterStyle val="lineMarker"/>
        <c:varyColors val="0"/>
        <c:ser>
          <c:idx val="0"/>
          <c:order val="0"/>
          <c:tx>
            <c:strRef>
              <c:f>'9. Kaaviot'!$A$74</c:f>
              <c:strCache>
                <c:ptCount val="1"/>
                <c:pt idx="0">
                  <c:v>Valtionosuudet yhteensä</c:v>
                </c:pt>
              </c:strCache>
            </c:strRef>
          </c:tx>
          <c:spPr>
            <a:ln w="25400" cap="rnd">
              <a:noFill/>
              <a:round/>
            </a:ln>
            <a:effectLst/>
          </c:spPr>
          <c:marker>
            <c:symbol val="circle"/>
            <c:size val="5"/>
            <c:spPr>
              <a:solidFill>
                <a:srgbClr val="FF0000"/>
              </a:solidFill>
              <a:ln w="9525">
                <a:solidFill>
                  <a:schemeClr val="accent1"/>
                </a:solidFill>
              </a:ln>
              <a:effectLst/>
            </c:spPr>
          </c:marker>
          <c:dLbls>
            <c:dLbl>
              <c:idx val="0"/>
              <c:layout>
                <c:manualLayout>
                  <c:x val="5.401564215095967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FB4-4EEC-B2EF-8D92278241AB}"/>
                </c:ext>
              </c:extLst>
            </c:dLbl>
            <c:dLbl>
              <c:idx val="1"/>
              <c:layout>
                <c:manualLayout>
                  <c:x val="5.543710641809025E-2"/>
                  <c:y val="-6.802721088435373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FB4-4EEC-B2EF-8D92278241AB}"/>
                </c:ext>
              </c:extLst>
            </c:dLbl>
            <c:spPr>
              <a:solidFill>
                <a:sysClr val="window" lastClr="FFFFFF"/>
              </a:solidFill>
              <a:ln>
                <a:solidFill>
                  <a:srgbClr val="000000">
                    <a:lumMod val="25000"/>
                    <a:lumOff val="75000"/>
                  </a:srgbClr>
                </a:solidFill>
              </a:ln>
              <a:effectLst/>
            </c:spPr>
            <c:txPr>
              <a:bodyPr rot="0" spcFirstLastPara="1" vertOverflow="clip" horzOverflow="clip" vert="horz" wrap="square" lIns="36576" tIns="18288" rIns="36576" bIns="18288" anchor="ctr" anchorCtr="1">
                <a:spAutoFit/>
              </a:bodyPr>
              <a:lstStyle/>
              <a:p>
                <a:pPr>
                  <a:defRPr sz="1200" b="0" i="0" u="none" strike="noStrike" kern="1200" baseline="0">
                    <a:solidFill>
                      <a:schemeClr val="dk1">
                        <a:lumMod val="65000"/>
                        <a:lumOff val="3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EllipseCallout">
                    <a:avLst/>
                  </a:prstGeom>
                  <a:noFill/>
                  <a:ln>
                    <a:noFill/>
                  </a:ln>
                </c15:spPr>
                <c15:showLeaderLines val="1"/>
                <c15:leaderLines>
                  <c:spPr>
                    <a:ln w="9525" cap="flat" cmpd="sng" algn="ctr">
                      <a:solidFill>
                        <a:schemeClr val="tx1">
                          <a:lumMod val="35000"/>
                          <a:lumOff val="65000"/>
                        </a:schemeClr>
                      </a:solidFill>
                      <a:round/>
                    </a:ln>
                    <a:effectLst/>
                  </c:spPr>
                </c15:leaderLines>
              </c:ext>
            </c:extLst>
          </c:dLbls>
          <c:xVal>
            <c:strRef>
              <c:f>'9. Kaaviot'!$B$73:$C$73</c:f>
              <c:strCache>
                <c:ptCount val="2"/>
                <c:pt idx="0">
                  <c:v>Akaa</c:v>
                </c:pt>
                <c:pt idx="1">
                  <c:v>Manner-Suomi</c:v>
                </c:pt>
              </c:strCache>
            </c:strRef>
          </c:xVal>
          <c:yVal>
            <c:numRef>
              <c:f>'9. Kaaviot'!$B$74:$C$74</c:f>
              <c:numCache>
                <c:formatCode>#\ ##0_ ;[Red]\-#\ ##0\ </c:formatCode>
                <c:ptCount val="2"/>
                <c:pt idx="0">
                  <c:v>404.57048533579086</c:v>
                </c:pt>
                <c:pt idx="1">
                  <c:v>752</c:v>
                </c:pt>
              </c:numCache>
            </c:numRef>
          </c:yVal>
          <c:smooth val="0"/>
          <c:extLst>
            <c:ext xmlns:c16="http://schemas.microsoft.com/office/drawing/2014/chart" uri="{C3380CC4-5D6E-409C-BE32-E72D297353CC}">
              <c16:uniqueId val="{00000000-7FB4-4EEC-B2EF-8D92278241AB}"/>
            </c:ext>
          </c:extLst>
        </c:ser>
        <c:dLbls>
          <c:showLegendKey val="0"/>
          <c:showVal val="0"/>
          <c:showCatName val="0"/>
          <c:showSerName val="0"/>
          <c:showPercent val="0"/>
          <c:showBubbleSize val="0"/>
        </c:dLbls>
        <c:axId val="333042719"/>
        <c:axId val="333036479"/>
      </c:scatterChart>
      <c:catAx>
        <c:axId val="333042719"/>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j-lt"/>
                <a:ea typeface="+mn-ea"/>
                <a:cs typeface="+mn-cs"/>
              </a:defRPr>
            </a:pPr>
            <a:endParaRPr lang="fi-FI"/>
          </a:p>
        </c:txPr>
        <c:crossAx val="333036479"/>
        <c:crosses val="autoZero"/>
        <c:auto val="1"/>
        <c:lblAlgn val="ctr"/>
        <c:lblOffset val="100"/>
        <c:noMultiLvlLbl val="0"/>
      </c:catAx>
      <c:valAx>
        <c:axId val="333036479"/>
        <c:scaling>
          <c:orientation val="minMax"/>
        </c:scaling>
        <c:delete val="0"/>
        <c:axPos val="l"/>
        <c:majorGridlines>
          <c:spPr>
            <a:ln w="9525" cap="flat" cmpd="sng" algn="ctr">
              <a:solidFill>
                <a:schemeClr val="tx1">
                  <a:lumMod val="15000"/>
                  <a:lumOff val="85000"/>
                </a:schemeClr>
              </a:solidFill>
              <a:round/>
            </a:ln>
            <a:effectLst/>
          </c:spPr>
        </c:majorGridlines>
        <c:numFmt formatCode="#\ ##0_ ;[Red]\-#\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333042719"/>
        <c:crosses val="autoZero"/>
        <c:crossBetween val="between"/>
      </c:valAx>
      <c:spPr>
        <a:noFill/>
        <a:ln>
          <a:noFill/>
        </a:ln>
        <a:effectLst/>
      </c:spPr>
    </c:plotArea>
    <c:legend>
      <c:legendPos val="r"/>
      <c:layout>
        <c:manualLayout>
          <c:xMode val="edge"/>
          <c:yMode val="edge"/>
          <c:x val="0.6794812976155552"/>
          <c:y val="0.36051475708393593"/>
          <c:w val="0.31198991678166166"/>
          <c:h val="0.4973035513417965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kuntaliitto.fi/kayttoehdot" TargetMode="External"/></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4.xml"/><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2</xdr:col>
      <xdr:colOff>337500</xdr:colOff>
      <xdr:row>13</xdr:row>
      <xdr:rowOff>89160</xdr:rowOff>
    </xdr:to>
    <xdr:pic>
      <xdr:nvPicPr>
        <xdr:cNvPr id="2" name="Picture 1" descr="Icon&#10;&#10;Description automatically generated">
          <a:hlinkClick xmlns:r="http://schemas.openxmlformats.org/officeDocument/2006/relationships" r:id="rId1"/>
          <a:extLst>
            <a:ext uri="{FF2B5EF4-FFF2-40B4-BE49-F238E27FC236}">
              <a16:creationId xmlns:a16="http://schemas.microsoft.com/office/drawing/2014/main" id="{5B53270C-43DF-46FE-A4F5-29F29992F4A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5800" y="2038350"/>
          <a:ext cx="1023300" cy="432060"/>
        </a:xfrm>
        <a:prstGeom prst="rect">
          <a:avLst/>
        </a:prstGeom>
      </xdr:spPr>
    </xdr:pic>
    <xdr:clientData/>
  </xdr:twoCellAnchor>
  <xdr:twoCellAnchor>
    <xdr:from>
      <xdr:col>1</xdr:col>
      <xdr:colOff>22860</xdr:colOff>
      <xdr:row>1</xdr:row>
      <xdr:rowOff>15240</xdr:rowOff>
    </xdr:from>
    <xdr:to>
      <xdr:col>1</xdr:col>
      <xdr:colOff>623583</xdr:colOff>
      <xdr:row>2</xdr:row>
      <xdr:rowOff>42840</xdr:rowOff>
    </xdr:to>
    <xdr:sp macro="" textlink="">
      <xdr:nvSpPr>
        <xdr:cNvPr id="5" name="Freeform 12">
          <a:extLst>
            <a:ext uri="{FF2B5EF4-FFF2-40B4-BE49-F238E27FC236}">
              <a16:creationId xmlns:a16="http://schemas.microsoft.com/office/drawing/2014/main" id="{2757B014-752C-4D36-AA0D-5E3446CCFFA6}"/>
            </a:ext>
          </a:extLst>
        </xdr:cNvPr>
        <xdr:cNvSpPr>
          <a:spLocks noChangeAspect="1" noEditPoints="1"/>
        </xdr:cNvSpPr>
      </xdr:nvSpPr>
      <xdr:spPr bwMode="auto">
        <a:xfrm>
          <a:off x="731520" y="167640"/>
          <a:ext cx="600723" cy="180000"/>
        </a:xfrm>
        <a:custGeom>
          <a:avLst/>
          <a:gdLst>
            <a:gd name="T0" fmla="*/ 9184 w 9693"/>
            <a:gd name="T1" fmla="*/ 1940 h 2907"/>
            <a:gd name="T2" fmla="*/ 8737 w 9693"/>
            <a:gd name="T3" fmla="*/ 1622 h 2907"/>
            <a:gd name="T4" fmla="*/ 8139 w 9693"/>
            <a:gd name="T5" fmla="*/ 1702 h 2907"/>
            <a:gd name="T6" fmla="*/ 8044 w 9693"/>
            <a:gd name="T7" fmla="*/ 2192 h 2907"/>
            <a:gd name="T8" fmla="*/ 8413 w 9693"/>
            <a:gd name="T9" fmla="*/ 2652 h 2907"/>
            <a:gd name="T10" fmla="*/ 8956 w 9693"/>
            <a:gd name="T11" fmla="*/ 2734 h 2907"/>
            <a:gd name="T12" fmla="*/ 9294 w 9693"/>
            <a:gd name="T13" fmla="*/ 2339 h 2907"/>
            <a:gd name="T14" fmla="*/ 7825 w 9693"/>
            <a:gd name="T15" fmla="*/ 1750 h 2907"/>
            <a:gd name="T16" fmla="*/ 8454 w 9693"/>
            <a:gd name="T17" fmla="*/ 1473 h 2907"/>
            <a:gd name="T18" fmla="*/ 9310 w 9693"/>
            <a:gd name="T19" fmla="*/ 1573 h 2907"/>
            <a:gd name="T20" fmla="*/ 9674 w 9693"/>
            <a:gd name="T21" fmla="*/ 1968 h 2907"/>
            <a:gd name="T22" fmla="*/ 9528 w 9693"/>
            <a:gd name="T23" fmla="*/ 2543 h 2907"/>
            <a:gd name="T24" fmla="*/ 8921 w 9693"/>
            <a:gd name="T25" fmla="*/ 2875 h 2907"/>
            <a:gd name="T26" fmla="*/ 8173 w 9693"/>
            <a:gd name="T27" fmla="*/ 2843 h 2907"/>
            <a:gd name="T28" fmla="*/ 7665 w 9693"/>
            <a:gd name="T29" fmla="*/ 2463 h 2907"/>
            <a:gd name="T30" fmla="*/ 7217 w 9693"/>
            <a:gd name="T31" fmla="*/ 1797 h 2907"/>
            <a:gd name="T32" fmla="*/ 6694 w 9693"/>
            <a:gd name="T33" fmla="*/ 1783 h 2907"/>
            <a:gd name="T34" fmla="*/ 6259 w 9693"/>
            <a:gd name="T35" fmla="*/ 2752 h 2907"/>
            <a:gd name="T36" fmla="*/ 5945 w 9693"/>
            <a:gd name="T37" fmla="*/ 1676 h 2907"/>
            <a:gd name="T38" fmla="*/ 6485 w 9693"/>
            <a:gd name="T39" fmla="*/ 1539 h 2907"/>
            <a:gd name="T40" fmla="*/ 5043 w 9693"/>
            <a:gd name="T41" fmla="*/ 1714 h 2907"/>
            <a:gd name="T42" fmla="*/ 4634 w 9693"/>
            <a:gd name="T43" fmla="*/ 2663 h 2907"/>
            <a:gd name="T44" fmla="*/ 4215 w 9693"/>
            <a:gd name="T45" fmla="*/ 1857 h 2907"/>
            <a:gd name="T46" fmla="*/ 3762 w 9693"/>
            <a:gd name="T47" fmla="*/ 1738 h 2907"/>
            <a:gd name="T48" fmla="*/ 3241 w 9693"/>
            <a:gd name="T49" fmla="*/ 1539 h 2907"/>
            <a:gd name="T50" fmla="*/ 3233 w 9693"/>
            <a:gd name="T51" fmla="*/ 2843 h 2907"/>
            <a:gd name="T52" fmla="*/ 2738 w 9693"/>
            <a:gd name="T53" fmla="*/ 1572 h 2907"/>
            <a:gd name="T54" fmla="*/ 2304 w 9693"/>
            <a:gd name="T55" fmla="*/ 2663 h 2907"/>
            <a:gd name="T56" fmla="*/ 1885 w 9693"/>
            <a:gd name="T57" fmla="*/ 1857 h 2907"/>
            <a:gd name="T58" fmla="*/ 16 w 9693"/>
            <a:gd name="T59" fmla="*/ 2824 h 2907"/>
            <a:gd name="T60" fmla="*/ 521 w 9693"/>
            <a:gd name="T61" fmla="*/ 1539 h 2907"/>
            <a:gd name="T62" fmla="*/ 784 w 9693"/>
            <a:gd name="T63" fmla="*/ 2742 h 2907"/>
            <a:gd name="T64" fmla="*/ 1483 w 9693"/>
            <a:gd name="T65" fmla="*/ 2422 h 2907"/>
            <a:gd name="T66" fmla="*/ 8242 w 9693"/>
            <a:gd name="T67" fmla="*/ 100 h 2907"/>
            <a:gd name="T68" fmla="*/ 9595 w 9693"/>
            <a:gd name="T69" fmla="*/ 1261 h 2907"/>
            <a:gd name="T70" fmla="*/ 8940 w 9693"/>
            <a:gd name="T71" fmla="*/ 1099 h 2907"/>
            <a:gd name="T72" fmla="*/ 7676 w 9693"/>
            <a:gd name="T73" fmla="*/ 1188 h 2907"/>
            <a:gd name="T74" fmla="*/ 7503 w 9693"/>
            <a:gd name="T75" fmla="*/ 181 h 2907"/>
            <a:gd name="T76" fmla="*/ 7081 w 9693"/>
            <a:gd name="T77" fmla="*/ 1130 h 2907"/>
            <a:gd name="T78" fmla="*/ 6663 w 9693"/>
            <a:gd name="T79" fmla="*/ 324 h 2907"/>
            <a:gd name="T80" fmla="*/ 6196 w 9693"/>
            <a:gd name="T81" fmla="*/ 204 h 2907"/>
            <a:gd name="T82" fmla="*/ 5797 w 9693"/>
            <a:gd name="T83" fmla="*/ 1323 h 2907"/>
            <a:gd name="T84" fmla="*/ 4154 w 9693"/>
            <a:gd name="T85" fmla="*/ 1290 h 2907"/>
            <a:gd name="T86" fmla="*/ 3984 w 9693"/>
            <a:gd name="T87" fmla="*/ 324 h 2907"/>
            <a:gd name="T88" fmla="*/ 5528 w 9693"/>
            <a:gd name="T89" fmla="*/ 110 h 2907"/>
            <a:gd name="T90" fmla="*/ 5678 w 9693"/>
            <a:gd name="T91" fmla="*/ 279 h 2907"/>
            <a:gd name="T92" fmla="*/ 3574 w 9693"/>
            <a:gd name="T93" fmla="*/ 922 h 2907"/>
            <a:gd name="T94" fmla="*/ 3210 w 9693"/>
            <a:gd name="T95" fmla="*/ 1290 h 2907"/>
            <a:gd name="T96" fmla="*/ 2500 w 9693"/>
            <a:gd name="T97" fmla="*/ 1316 h 2907"/>
            <a:gd name="T98" fmla="*/ 2064 w 9693"/>
            <a:gd name="T99" fmla="*/ 1013 h 2907"/>
            <a:gd name="T100" fmla="*/ 1978 w 9693"/>
            <a:gd name="T101" fmla="*/ 73 h 2907"/>
            <a:gd name="T102" fmla="*/ 2440 w 9693"/>
            <a:gd name="T103" fmla="*/ 801 h 2907"/>
            <a:gd name="T104" fmla="*/ 2715 w 9693"/>
            <a:gd name="T105" fmla="*/ 1200 h 2907"/>
            <a:gd name="T106" fmla="*/ 3209 w 9693"/>
            <a:gd name="T107" fmla="*/ 1162 h 2907"/>
            <a:gd name="T108" fmla="*/ 3488 w 9693"/>
            <a:gd name="T109" fmla="*/ 692 h 2907"/>
            <a:gd name="T110" fmla="*/ 3673 w 9693"/>
            <a:gd name="T111" fmla="*/ 16 h 2907"/>
            <a:gd name="T112" fmla="*/ 1110 w 9693"/>
            <a:gd name="T113" fmla="*/ 1206 h 2907"/>
            <a:gd name="T114" fmla="*/ 470 w 9693"/>
            <a:gd name="T115" fmla="*/ 986 h 2907"/>
            <a:gd name="T116" fmla="*/ 49 w 9693"/>
            <a:gd name="T117" fmla="*/ 1093 h 2907"/>
            <a:gd name="T118" fmla="*/ 486 w 9693"/>
            <a:gd name="T119" fmla="*/ 111 h 2907"/>
            <a:gd name="T120" fmla="*/ 1764 w 9693"/>
            <a:gd name="T121" fmla="*/ 35 h 2907"/>
            <a:gd name="T122" fmla="*/ 1579 w 9693"/>
            <a:gd name="T123" fmla="*/ 1101 h 29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9693" h="2907">
              <a:moveTo>
                <a:pt x="9444" y="838"/>
              </a:moveTo>
              <a:lnTo>
                <a:pt x="9690" y="535"/>
              </a:lnTo>
              <a:lnTo>
                <a:pt x="9444" y="203"/>
              </a:lnTo>
              <a:lnTo>
                <a:pt x="9444" y="838"/>
              </a:lnTo>
              <a:close/>
              <a:moveTo>
                <a:pt x="9296" y="2297"/>
              </a:moveTo>
              <a:lnTo>
                <a:pt x="9295" y="2257"/>
              </a:lnTo>
              <a:lnTo>
                <a:pt x="9291" y="2218"/>
              </a:lnTo>
              <a:lnTo>
                <a:pt x="9285" y="2180"/>
              </a:lnTo>
              <a:lnTo>
                <a:pt x="9277" y="2142"/>
              </a:lnTo>
              <a:lnTo>
                <a:pt x="9266" y="2106"/>
              </a:lnTo>
              <a:lnTo>
                <a:pt x="9253" y="2071"/>
              </a:lnTo>
              <a:lnTo>
                <a:pt x="9239" y="2036"/>
              </a:lnTo>
              <a:lnTo>
                <a:pt x="9222" y="2003"/>
              </a:lnTo>
              <a:lnTo>
                <a:pt x="9204" y="1971"/>
              </a:lnTo>
              <a:lnTo>
                <a:pt x="9184" y="1940"/>
              </a:lnTo>
              <a:lnTo>
                <a:pt x="9162" y="1910"/>
              </a:lnTo>
              <a:lnTo>
                <a:pt x="9139" y="1881"/>
              </a:lnTo>
              <a:lnTo>
                <a:pt x="9114" y="1853"/>
              </a:lnTo>
              <a:lnTo>
                <a:pt x="9088" y="1827"/>
              </a:lnTo>
              <a:lnTo>
                <a:pt x="9061" y="1802"/>
              </a:lnTo>
              <a:lnTo>
                <a:pt x="9032" y="1778"/>
              </a:lnTo>
              <a:lnTo>
                <a:pt x="9002" y="1755"/>
              </a:lnTo>
              <a:lnTo>
                <a:pt x="8987" y="1744"/>
              </a:lnTo>
              <a:lnTo>
                <a:pt x="8972" y="1734"/>
              </a:lnTo>
              <a:lnTo>
                <a:pt x="8940" y="1713"/>
              </a:lnTo>
              <a:lnTo>
                <a:pt x="8908" y="1695"/>
              </a:lnTo>
              <a:lnTo>
                <a:pt x="8875" y="1677"/>
              </a:lnTo>
              <a:lnTo>
                <a:pt x="8841" y="1661"/>
              </a:lnTo>
              <a:lnTo>
                <a:pt x="8772" y="1633"/>
              </a:lnTo>
              <a:lnTo>
                <a:pt x="8737" y="1622"/>
              </a:lnTo>
              <a:lnTo>
                <a:pt x="8702" y="1611"/>
              </a:lnTo>
              <a:lnTo>
                <a:pt x="8666" y="1603"/>
              </a:lnTo>
              <a:lnTo>
                <a:pt x="8630" y="1595"/>
              </a:lnTo>
              <a:lnTo>
                <a:pt x="8595" y="1590"/>
              </a:lnTo>
              <a:lnTo>
                <a:pt x="8559" y="1586"/>
              </a:lnTo>
              <a:lnTo>
                <a:pt x="8489" y="1583"/>
              </a:lnTo>
              <a:lnTo>
                <a:pt x="8427" y="1585"/>
              </a:lnTo>
              <a:lnTo>
                <a:pt x="8369" y="1592"/>
              </a:lnTo>
              <a:lnTo>
                <a:pt x="8317" y="1603"/>
              </a:lnTo>
              <a:lnTo>
                <a:pt x="8270" y="1619"/>
              </a:lnTo>
              <a:lnTo>
                <a:pt x="8227" y="1638"/>
              </a:lnTo>
              <a:lnTo>
                <a:pt x="8207" y="1649"/>
              </a:lnTo>
              <a:lnTo>
                <a:pt x="8188" y="1661"/>
              </a:lnTo>
              <a:lnTo>
                <a:pt x="8155" y="1688"/>
              </a:lnTo>
              <a:lnTo>
                <a:pt x="8139" y="1702"/>
              </a:lnTo>
              <a:lnTo>
                <a:pt x="8125" y="1717"/>
              </a:lnTo>
              <a:lnTo>
                <a:pt x="8099" y="1749"/>
              </a:lnTo>
              <a:lnTo>
                <a:pt x="8077" y="1784"/>
              </a:lnTo>
              <a:lnTo>
                <a:pt x="8068" y="1802"/>
              </a:lnTo>
              <a:lnTo>
                <a:pt x="8059" y="1821"/>
              </a:lnTo>
              <a:lnTo>
                <a:pt x="8045" y="1860"/>
              </a:lnTo>
              <a:lnTo>
                <a:pt x="8034" y="1901"/>
              </a:lnTo>
              <a:lnTo>
                <a:pt x="8026" y="1944"/>
              </a:lnTo>
              <a:lnTo>
                <a:pt x="8022" y="1987"/>
              </a:lnTo>
              <a:lnTo>
                <a:pt x="8020" y="2032"/>
              </a:lnTo>
              <a:lnTo>
                <a:pt x="8023" y="2082"/>
              </a:lnTo>
              <a:lnTo>
                <a:pt x="8026" y="2108"/>
              </a:lnTo>
              <a:lnTo>
                <a:pt x="8031" y="2135"/>
              </a:lnTo>
              <a:lnTo>
                <a:pt x="8037" y="2163"/>
              </a:lnTo>
              <a:lnTo>
                <a:pt x="8044" y="2192"/>
              </a:lnTo>
              <a:lnTo>
                <a:pt x="8053" y="2221"/>
              </a:lnTo>
              <a:lnTo>
                <a:pt x="8063" y="2250"/>
              </a:lnTo>
              <a:lnTo>
                <a:pt x="8075" y="2280"/>
              </a:lnTo>
              <a:lnTo>
                <a:pt x="8088" y="2310"/>
              </a:lnTo>
              <a:lnTo>
                <a:pt x="8103" y="2339"/>
              </a:lnTo>
              <a:lnTo>
                <a:pt x="8119" y="2369"/>
              </a:lnTo>
              <a:lnTo>
                <a:pt x="8137" y="2399"/>
              </a:lnTo>
              <a:lnTo>
                <a:pt x="8157" y="2428"/>
              </a:lnTo>
              <a:lnTo>
                <a:pt x="8201" y="2484"/>
              </a:lnTo>
              <a:lnTo>
                <a:pt x="8252" y="2538"/>
              </a:lnTo>
              <a:lnTo>
                <a:pt x="8281" y="2563"/>
              </a:lnTo>
              <a:lnTo>
                <a:pt x="8311" y="2587"/>
              </a:lnTo>
              <a:lnTo>
                <a:pt x="8343" y="2610"/>
              </a:lnTo>
              <a:lnTo>
                <a:pt x="8377" y="2632"/>
              </a:lnTo>
              <a:lnTo>
                <a:pt x="8413" y="2652"/>
              </a:lnTo>
              <a:lnTo>
                <a:pt x="8451" y="2671"/>
              </a:lnTo>
              <a:lnTo>
                <a:pt x="8490" y="2688"/>
              </a:lnTo>
              <a:lnTo>
                <a:pt x="8532" y="2703"/>
              </a:lnTo>
              <a:lnTo>
                <a:pt x="8576" y="2716"/>
              </a:lnTo>
              <a:lnTo>
                <a:pt x="8622" y="2727"/>
              </a:lnTo>
              <a:lnTo>
                <a:pt x="8670" y="2735"/>
              </a:lnTo>
              <a:lnTo>
                <a:pt x="8695" y="2739"/>
              </a:lnTo>
              <a:lnTo>
                <a:pt x="8720" y="2742"/>
              </a:lnTo>
              <a:lnTo>
                <a:pt x="8773" y="2746"/>
              </a:lnTo>
              <a:lnTo>
                <a:pt x="8827" y="2747"/>
              </a:lnTo>
              <a:lnTo>
                <a:pt x="8858" y="2746"/>
              </a:lnTo>
              <a:lnTo>
                <a:pt x="8888" y="2744"/>
              </a:lnTo>
              <a:lnTo>
                <a:pt x="8916" y="2741"/>
              </a:lnTo>
              <a:lnTo>
                <a:pt x="8943" y="2737"/>
              </a:lnTo>
              <a:lnTo>
                <a:pt x="8956" y="2734"/>
              </a:lnTo>
              <a:lnTo>
                <a:pt x="8969" y="2731"/>
              </a:lnTo>
              <a:lnTo>
                <a:pt x="8994" y="2725"/>
              </a:lnTo>
              <a:lnTo>
                <a:pt x="9041" y="2708"/>
              </a:lnTo>
              <a:lnTo>
                <a:pt x="9084" y="2688"/>
              </a:lnTo>
              <a:lnTo>
                <a:pt x="9103" y="2676"/>
              </a:lnTo>
              <a:lnTo>
                <a:pt x="9122" y="2664"/>
              </a:lnTo>
              <a:lnTo>
                <a:pt x="9156" y="2637"/>
              </a:lnTo>
              <a:lnTo>
                <a:pt x="9187" y="2606"/>
              </a:lnTo>
              <a:lnTo>
                <a:pt x="9213" y="2573"/>
              </a:lnTo>
              <a:lnTo>
                <a:pt x="9236" y="2538"/>
              </a:lnTo>
              <a:lnTo>
                <a:pt x="9254" y="2501"/>
              </a:lnTo>
              <a:lnTo>
                <a:pt x="9270" y="2462"/>
              </a:lnTo>
              <a:lnTo>
                <a:pt x="9281" y="2422"/>
              </a:lnTo>
              <a:lnTo>
                <a:pt x="9289" y="2381"/>
              </a:lnTo>
              <a:lnTo>
                <a:pt x="9294" y="2339"/>
              </a:lnTo>
              <a:lnTo>
                <a:pt x="9296" y="2297"/>
              </a:lnTo>
              <a:close/>
              <a:moveTo>
                <a:pt x="7605" y="2218"/>
              </a:moveTo>
              <a:lnTo>
                <a:pt x="7606" y="2174"/>
              </a:lnTo>
              <a:lnTo>
                <a:pt x="7611" y="2130"/>
              </a:lnTo>
              <a:lnTo>
                <a:pt x="7619" y="2088"/>
              </a:lnTo>
              <a:lnTo>
                <a:pt x="7629" y="2047"/>
              </a:lnTo>
              <a:lnTo>
                <a:pt x="7643" y="2007"/>
              </a:lnTo>
              <a:lnTo>
                <a:pt x="7659" y="1969"/>
              </a:lnTo>
              <a:lnTo>
                <a:pt x="7678" y="1932"/>
              </a:lnTo>
              <a:lnTo>
                <a:pt x="7700" y="1896"/>
              </a:lnTo>
              <a:lnTo>
                <a:pt x="7724" y="1861"/>
              </a:lnTo>
              <a:lnTo>
                <a:pt x="7750" y="1827"/>
              </a:lnTo>
              <a:lnTo>
                <a:pt x="7778" y="1795"/>
              </a:lnTo>
              <a:lnTo>
                <a:pt x="7809" y="1764"/>
              </a:lnTo>
              <a:lnTo>
                <a:pt x="7825" y="1750"/>
              </a:lnTo>
              <a:lnTo>
                <a:pt x="7841" y="1735"/>
              </a:lnTo>
              <a:lnTo>
                <a:pt x="7876" y="1707"/>
              </a:lnTo>
              <a:lnTo>
                <a:pt x="7912" y="1680"/>
              </a:lnTo>
              <a:lnTo>
                <a:pt x="7950" y="1655"/>
              </a:lnTo>
              <a:lnTo>
                <a:pt x="7990" y="1631"/>
              </a:lnTo>
              <a:lnTo>
                <a:pt x="8031" y="1609"/>
              </a:lnTo>
              <a:lnTo>
                <a:pt x="8074" y="1588"/>
              </a:lnTo>
              <a:lnTo>
                <a:pt x="8118" y="1568"/>
              </a:lnTo>
              <a:lnTo>
                <a:pt x="8163" y="1550"/>
              </a:lnTo>
              <a:lnTo>
                <a:pt x="8209" y="1533"/>
              </a:lnTo>
              <a:lnTo>
                <a:pt x="8256" y="1518"/>
              </a:lnTo>
              <a:lnTo>
                <a:pt x="8305" y="1505"/>
              </a:lnTo>
              <a:lnTo>
                <a:pt x="8354" y="1493"/>
              </a:lnTo>
              <a:lnTo>
                <a:pt x="8403" y="1482"/>
              </a:lnTo>
              <a:lnTo>
                <a:pt x="8454" y="1473"/>
              </a:lnTo>
              <a:lnTo>
                <a:pt x="8504" y="1466"/>
              </a:lnTo>
              <a:lnTo>
                <a:pt x="8556" y="1460"/>
              </a:lnTo>
              <a:lnTo>
                <a:pt x="8607" y="1456"/>
              </a:lnTo>
              <a:lnTo>
                <a:pt x="8711" y="1452"/>
              </a:lnTo>
              <a:lnTo>
                <a:pt x="8764" y="1452"/>
              </a:lnTo>
              <a:lnTo>
                <a:pt x="8816" y="1456"/>
              </a:lnTo>
              <a:lnTo>
                <a:pt x="8867" y="1459"/>
              </a:lnTo>
              <a:lnTo>
                <a:pt x="8917" y="1465"/>
              </a:lnTo>
              <a:lnTo>
                <a:pt x="8966" y="1471"/>
              </a:lnTo>
              <a:lnTo>
                <a:pt x="9013" y="1479"/>
              </a:lnTo>
              <a:lnTo>
                <a:pt x="9105" y="1499"/>
              </a:lnTo>
              <a:lnTo>
                <a:pt x="9191" y="1525"/>
              </a:lnTo>
              <a:lnTo>
                <a:pt x="9232" y="1539"/>
              </a:lnTo>
              <a:lnTo>
                <a:pt x="9272" y="1555"/>
              </a:lnTo>
              <a:lnTo>
                <a:pt x="9310" y="1573"/>
              </a:lnTo>
              <a:lnTo>
                <a:pt x="9347" y="1591"/>
              </a:lnTo>
              <a:lnTo>
                <a:pt x="9382" y="1611"/>
              </a:lnTo>
              <a:lnTo>
                <a:pt x="9416" y="1632"/>
              </a:lnTo>
              <a:lnTo>
                <a:pt x="9447" y="1654"/>
              </a:lnTo>
              <a:lnTo>
                <a:pt x="9478" y="1677"/>
              </a:lnTo>
              <a:lnTo>
                <a:pt x="9506" y="1701"/>
              </a:lnTo>
              <a:lnTo>
                <a:pt x="9532" y="1727"/>
              </a:lnTo>
              <a:lnTo>
                <a:pt x="9557" y="1753"/>
              </a:lnTo>
              <a:lnTo>
                <a:pt x="9580" y="1781"/>
              </a:lnTo>
              <a:lnTo>
                <a:pt x="9601" y="1810"/>
              </a:lnTo>
              <a:lnTo>
                <a:pt x="9620" y="1839"/>
              </a:lnTo>
              <a:lnTo>
                <a:pt x="9636" y="1870"/>
              </a:lnTo>
              <a:lnTo>
                <a:pt x="9651" y="1902"/>
              </a:lnTo>
              <a:lnTo>
                <a:pt x="9664" y="1934"/>
              </a:lnTo>
              <a:lnTo>
                <a:pt x="9674" y="1968"/>
              </a:lnTo>
              <a:lnTo>
                <a:pt x="9682" y="2002"/>
              </a:lnTo>
              <a:lnTo>
                <a:pt x="9688" y="2038"/>
              </a:lnTo>
              <a:lnTo>
                <a:pt x="9692" y="2074"/>
              </a:lnTo>
              <a:lnTo>
                <a:pt x="9693" y="2111"/>
              </a:lnTo>
              <a:lnTo>
                <a:pt x="9691" y="2156"/>
              </a:lnTo>
              <a:lnTo>
                <a:pt x="9687" y="2199"/>
              </a:lnTo>
              <a:lnTo>
                <a:pt x="9680" y="2242"/>
              </a:lnTo>
              <a:lnTo>
                <a:pt x="9669" y="2284"/>
              </a:lnTo>
              <a:lnTo>
                <a:pt x="9656" y="2324"/>
              </a:lnTo>
              <a:lnTo>
                <a:pt x="9641" y="2363"/>
              </a:lnTo>
              <a:lnTo>
                <a:pt x="9623" y="2402"/>
              </a:lnTo>
              <a:lnTo>
                <a:pt x="9603" y="2439"/>
              </a:lnTo>
              <a:lnTo>
                <a:pt x="9580" y="2475"/>
              </a:lnTo>
              <a:lnTo>
                <a:pt x="9555" y="2509"/>
              </a:lnTo>
              <a:lnTo>
                <a:pt x="9528" y="2543"/>
              </a:lnTo>
              <a:lnTo>
                <a:pt x="9498" y="2575"/>
              </a:lnTo>
              <a:lnTo>
                <a:pt x="9467" y="2605"/>
              </a:lnTo>
              <a:lnTo>
                <a:pt x="9434" y="2635"/>
              </a:lnTo>
              <a:lnTo>
                <a:pt x="9399" y="2663"/>
              </a:lnTo>
              <a:lnTo>
                <a:pt x="9362" y="2690"/>
              </a:lnTo>
              <a:lnTo>
                <a:pt x="9324" y="2715"/>
              </a:lnTo>
              <a:lnTo>
                <a:pt x="9284" y="2739"/>
              </a:lnTo>
              <a:lnTo>
                <a:pt x="9243" y="2761"/>
              </a:lnTo>
              <a:lnTo>
                <a:pt x="9200" y="2782"/>
              </a:lnTo>
              <a:lnTo>
                <a:pt x="9156" y="2802"/>
              </a:lnTo>
              <a:lnTo>
                <a:pt x="9111" y="2819"/>
              </a:lnTo>
              <a:lnTo>
                <a:pt x="9065" y="2836"/>
              </a:lnTo>
              <a:lnTo>
                <a:pt x="9018" y="2850"/>
              </a:lnTo>
              <a:lnTo>
                <a:pt x="8970" y="2863"/>
              </a:lnTo>
              <a:lnTo>
                <a:pt x="8921" y="2875"/>
              </a:lnTo>
              <a:lnTo>
                <a:pt x="8872" y="2885"/>
              </a:lnTo>
              <a:lnTo>
                <a:pt x="8822" y="2893"/>
              </a:lnTo>
              <a:lnTo>
                <a:pt x="8771" y="2899"/>
              </a:lnTo>
              <a:lnTo>
                <a:pt x="8720" y="2903"/>
              </a:lnTo>
              <a:lnTo>
                <a:pt x="8669" y="2906"/>
              </a:lnTo>
              <a:lnTo>
                <a:pt x="8617" y="2907"/>
              </a:lnTo>
              <a:lnTo>
                <a:pt x="8564" y="2906"/>
              </a:lnTo>
              <a:lnTo>
                <a:pt x="8511" y="2904"/>
              </a:lnTo>
              <a:lnTo>
                <a:pt x="8460" y="2900"/>
              </a:lnTo>
              <a:lnTo>
                <a:pt x="8410" y="2894"/>
              </a:lnTo>
              <a:lnTo>
                <a:pt x="8360" y="2887"/>
              </a:lnTo>
              <a:lnTo>
                <a:pt x="8312" y="2878"/>
              </a:lnTo>
              <a:lnTo>
                <a:pt x="8264" y="2868"/>
              </a:lnTo>
              <a:lnTo>
                <a:pt x="8218" y="2856"/>
              </a:lnTo>
              <a:lnTo>
                <a:pt x="8173" y="2843"/>
              </a:lnTo>
              <a:lnTo>
                <a:pt x="8129" y="2828"/>
              </a:lnTo>
              <a:lnTo>
                <a:pt x="8087" y="2812"/>
              </a:lnTo>
              <a:lnTo>
                <a:pt x="8046" y="2795"/>
              </a:lnTo>
              <a:lnTo>
                <a:pt x="7968" y="2756"/>
              </a:lnTo>
              <a:lnTo>
                <a:pt x="7932" y="2735"/>
              </a:lnTo>
              <a:lnTo>
                <a:pt x="7897" y="2713"/>
              </a:lnTo>
              <a:lnTo>
                <a:pt x="7864" y="2690"/>
              </a:lnTo>
              <a:lnTo>
                <a:pt x="7832" y="2665"/>
              </a:lnTo>
              <a:lnTo>
                <a:pt x="7802" y="2639"/>
              </a:lnTo>
              <a:lnTo>
                <a:pt x="7775" y="2612"/>
              </a:lnTo>
              <a:lnTo>
                <a:pt x="7749" y="2585"/>
              </a:lnTo>
              <a:lnTo>
                <a:pt x="7725" y="2556"/>
              </a:lnTo>
              <a:lnTo>
                <a:pt x="7703" y="2526"/>
              </a:lnTo>
              <a:lnTo>
                <a:pt x="7683" y="2495"/>
              </a:lnTo>
              <a:lnTo>
                <a:pt x="7665" y="2463"/>
              </a:lnTo>
              <a:lnTo>
                <a:pt x="7649" y="2431"/>
              </a:lnTo>
              <a:lnTo>
                <a:pt x="7636" y="2397"/>
              </a:lnTo>
              <a:lnTo>
                <a:pt x="7625" y="2363"/>
              </a:lnTo>
              <a:lnTo>
                <a:pt x="7616" y="2328"/>
              </a:lnTo>
              <a:lnTo>
                <a:pt x="7610" y="2292"/>
              </a:lnTo>
              <a:lnTo>
                <a:pt x="7606" y="2256"/>
              </a:lnTo>
              <a:lnTo>
                <a:pt x="7605" y="2218"/>
              </a:lnTo>
              <a:close/>
              <a:moveTo>
                <a:pt x="7425" y="2017"/>
              </a:moveTo>
              <a:lnTo>
                <a:pt x="7393" y="2025"/>
              </a:lnTo>
              <a:lnTo>
                <a:pt x="7357" y="1969"/>
              </a:lnTo>
              <a:lnTo>
                <a:pt x="7322" y="1918"/>
              </a:lnTo>
              <a:lnTo>
                <a:pt x="7288" y="1873"/>
              </a:lnTo>
              <a:lnTo>
                <a:pt x="7270" y="1852"/>
              </a:lnTo>
              <a:lnTo>
                <a:pt x="7252" y="1833"/>
              </a:lnTo>
              <a:lnTo>
                <a:pt x="7217" y="1797"/>
              </a:lnTo>
              <a:lnTo>
                <a:pt x="7181" y="1765"/>
              </a:lnTo>
              <a:lnTo>
                <a:pt x="7145" y="1738"/>
              </a:lnTo>
              <a:lnTo>
                <a:pt x="7126" y="1725"/>
              </a:lnTo>
              <a:lnTo>
                <a:pt x="7107" y="1714"/>
              </a:lnTo>
              <a:lnTo>
                <a:pt x="7067" y="1693"/>
              </a:lnTo>
              <a:lnTo>
                <a:pt x="7025" y="1676"/>
              </a:lnTo>
              <a:lnTo>
                <a:pt x="6980" y="1662"/>
              </a:lnTo>
              <a:lnTo>
                <a:pt x="6933" y="1651"/>
              </a:lnTo>
              <a:lnTo>
                <a:pt x="6883" y="1641"/>
              </a:lnTo>
              <a:lnTo>
                <a:pt x="6830" y="1634"/>
              </a:lnTo>
              <a:lnTo>
                <a:pt x="6773" y="1629"/>
              </a:lnTo>
              <a:lnTo>
                <a:pt x="6711" y="1626"/>
              </a:lnTo>
              <a:lnTo>
                <a:pt x="6704" y="1668"/>
              </a:lnTo>
              <a:lnTo>
                <a:pt x="6698" y="1720"/>
              </a:lnTo>
              <a:lnTo>
                <a:pt x="6694" y="1783"/>
              </a:lnTo>
              <a:lnTo>
                <a:pt x="6692" y="1859"/>
              </a:lnTo>
              <a:lnTo>
                <a:pt x="6692" y="2538"/>
              </a:lnTo>
              <a:lnTo>
                <a:pt x="6695" y="2626"/>
              </a:lnTo>
              <a:lnTo>
                <a:pt x="6697" y="2663"/>
              </a:lnTo>
              <a:lnTo>
                <a:pt x="6700" y="2697"/>
              </a:lnTo>
              <a:lnTo>
                <a:pt x="6708" y="2752"/>
              </a:lnTo>
              <a:lnTo>
                <a:pt x="6718" y="2794"/>
              </a:lnTo>
              <a:lnTo>
                <a:pt x="6727" y="2824"/>
              </a:lnTo>
              <a:lnTo>
                <a:pt x="6735" y="2843"/>
              </a:lnTo>
              <a:lnTo>
                <a:pt x="6743" y="2856"/>
              </a:lnTo>
              <a:lnTo>
                <a:pt x="6228" y="2856"/>
              </a:lnTo>
              <a:lnTo>
                <a:pt x="6235" y="2843"/>
              </a:lnTo>
              <a:lnTo>
                <a:pt x="6242" y="2824"/>
              </a:lnTo>
              <a:lnTo>
                <a:pt x="6250" y="2794"/>
              </a:lnTo>
              <a:lnTo>
                <a:pt x="6259" y="2752"/>
              </a:lnTo>
              <a:lnTo>
                <a:pt x="6266" y="2697"/>
              </a:lnTo>
              <a:lnTo>
                <a:pt x="6271" y="2626"/>
              </a:lnTo>
              <a:lnTo>
                <a:pt x="6273" y="2538"/>
              </a:lnTo>
              <a:lnTo>
                <a:pt x="6279" y="1857"/>
              </a:lnTo>
              <a:lnTo>
                <a:pt x="6277" y="1782"/>
              </a:lnTo>
              <a:lnTo>
                <a:pt x="6273" y="1719"/>
              </a:lnTo>
              <a:lnTo>
                <a:pt x="6267" y="1667"/>
              </a:lnTo>
              <a:lnTo>
                <a:pt x="6260" y="1626"/>
              </a:lnTo>
              <a:lnTo>
                <a:pt x="6198" y="1629"/>
              </a:lnTo>
              <a:lnTo>
                <a:pt x="6141" y="1634"/>
              </a:lnTo>
              <a:lnTo>
                <a:pt x="6087" y="1641"/>
              </a:lnTo>
              <a:lnTo>
                <a:pt x="6037" y="1651"/>
              </a:lnTo>
              <a:lnTo>
                <a:pt x="6013" y="1656"/>
              </a:lnTo>
              <a:lnTo>
                <a:pt x="5990" y="1662"/>
              </a:lnTo>
              <a:lnTo>
                <a:pt x="5945" y="1676"/>
              </a:lnTo>
              <a:lnTo>
                <a:pt x="5903" y="1693"/>
              </a:lnTo>
              <a:lnTo>
                <a:pt x="5864" y="1714"/>
              </a:lnTo>
              <a:lnTo>
                <a:pt x="5844" y="1725"/>
              </a:lnTo>
              <a:lnTo>
                <a:pt x="5826" y="1738"/>
              </a:lnTo>
              <a:lnTo>
                <a:pt x="5789" y="1765"/>
              </a:lnTo>
              <a:lnTo>
                <a:pt x="5753" y="1797"/>
              </a:lnTo>
              <a:lnTo>
                <a:pt x="5719" y="1833"/>
              </a:lnTo>
              <a:lnTo>
                <a:pt x="5684" y="1873"/>
              </a:lnTo>
              <a:lnTo>
                <a:pt x="5650" y="1918"/>
              </a:lnTo>
              <a:lnTo>
                <a:pt x="5615" y="1969"/>
              </a:lnTo>
              <a:lnTo>
                <a:pt x="5579" y="2025"/>
              </a:lnTo>
              <a:lnTo>
                <a:pt x="5547" y="2017"/>
              </a:lnTo>
              <a:lnTo>
                <a:pt x="5630" y="1534"/>
              </a:lnTo>
              <a:lnTo>
                <a:pt x="6057" y="1536"/>
              </a:lnTo>
              <a:lnTo>
                <a:pt x="6485" y="1539"/>
              </a:lnTo>
              <a:lnTo>
                <a:pt x="6913" y="1536"/>
              </a:lnTo>
              <a:lnTo>
                <a:pt x="7342" y="1534"/>
              </a:lnTo>
              <a:lnTo>
                <a:pt x="7425" y="2017"/>
              </a:lnTo>
              <a:close/>
              <a:moveTo>
                <a:pt x="5360" y="2017"/>
              </a:moveTo>
              <a:lnTo>
                <a:pt x="5328" y="2025"/>
              </a:lnTo>
              <a:lnTo>
                <a:pt x="5293" y="1969"/>
              </a:lnTo>
              <a:lnTo>
                <a:pt x="5258" y="1918"/>
              </a:lnTo>
              <a:lnTo>
                <a:pt x="5223" y="1873"/>
              </a:lnTo>
              <a:lnTo>
                <a:pt x="5206" y="1852"/>
              </a:lnTo>
              <a:lnTo>
                <a:pt x="5188" y="1833"/>
              </a:lnTo>
              <a:lnTo>
                <a:pt x="5153" y="1797"/>
              </a:lnTo>
              <a:lnTo>
                <a:pt x="5118" y="1765"/>
              </a:lnTo>
              <a:lnTo>
                <a:pt x="5081" y="1738"/>
              </a:lnTo>
              <a:lnTo>
                <a:pt x="5062" y="1725"/>
              </a:lnTo>
              <a:lnTo>
                <a:pt x="5043" y="1714"/>
              </a:lnTo>
              <a:lnTo>
                <a:pt x="5003" y="1693"/>
              </a:lnTo>
              <a:lnTo>
                <a:pt x="4961" y="1676"/>
              </a:lnTo>
              <a:lnTo>
                <a:pt x="4917" y="1662"/>
              </a:lnTo>
              <a:lnTo>
                <a:pt x="4870" y="1651"/>
              </a:lnTo>
              <a:lnTo>
                <a:pt x="4820" y="1641"/>
              </a:lnTo>
              <a:lnTo>
                <a:pt x="4766" y="1634"/>
              </a:lnTo>
              <a:lnTo>
                <a:pt x="4709" y="1629"/>
              </a:lnTo>
              <a:lnTo>
                <a:pt x="4648" y="1626"/>
              </a:lnTo>
              <a:lnTo>
                <a:pt x="4641" y="1668"/>
              </a:lnTo>
              <a:lnTo>
                <a:pt x="4635" y="1720"/>
              </a:lnTo>
              <a:lnTo>
                <a:pt x="4630" y="1783"/>
              </a:lnTo>
              <a:lnTo>
                <a:pt x="4629" y="1859"/>
              </a:lnTo>
              <a:lnTo>
                <a:pt x="4629" y="2538"/>
              </a:lnTo>
              <a:lnTo>
                <a:pt x="4631" y="2626"/>
              </a:lnTo>
              <a:lnTo>
                <a:pt x="4634" y="2663"/>
              </a:lnTo>
              <a:lnTo>
                <a:pt x="4637" y="2697"/>
              </a:lnTo>
              <a:lnTo>
                <a:pt x="4645" y="2752"/>
              </a:lnTo>
              <a:lnTo>
                <a:pt x="4654" y="2794"/>
              </a:lnTo>
              <a:lnTo>
                <a:pt x="4664" y="2824"/>
              </a:lnTo>
              <a:lnTo>
                <a:pt x="4672" y="2843"/>
              </a:lnTo>
              <a:lnTo>
                <a:pt x="4680" y="2856"/>
              </a:lnTo>
              <a:lnTo>
                <a:pt x="4164" y="2856"/>
              </a:lnTo>
              <a:lnTo>
                <a:pt x="4171" y="2843"/>
              </a:lnTo>
              <a:lnTo>
                <a:pt x="4178" y="2824"/>
              </a:lnTo>
              <a:lnTo>
                <a:pt x="4187" y="2794"/>
              </a:lnTo>
              <a:lnTo>
                <a:pt x="4195" y="2752"/>
              </a:lnTo>
              <a:lnTo>
                <a:pt x="4202" y="2697"/>
              </a:lnTo>
              <a:lnTo>
                <a:pt x="4207" y="2626"/>
              </a:lnTo>
              <a:lnTo>
                <a:pt x="4209" y="2538"/>
              </a:lnTo>
              <a:lnTo>
                <a:pt x="4215" y="1857"/>
              </a:lnTo>
              <a:lnTo>
                <a:pt x="4213" y="1782"/>
              </a:lnTo>
              <a:lnTo>
                <a:pt x="4209" y="1719"/>
              </a:lnTo>
              <a:lnTo>
                <a:pt x="4203" y="1667"/>
              </a:lnTo>
              <a:lnTo>
                <a:pt x="4196" y="1626"/>
              </a:lnTo>
              <a:lnTo>
                <a:pt x="4134" y="1629"/>
              </a:lnTo>
              <a:lnTo>
                <a:pt x="4077" y="1634"/>
              </a:lnTo>
              <a:lnTo>
                <a:pt x="4023" y="1641"/>
              </a:lnTo>
              <a:lnTo>
                <a:pt x="3973" y="1651"/>
              </a:lnTo>
              <a:lnTo>
                <a:pt x="3949" y="1656"/>
              </a:lnTo>
              <a:lnTo>
                <a:pt x="3926" y="1662"/>
              </a:lnTo>
              <a:lnTo>
                <a:pt x="3882" y="1676"/>
              </a:lnTo>
              <a:lnTo>
                <a:pt x="3840" y="1693"/>
              </a:lnTo>
              <a:lnTo>
                <a:pt x="3800" y="1714"/>
              </a:lnTo>
              <a:lnTo>
                <a:pt x="3781" y="1725"/>
              </a:lnTo>
              <a:lnTo>
                <a:pt x="3762" y="1738"/>
              </a:lnTo>
              <a:lnTo>
                <a:pt x="3725" y="1765"/>
              </a:lnTo>
              <a:lnTo>
                <a:pt x="3690" y="1797"/>
              </a:lnTo>
              <a:lnTo>
                <a:pt x="3655" y="1833"/>
              </a:lnTo>
              <a:lnTo>
                <a:pt x="3620" y="1873"/>
              </a:lnTo>
              <a:lnTo>
                <a:pt x="3586" y="1918"/>
              </a:lnTo>
              <a:lnTo>
                <a:pt x="3551" y="1969"/>
              </a:lnTo>
              <a:lnTo>
                <a:pt x="3516" y="2025"/>
              </a:lnTo>
              <a:lnTo>
                <a:pt x="3484" y="2017"/>
              </a:lnTo>
              <a:lnTo>
                <a:pt x="3566" y="1534"/>
              </a:lnTo>
              <a:lnTo>
                <a:pt x="3994" y="1536"/>
              </a:lnTo>
              <a:lnTo>
                <a:pt x="4422" y="1539"/>
              </a:lnTo>
              <a:lnTo>
                <a:pt x="4849" y="1536"/>
              </a:lnTo>
              <a:lnTo>
                <a:pt x="5277" y="1534"/>
              </a:lnTo>
              <a:lnTo>
                <a:pt x="5360" y="2017"/>
              </a:lnTo>
              <a:close/>
              <a:moveTo>
                <a:pt x="3241" y="1539"/>
              </a:moveTo>
              <a:lnTo>
                <a:pt x="3233" y="1553"/>
              </a:lnTo>
              <a:lnTo>
                <a:pt x="3225" y="1572"/>
              </a:lnTo>
              <a:lnTo>
                <a:pt x="3215" y="1602"/>
              </a:lnTo>
              <a:lnTo>
                <a:pt x="3206" y="1644"/>
              </a:lnTo>
              <a:lnTo>
                <a:pt x="3198" y="1700"/>
              </a:lnTo>
              <a:lnTo>
                <a:pt x="3192" y="1771"/>
              </a:lnTo>
              <a:lnTo>
                <a:pt x="3190" y="1859"/>
              </a:lnTo>
              <a:lnTo>
                <a:pt x="3190" y="2538"/>
              </a:lnTo>
              <a:lnTo>
                <a:pt x="3192" y="2626"/>
              </a:lnTo>
              <a:lnTo>
                <a:pt x="3195" y="2663"/>
              </a:lnTo>
              <a:lnTo>
                <a:pt x="3198" y="2697"/>
              </a:lnTo>
              <a:lnTo>
                <a:pt x="3206" y="2752"/>
              </a:lnTo>
              <a:lnTo>
                <a:pt x="3215" y="2794"/>
              </a:lnTo>
              <a:lnTo>
                <a:pt x="3225" y="2824"/>
              </a:lnTo>
              <a:lnTo>
                <a:pt x="3233" y="2843"/>
              </a:lnTo>
              <a:lnTo>
                <a:pt x="3241" y="2856"/>
              </a:lnTo>
              <a:lnTo>
                <a:pt x="2720" y="2856"/>
              </a:lnTo>
              <a:lnTo>
                <a:pt x="2728" y="2843"/>
              </a:lnTo>
              <a:lnTo>
                <a:pt x="2736" y="2824"/>
              </a:lnTo>
              <a:lnTo>
                <a:pt x="2745" y="2794"/>
              </a:lnTo>
              <a:lnTo>
                <a:pt x="2754" y="2752"/>
              </a:lnTo>
              <a:lnTo>
                <a:pt x="2763" y="2697"/>
              </a:lnTo>
              <a:lnTo>
                <a:pt x="2768" y="2626"/>
              </a:lnTo>
              <a:lnTo>
                <a:pt x="2771" y="2538"/>
              </a:lnTo>
              <a:lnTo>
                <a:pt x="2776" y="1857"/>
              </a:lnTo>
              <a:lnTo>
                <a:pt x="2774" y="1770"/>
              </a:lnTo>
              <a:lnTo>
                <a:pt x="2767" y="1699"/>
              </a:lnTo>
              <a:lnTo>
                <a:pt x="2758" y="1643"/>
              </a:lnTo>
              <a:lnTo>
                <a:pt x="2748" y="1602"/>
              </a:lnTo>
              <a:lnTo>
                <a:pt x="2738" y="1572"/>
              </a:lnTo>
              <a:lnTo>
                <a:pt x="2729" y="1553"/>
              </a:lnTo>
              <a:lnTo>
                <a:pt x="2722" y="1542"/>
              </a:lnTo>
              <a:lnTo>
                <a:pt x="2720" y="1539"/>
              </a:lnTo>
              <a:lnTo>
                <a:pt x="3241" y="1539"/>
              </a:lnTo>
              <a:close/>
              <a:moveTo>
                <a:pt x="2350" y="1539"/>
              </a:moveTo>
              <a:lnTo>
                <a:pt x="2342" y="1553"/>
              </a:lnTo>
              <a:lnTo>
                <a:pt x="2334" y="1572"/>
              </a:lnTo>
              <a:lnTo>
                <a:pt x="2324" y="1602"/>
              </a:lnTo>
              <a:lnTo>
                <a:pt x="2315" y="1644"/>
              </a:lnTo>
              <a:lnTo>
                <a:pt x="2307" y="1700"/>
              </a:lnTo>
              <a:lnTo>
                <a:pt x="2301" y="1771"/>
              </a:lnTo>
              <a:lnTo>
                <a:pt x="2299" y="1859"/>
              </a:lnTo>
              <a:lnTo>
                <a:pt x="2299" y="2538"/>
              </a:lnTo>
              <a:lnTo>
                <a:pt x="2301" y="2626"/>
              </a:lnTo>
              <a:lnTo>
                <a:pt x="2304" y="2663"/>
              </a:lnTo>
              <a:lnTo>
                <a:pt x="2307" y="2697"/>
              </a:lnTo>
              <a:lnTo>
                <a:pt x="2315" y="2752"/>
              </a:lnTo>
              <a:lnTo>
                <a:pt x="2324" y="2794"/>
              </a:lnTo>
              <a:lnTo>
                <a:pt x="2334" y="2824"/>
              </a:lnTo>
              <a:lnTo>
                <a:pt x="2342" y="2843"/>
              </a:lnTo>
              <a:lnTo>
                <a:pt x="2350" y="2856"/>
              </a:lnTo>
              <a:lnTo>
                <a:pt x="1829" y="2856"/>
              </a:lnTo>
              <a:lnTo>
                <a:pt x="1837" y="2843"/>
              </a:lnTo>
              <a:lnTo>
                <a:pt x="1845" y="2824"/>
              </a:lnTo>
              <a:lnTo>
                <a:pt x="1854" y="2794"/>
              </a:lnTo>
              <a:lnTo>
                <a:pt x="1863" y="2752"/>
              </a:lnTo>
              <a:lnTo>
                <a:pt x="1871" y="2697"/>
              </a:lnTo>
              <a:lnTo>
                <a:pt x="1877" y="2626"/>
              </a:lnTo>
              <a:lnTo>
                <a:pt x="1879" y="2538"/>
              </a:lnTo>
              <a:lnTo>
                <a:pt x="1885" y="1857"/>
              </a:lnTo>
              <a:lnTo>
                <a:pt x="1883" y="1770"/>
              </a:lnTo>
              <a:lnTo>
                <a:pt x="1876" y="1699"/>
              </a:lnTo>
              <a:lnTo>
                <a:pt x="1867" y="1643"/>
              </a:lnTo>
              <a:lnTo>
                <a:pt x="1857" y="1602"/>
              </a:lnTo>
              <a:lnTo>
                <a:pt x="1846" y="1572"/>
              </a:lnTo>
              <a:lnTo>
                <a:pt x="1837" y="1553"/>
              </a:lnTo>
              <a:lnTo>
                <a:pt x="1831" y="1542"/>
              </a:lnTo>
              <a:lnTo>
                <a:pt x="1829" y="1539"/>
              </a:lnTo>
              <a:lnTo>
                <a:pt x="2350" y="1539"/>
              </a:lnTo>
              <a:close/>
              <a:moveTo>
                <a:pt x="1537" y="2427"/>
              </a:moveTo>
              <a:lnTo>
                <a:pt x="1454" y="2864"/>
              </a:lnTo>
              <a:lnTo>
                <a:pt x="727" y="2860"/>
              </a:lnTo>
              <a:lnTo>
                <a:pt x="0" y="2856"/>
              </a:lnTo>
              <a:lnTo>
                <a:pt x="8" y="2843"/>
              </a:lnTo>
              <a:lnTo>
                <a:pt x="16" y="2824"/>
              </a:lnTo>
              <a:lnTo>
                <a:pt x="25" y="2794"/>
              </a:lnTo>
              <a:lnTo>
                <a:pt x="35" y="2752"/>
              </a:lnTo>
              <a:lnTo>
                <a:pt x="43" y="2697"/>
              </a:lnTo>
              <a:lnTo>
                <a:pt x="49" y="2626"/>
              </a:lnTo>
              <a:lnTo>
                <a:pt x="51" y="2538"/>
              </a:lnTo>
              <a:lnTo>
                <a:pt x="56" y="1857"/>
              </a:lnTo>
              <a:lnTo>
                <a:pt x="54" y="1770"/>
              </a:lnTo>
              <a:lnTo>
                <a:pt x="48" y="1699"/>
              </a:lnTo>
              <a:lnTo>
                <a:pt x="39" y="1643"/>
              </a:lnTo>
              <a:lnTo>
                <a:pt x="28" y="1602"/>
              </a:lnTo>
              <a:lnTo>
                <a:pt x="18" y="1572"/>
              </a:lnTo>
              <a:lnTo>
                <a:pt x="9" y="1553"/>
              </a:lnTo>
              <a:lnTo>
                <a:pt x="2" y="1542"/>
              </a:lnTo>
              <a:lnTo>
                <a:pt x="0" y="1539"/>
              </a:lnTo>
              <a:lnTo>
                <a:pt x="521" y="1539"/>
              </a:lnTo>
              <a:lnTo>
                <a:pt x="513" y="1553"/>
              </a:lnTo>
              <a:lnTo>
                <a:pt x="505" y="1572"/>
              </a:lnTo>
              <a:lnTo>
                <a:pt x="496" y="1602"/>
              </a:lnTo>
              <a:lnTo>
                <a:pt x="486" y="1644"/>
              </a:lnTo>
              <a:lnTo>
                <a:pt x="478" y="1700"/>
              </a:lnTo>
              <a:lnTo>
                <a:pt x="473" y="1771"/>
              </a:lnTo>
              <a:lnTo>
                <a:pt x="470" y="1859"/>
              </a:lnTo>
              <a:lnTo>
                <a:pt x="470" y="2538"/>
              </a:lnTo>
              <a:lnTo>
                <a:pt x="472" y="2612"/>
              </a:lnTo>
              <a:lnTo>
                <a:pt x="476" y="2675"/>
              </a:lnTo>
              <a:lnTo>
                <a:pt x="482" y="2726"/>
              </a:lnTo>
              <a:lnTo>
                <a:pt x="489" y="2768"/>
              </a:lnTo>
              <a:lnTo>
                <a:pt x="636" y="2759"/>
              </a:lnTo>
              <a:lnTo>
                <a:pt x="710" y="2751"/>
              </a:lnTo>
              <a:lnTo>
                <a:pt x="784" y="2742"/>
              </a:lnTo>
              <a:lnTo>
                <a:pt x="858" y="2730"/>
              </a:lnTo>
              <a:lnTo>
                <a:pt x="930" y="2716"/>
              </a:lnTo>
              <a:lnTo>
                <a:pt x="1001" y="2699"/>
              </a:lnTo>
              <a:lnTo>
                <a:pt x="1070" y="2679"/>
              </a:lnTo>
              <a:lnTo>
                <a:pt x="1137" y="2656"/>
              </a:lnTo>
              <a:lnTo>
                <a:pt x="1201" y="2630"/>
              </a:lnTo>
              <a:lnTo>
                <a:pt x="1261" y="2601"/>
              </a:lnTo>
              <a:lnTo>
                <a:pt x="1290" y="2585"/>
              </a:lnTo>
              <a:lnTo>
                <a:pt x="1318" y="2568"/>
              </a:lnTo>
              <a:lnTo>
                <a:pt x="1371" y="2531"/>
              </a:lnTo>
              <a:lnTo>
                <a:pt x="1396" y="2512"/>
              </a:lnTo>
              <a:lnTo>
                <a:pt x="1420" y="2491"/>
              </a:lnTo>
              <a:lnTo>
                <a:pt x="1442" y="2469"/>
              </a:lnTo>
              <a:lnTo>
                <a:pt x="1463" y="2446"/>
              </a:lnTo>
              <a:lnTo>
                <a:pt x="1483" y="2422"/>
              </a:lnTo>
              <a:lnTo>
                <a:pt x="1501" y="2397"/>
              </a:lnTo>
              <a:lnTo>
                <a:pt x="1537" y="2427"/>
              </a:lnTo>
              <a:close/>
              <a:moveTo>
                <a:pt x="8782" y="838"/>
              </a:moveTo>
              <a:lnTo>
                <a:pt x="8528" y="420"/>
              </a:lnTo>
              <a:lnTo>
                <a:pt x="8484" y="354"/>
              </a:lnTo>
              <a:lnTo>
                <a:pt x="8456" y="316"/>
              </a:lnTo>
              <a:lnTo>
                <a:pt x="8425" y="277"/>
              </a:lnTo>
              <a:lnTo>
                <a:pt x="8086" y="838"/>
              </a:lnTo>
              <a:lnTo>
                <a:pt x="8782" y="838"/>
              </a:lnTo>
              <a:close/>
              <a:moveTo>
                <a:pt x="7868" y="922"/>
              </a:moveTo>
              <a:lnTo>
                <a:pt x="8101" y="551"/>
              </a:lnTo>
              <a:lnTo>
                <a:pt x="8335" y="179"/>
              </a:lnTo>
              <a:lnTo>
                <a:pt x="8305" y="151"/>
              </a:lnTo>
              <a:lnTo>
                <a:pt x="8274" y="125"/>
              </a:lnTo>
              <a:lnTo>
                <a:pt x="8242" y="100"/>
              </a:lnTo>
              <a:lnTo>
                <a:pt x="8209" y="78"/>
              </a:lnTo>
              <a:lnTo>
                <a:pt x="8175" y="57"/>
              </a:lnTo>
              <a:lnTo>
                <a:pt x="8140" y="40"/>
              </a:lnTo>
              <a:lnTo>
                <a:pt x="8105" y="26"/>
              </a:lnTo>
              <a:lnTo>
                <a:pt x="8087" y="20"/>
              </a:lnTo>
              <a:lnTo>
                <a:pt x="8069" y="15"/>
              </a:lnTo>
              <a:lnTo>
                <a:pt x="8069" y="6"/>
              </a:lnTo>
              <a:lnTo>
                <a:pt x="8743" y="6"/>
              </a:lnTo>
              <a:lnTo>
                <a:pt x="9247" y="774"/>
              </a:lnTo>
              <a:lnTo>
                <a:pt x="9339" y="917"/>
              </a:lnTo>
              <a:lnTo>
                <a:pt x="9420" y="1036"/>
              </a:lnTo>
              <a:lnTo>
                <a:pt x="9464" y="1099"/>
              </a:lnTo>
              <a:lnTo>
                <a:pt x="9509" y="1159"/>
              </a:lnTo>
              <a:lnTo>
                <a:pt x="9553" y="1214"/>
              </a:lnTo>
              <a:lnTo>
                <a:pt x="9595" y="1261"/>
              </a:lnTo>
              <a:lnTo>
                <a:pt x="9614" y="1281"/>
              </a:lnTo>
              <a:lnTo>
                <a:pt x="9632" y="1299"/>
              </a:lnTo>
              <a:lnTo>
                <a:pt x="9649" y="1313"/>
              </a:lnTo>
              <a:lnTo>
                <a:pt x="9665" y="1323"/>
              </a:lnTo>
              <a:lnTo>
                <a:pt x="8984" y="1323"/>
              </a:lnTo>
              <a:lnTo>
                <a:pt x="8989" y="1314"/>
              </a:lnTo>
              <a:lnTo>
                <a:pt x="8994" y="1304"/>
              </a:lnTo>
              <a:lnTo>
                <a:pt x="8997" y="1281"/>
              </a:lnTo>
              <a:lnTo>
                <a:pt x="8997" y="1267"/>
              </a:lnTo>
              <a:lnTo>
                <a:pt x="8996" y="1253"/>
              </a:lnTo>
              <a:lnTo>
                <a:pt x="8989" y="1224"/>
              </a:lnTo>
              <a:lnTo>
                <a:pt x="8980" y="1192"/>
              </a:lnTo>
              <a:lnTo>
                <a:pt x="8968" y="1161"/>
              </a:lnTo>
              <a:lnTo>
                <a:pt x="8954" y="1129"/>
              </a:lnTo>
              <a:lnTo>
                <a:pt x="8940" y="1099"/>
              </a:lnTo>
              <a:lnTo>
                <a:pt x="8835" y="924"/>
              </a:lnTo>
              <a:lnTo>
                <a:pt x="8035" y="924"/>
              </a:lnTo>
              <a:lnTo>
                <a:pt x="7909" y="1133"/>
              </a:lnTo>
              <a:lnTo>
                <a:pt x="7896" y="1158"/>
              </a:lnTo>
              <a:lnTo>
                <a:pt x="7885" y="1183"/>
              </a:lnTo>
              <a:lnTo>
                <a:pt x="7876" y="1207"/>
              </a:lnTo>
              <a:lnTo>
                <a:pt x="7870" y="1232"/>
              </a:lnTo>
              <a:lnTo>
                <a:pt x="7867" y="1255"/>
              </a:lnTo>
              <a:lnTo>
                <a:pt x="7867" y="1278"/>
              </a:lnTo>
              <a:lnTo>
                <a:pt x="7870" y="1301"/>
              </a:lnTo>
              <a:lnTo>
                <a:pt x="7877" y="1323"/>
              </a:lnTo>
              <a:lnTo>
                <a:pt x="7552" y="1323"/>
              </a:lnTo>
              <a:lnTo>
                <a:pt x="7593" y="1283"/>
              </a:lnTo>
              <a:lnTo>
                <a:pt x="7634" y="1238"/>
              </a:lnTo>
              <a:lnTo>
                <a:pt x="7676" y="1188"/>
              </a:lnTo>
              <a:lnTo>
                <a:pt x="7718" y="1136"/>
              </a:lnTo>
              <a:lnTo>
                <a:pt x="7758" y="1082"/>
              </a:lnTo>
              <a:lnTo>
                <a:pt x="7797" y="1027"/>
              </a:lnTo>
              <a:lnTo>
                <a:pt x="7868" y="922"/>
              </a:lnTo>
              <a:close/>
              <a:moveTo>
                <a:pt x="7832" y="484"/>
              </a:moveTo>
              <a:lnTo>
                <a:pt x="7800" y="491"/>
              </a:lnTo>
              <a:lnTo>
                <a:pt x="7764" y="436"/>
              </a:lnTo>
              <a:lnTo>
                <a:pt x="7729" y="385"/>
              </a:lnTo>
              <a:lnTo>
                <a:pt x="7693" y="340"/>
              </a:lnTo>
              <a:lnTo>
                <a:pt x="7657" y="299"/>
              </a:lnTo>
              <a:lnTo>
                <a:pt x="7639" y="281"/>
              </a:lnTo>
              <a:lnTo>
                <a:pt x="7620" y="264"/>
              </a:lnTo>
              <a:lnTo>
                <a:pt x="7583" y="232"/>
              </a:lnTo>
              <a:lnTo>
                <a:pt x="7544" y="204"/>
              </a:lnTo>
              <a:lnTo>
                <a:pt x="7503" y="181"/>
              </a:lnTo>
              <a:lnTo>
                <a:pt x="7461" y="160"/>
              </a:lnTo>
              <a:lnTo>
                <a:pt x="7417" y="143"/>
              </a:lnTo>
              <a:lnTo>
                <a:pt x="7371" y="129"/>
              </a:lnTo>
              <a:lnTo>
                <a:pt x="7322" y="117"/>
              </a:lnTo>
              <a:lnTo>
                <a:pt x="7271" y="108"/>
              </a:lnTo>
              <a:lnTo>
                <a:pt x="7215" y="101"/>
              </a:lnTo>
              <a:lnTo>
                <a:pt x="7157" y="96"/>
              </a:lnTo>
              <a:lnTo>
                <a:pt x="7096" y="93"/>
              </a:lnTo>
              <a:lnTo>
                <a:pt x="7089" y="134"/>
              </a:lnTo>
              <a:lnTo>
                <a:pt x="7083" y="187"/>
              </a:lnTo>
              <a:lnTo>
                <a:pt x="7078" y="250"/>
              </a:lnTo>
              <a:lnTo>
                <a:pt x="7077" y="326"/>
              </a:lnTo>
              <a:lnTo>
                <a:pt x="7077" y="1005"/>
              </a:lnTo>
              <a:lnTo>
                <a:pt x="7079" y="1093"/>
              </a:lnTo>
              <a:lnTo>
                <a:pt x="7081" y="1130"/>
              </a:lnTo>
              <a:lnTo>
                <a:pt x="7085" y="1163"/>
              </a:lnTo>
              <a:lnTo>
                <a:pt x="7093" y="1219"/>
              </a:lnTo>
              <a:lnTo>
                <a:pt x="7102" y="1261"/>
              </a:lnTo>
              <a:lnTo>
                <a:pt x="7112" y="1290"/>
              </a:lnTo>
              <a:lnTo>
                <a:pt x="7120" y="1310"/>
              </a:lnTo>
              <a:lnTo>
                <a:pt x="7128" y="1323"/>
              </a:lnTo>
              <a:lnTo>
                <a:pt x="6612" y="1323"/>
              </a:lnTo>
              <a:lnTo>
                <a:pt x="6619" y="1310"/>
              </a:lnTo>
              <a:lnTo>
                <a:pt x="6626" y="1290"/>
              </a:lnTo>
              <a:lnTo>
                <a:pt x="6635" y="1261"/>
              </a:lnTo>
              <a:lnTo>
                <a:pt x="6643" y="1219"/>
              </a:lnTo>
              <a:lnTo>
                <a:pt x="6650" y="1163"/>
              </a:lnTo>
              <a:lnTo>
                <a:pt x="6655" y="1093"/>
              </a:lnTo>
              <a:lnTo>
                <a:pt x="6657" y="1005"/>
              </a:lnTo>
              <a:lnTo>
                <a:pt x="6663" y="324"/>
              </a:lnTo>
              <a:lnTo>
                <a:pt x="6661" y="249"/>
              </a:lnTo>
              <a:lnTo>
                <a:pt x="6657" y="186"/>
              </a:lnTo>
              <a:lnTo>
                <a:pt x="6651" y="134"/>
              </a:lnTo>
              <a:lnTo>
                <a:pt x="6644" y="93"/>
              </a:lnTo>
              <a:lnTo>
                <a:pt x="6582" y="96"/>
              </a:lnTo>
              <a:lnTo>
                <a:pt x="6524" y="101"/>
              </a:lnTo>
              <a:lnTo>
                <a:pt x="6469" y="108"/>
              </a:lnTo>
              <a:lnTo>
                <a:pt x="6417" y="117"/>
              </a:lnTo>
              <a:lnTo>
                <a:pt x="6393" y="123"/>
              </a:lnTo>
              <a:lnTo>
                <a:pt x="6369" y="129"/>
              </a:lnTo>
              <a:lnTo>
                <a:pt x="6322" y="143"/>
              </a:lnTo>
              <a:lnTo>
                <a:pt x="6278" y="160"/>
              </a:lnTo>
              <a:lnTo>
                <a:pt x="6237" y="181"/>
              </a:lnTo>
              <a:lnTo>
                <a:pt x="6216" y="192"/>
              </a:lnTo>
              <a:lnTo>
                <a:pt x="6196" y="204"/>
              </a:lnTo>
              <a:lnTo>
                <a:pt x="6158" y="232"/>
              </a:lnTo>
              <a:lnTo>
                <a:pt x="6120" y="264"/>
              </a:lnTo>
              <a:lnTo>
                <a:pt x="6083" y="299"/>
              </a:lnTo>
              <a:lnTo>
                <a:pt x="6047" y="340"/>
              </a:lnTo>
              <a:lnTo>
                <a:pt x="6012" y="385"/>
              </a:lnTo>
              <a:lnTo>
                <a:pt x="5976" y="436"/>
              </a:lnTo>
              <a:lnTo>
                <a:pt x="5940" y="491"/>
              </a:lnTo>
              <a:lnTo>
                <a:pt x="5908" y="484"/>
              </a:lnTo>
              <a:lnTo>
                <a:pt x="5991" y="0"/>
              </a:lnTo>
              <a:lnTo>
                <a:pt x="6430" y="3"/>
              </a:lnTo>
              <a:lnTo>
                <a:pt x="6870" y="6"/>
              </a:lnTo>
              <a:lnTo>
                <a:pt x="7310" y="3"/>
              </a:lnTo>
              <a:lnTo>
                <a:pt x="7749" y="0"/>
              </a:lnTo>
              <a:lnTo>
                <a:pt x="7832" y="484"/>
              </a:lnTo>
              <a:close/>
              <a:moveTo>
                <a:pt x="5797" y="1323"/>
              </a:moveTo>
              <a:lnTo>
                <a:pt x="5734" y="1323"/>
              </a:lnTo>
              <a:lnTo>
                <a:pt x="5483" y="1323"/>
              </a:lnTo>
              <a:lnTo>
                <a:pt x="5192" y="1323"/>
              </a:lnTo>
              <a:lnTo>
                <a:pt x="4928" y="1064"/>
              </a:lnTo>
              <a:lnTo>
                <a:pt x="4646" y="783"/>
              </a:lnTo>
              <a:lnTo>
                <a:pt x="4368" y="507"/>
              </a:lnTo>
              <a:lnTo>
                <a:pt x="4117" y="260"/>
              </a:lnTo>
              <a:lnTo>
                <a:pt x="4116" y="292"/>
              </a:lnTo>
              <a:lnTo>
                <a:pt x="4116" y="326"/>
              </a:lnTo>
              <a:lnTo>
                <a:pt x="4116" y="1005"/>
              </a:lnTo>
              <a:lnTo>
                <a:pt x="4118" y="1093"/>
              </a:lnTo>
              <a:lnTo>
                <a:pt x="4124" y="1163"/>
              </a:lnTo>
              <a:lnTo>
                <a:pt x="4133" y="1219"/>
              </a:lnTo>
              <a:lnTo>
                <a:pt x="4144" y="1261"/>
              </a:lnTo>
              <a:lnTo>
                <a:pt x="4154" y="1290"/>
              </a:lnTo>
              <a:lnTo>
                <a:pt x="4163" y="1310"/>
              </a:lnTo>
              <a:lnTo>
                <a:pt x="4170" y="1320"/>
              </a:lnTo>
              <a:lnTo>
                <a:pt x="4172" y="1323"/>
              </a:lnTo>
              <a:lnTo>
                <a:pt x="3922" y="1323"/>
              </a:lnTo>
              <a:lnTo>
                <a:pt x="3931" y="1310"/>
              </a:lnTo>
              <a:lnTo>
                <a:pt x="3940" y="1290"/>
              </a:lnTo>
              <a:lnTo>
                <a:pt x="3950" y="1261"/>
              </a:lnTo>
              <a:lnTo>
                <a:pt x="3955" y="1241"/>
              </a:lnTo>
              <a:lnTo>
                <a:pt x="3960" y="1219"/>
              </a:lnTo>
              <a:lnTo>
                <a:pt x="3969" y="1163"/>
              </a:lnTo>
              <a:lnTo>
                <a:pt x="3973" y="1130"/>
              </a:lnTo>
              <a:lnTo>
                <a:pt x="3976" y="1093"/>
              </a:lnTo>
              <a:lnTo>
                <a:pt x="3978" y="1051"/>
              </a:lnTo>
              <a:lnTo>
                <a:pt x="3978" y="1005"/>
              </a:lnTo>
              <a:lnTo>
                <a:pt x="3984" y="324"/>
              </a:lnTo>
              <a:lnTo>
                <a:pt x="3983" y="261"/>
              </a:lnTo>
              <a:lnTo>
                <a:pt x="3979" y="206"/>
              </a:lnTo>
              <a:lnTo>
                <a:pt x="3969" y="121"/>
              </a:lnTo>
              <a:lnTo>
                <a:pt x="3932" y="87"/>
              </a:lnTo>
              <a:lnTo>
                <a:pt x="3898" y="56"/>
              </a:lnTo>
              <a:lnTo>
                <a:pt x="3839" y="6"/>
              </a:lnTo>
              <a:lnTo>
                <a:pt x="4422" y="6"/>
              </a:lnTo>
              <a:lnTo>
                <a:pt x="4980" y="540"/>
              </a:lnTo>
              <a:lnTo>
                <a:pt x="5538" y="1075"/>
              </a:lnTo>
              <a:lnTo>
                <a:pt x="5540" y="1041"/>
              </a:lnTo>
              <a:lnTo>
                <a:pt x="5540" y="1005"/>
              </a:lnTo>
              <a:lnTo>
                <a:pt x="5545" y="324"/>
              </a:lnTo>
              <a:lnTo>
                <a:pt x="5543" y="236"/>
              </a:lnTo>
              <a:lnTo>
                <a:pt x="5537" y="166"/>
              </a:lnTo>
              <a:lnTo>
                <a:pt x="5528" y="110"/>
              </a:lnTo>
              <a:lnTo>
                <a:pt x="5517" y="68"/>
              </a:lnTo>
              <a:lnTo>
                <a:pt x="5507" y="39"/>
              </a:lnTo>
              <a:lnTo>
                <a:pt x="5498" y="19"/>
              </a:lnTo>
              <a:lnTo>
                <a:pt x="5491" y="9"/>
              </a:lnTo>
              <a:lnTo>
                <a:pt x="5489" y="6"/>
              </a:lnTo>
              <a:lnTo>
                <a:pt x="5734" y="6"/>
              </a:lnTo>
              <a:lnTo>
                <a:pt x="5725" y="19"/>
              </a:lnTo>
              <a:lnTo>
                <a:pt x="5716" y="39"/>
              </a:lnTo>
              <a:lnTo>
                <a:pt x="5705" y="69"/>
              </a:lnTo>
              <a:lnTo>
                <a:pt x="5700" y="88"/>
              </a:lnTo>
              <a:lnTo>
                <a:pt x="5695" y="111"/>
              </a:lnTo>
              <a:lnTo>
                <a:pt x="5686" y="166"/>
              </a:lnTo>
              <a:lnTo>
                <a:pt x="5682" y="200"/>
              </a:lnTo>
              <a:lnTo>
                <a:pt x="5680" y="238"/>
              </a:lnTo>
              <a:lnTo>
                <a:pt x="5678" y="279"/>
              </a:lnTo>
              <a:lnTo>
                <a:pt x="5677" y="326"/>
              </a:lnTo>
              <a:lnTo>
                <a:pt x="5677" y="1005"/>
              </a:lnTo>
              <a:lnTo>
                <a:pt x="5679" y="1076"/>
              </a:lnTo>
              <a:lnTo>
                <a:pt x="5683" y="1136"/>
              </a:lnTo>
              <a:lnTo>
                <a:pt x="5689" y="1186"/>
              </a:lnTo>
              <a:lnTo>
                <a:pt x="5696" y="1227"/>
              </a:lnTo>
              <a:lnTo>
                <a:pt x="5797" y="1323"/>
              </a:lnTo>
              <a:close/>
              <a:moveTo>
                <a:pt x="3630" y="326"/>
              </a:moveTo>
              <a:lnTo>
                <a:pt x="3632" y="578"/>
              </a:lnTo>
              <a:lnTo>
                <a:pt x="3630" y="648"/>
              </a:lnTo>
              <a:lnTo>
                <a:pt x="3624" y="718"/>
              </a:lnTo>
              <a:lnTo>
                <a:pt x="3612" y="787"/>
              </a:lnTo>
              <a:lnTo>
                <a:pt x="3596" y="855"/>
              </a:lnTo>
              <a:lnTo>
                <a:pt x="3586" y="889"/>
              </a:lnTo>
              <a:lnTo>
                <a:pt x="3574" y="922"/>
              </a:lnTo>
              <a:lnTo>
                <a:pt x="3561" y="954"/>
              </a:lnTo>
              <a:lnTo>
                <a:pt x="3546" y="985"/>
              </a:lnTo>
              <a:lnTo>
                <a:pt x="3530" y="1016"/>
              </a:lnTo>
              <a:lnTo>
                <a:pt x="3512" y="1046"/>
              </a:lnTo>
              <a:lnTo>
                <a:pt x="3492" y="1075"/>
              </a:lnTo>
              <a:lnTo>
                <a:pt x="3470" y="1104"/>
              </a:lnTo>
              <a:lnTo>
                <a:pt x="3447" y="1131"/>
              </a:lnTo>
              <a:lnTo>
                <a:pt x="3422" y="1156"/>
              </a:lnTo>
              <a:lnTo>
                <a:pt x="3395" y="1181"/>
              </a:lnTo>
              <a:lnTo>
                <a:pt x="3366" y="1204"/>
              </a:lnTo>
              <a:lnTo>
                <a:pt x="3335" y="1226"/>
              </a:lnTo>
              <a:lnTo>
                <a:pt x="3302" y="1247"/>
              </a:lnTo>
              <a:lnTo>
                <a:pt x="3267" y="1265"/>
              </a:lnTo>
              <a:lnTo>
                <a:pt x="3230" y="1283"/>
              </a:lnTo>
              <a:lnTo>
                <a:pt x="3210" y="1290"/>
              </a:lnTo>
              <a:lnTo>
                <a:pt x="3190" y="1298"/>
              </a:lnTo>
              <a:lnTo>
                <a:pt x="3148" y="1312"/>
              </a:lnTo>
              <a:lnTo>
                <a:pt x="3104" y="1323"/>
              </a:lnTo>
              <a:lnTo>
                <a:pt x="3058" y="1333"/>
              </a:lnTo>
              <a:lnTo>
                <a:pt x="3009" y="1341"/>
              </a:lnTo>
              <a:lnTo>
                <a:pt x="2958" y="1347"/>
              </a:lnTo>
              <a:lnTo>
                <a:pt x="2931" y="1349"/>
              </a:lnTo>
              <a:lnTo>
                <a:pt x="2904" y="1350"/>
              </a:lnTo>
              <a:lnTo>
                <a:pt x="2848" y="1351"/>
              </a:lnTo>
              <a:lnTo>
                <a:pt x="2792" y="1350"/>
              </a:lnTo>
              <a:lnTo>
                <a:pt x="2739" y="1348"/>
              </a:lnTo>
              <a:lnTo>
                <a:pt x="2687" y="1345"/>
              </a:lnTo>
              <a:lnTo>
                <a:pt x="2637" y="1340"/>
              </a:lnTo>
              <a:lnTo>
                <a:pt x="2544" y="1325"/>
              </a:lnTo>
              <a:lnTo>
                <a:pt x="2500" y="1316"/>
              </a:lnTo>
              <a:lnTo>
                <a:pt x="2458" y="1305"/>
              </a:lnTo>
              <a:lnTo>
                <a:pt x="2417" y="1293"/>
              </a:lnTo>
              <a:lnTo>
                <a:pt x="2379" y="1279"/>
              </a:lnTo>
              <a:lnTo>
                <a:pt x="2343" y="1265"/>
              </a:lnTo>
              <a:lnTo>
                <a:pt x="2309" y="1248"/>
              </a:lnTo>
              <a:lnTo>
                <a:pt x="2276" y="1231"/>
              </a:lnTo>
              <a:lnTo>
                <a:pt x="2245" y="1212"/>
              </a:lnTo>
              <a:lnTo>
                <a:pt x="2217" y="1192"/>
              </a:lnTo>
              <a:lnTo>
                <a:pt x="2189" y="1170"/>
              </a:lnTo>
              <a:lnTo>
                <a:pt x="2164" y="1147"/>
              </a:lnTo>
              <a:lnTo>
                <a:pt x="2141" y="1123"/>
              </a:lnTo>
              <a:lnTo>
                <a:pt x="2119" y="1097"/>
              </a:lnTo>
              <a:lnTo>
                <a:pt x="2099" y="1070"/>
              </a:lnTo>
              <a:lnTo>
                <a:pt x="2081" y="1042"/>
              </a:lnTo>
              <a:lnTo>
                <a:pt x="2064" y="1013"/>
              </a:lnTo>
              <a:lnTo>
                <a:pt x="2049" y="982"/>
              </a:lnTo>
              <a:lnTo>
                <a:pt x="2036" y="950"/>
              </a:lnTo>
              <a:lnTo>
                <a:pt x="2025" y="917"/>
              </a:lnTo>
              <a:lnTo>
                <a:pt x="2015" y="883"/>
              </a:lnTo>
              <a:lnTo>
                <a:pt x="2007" y="847"/>
              </a:lnTo>
              <a:lnTo>
                <a:pt x="2001" y="811"/>
              </a:lnTo>
              <a:lnTo>
                <a:pt x="1996" y="772"/>
              </a:lnTo>
              <a:lnTo>
                <a:pt x="1993" y="733"/>
              </a:lnTo>
              <a:lnTo>
                <a:pt x="1992" y="693"/>
              </a:lnTo>
              <a:lnTo>
                <a:pt x="1992" y="651"/>
              </a:lnTo>
              <a:lnTo>
                <a:pt x="2000" y="326"/>
              </a:lnTo>
              <a:lnTo>
                <a:pt x="1999" y="241"/>
              </a:lnTo>
              <a:lnTo>
                <a:pt x="1995" y="171"/>
              </a:lnTo>
              <a:lnTo>
                <a:pt x="1987" y="116"/>
              </a:lnTo>
              <a:lnTo>
                <a:pt x="1978" y="73"/>
              </a:lnTo>
              <a:lnTo>
                <a:pt x="1969" y="42"/>
              </a:lnTo>
              <a:lnTo>
                <a:pt x="1960" y="21"/>
              </a:lnTo>
              <a:lnTo>
                <a:pt x="1954" y="10"/>
              </a:lnTo>
              <a:lnTo>
                <a:pt x="1951" y="6"/>
              </a:lnTo>
              <a:lnTo>
                <a:pt x="2483" y="6"/>
              </a:lnTo>
              <a:lnTo>
                <a:pt x="2475" y="21"/>
              </a:lnTo>
              <a:lnTo>
                <a:pt x="2467" y="42"/>
              </a:lnTo>
              <a:lnTo>
                <a:pt x="2458" y="73"/>
              </a:lnTo>
              <a:lnTo>
                <a:pt x="2449" y="116"/>
              </a:lnTo>
              <a:lnTo>
                <a:pt x="2441" y="171"/>
              </a:lnTo>
              <a:lnTo>
                <a:pt x="2436" y="241"/>
              </a:lnTo>
              <a:lnTo>
                <a:pt x="2434" y="326"/>
              </a:lnTo>
              <a:lnTo>
                <a:pt x="2435" y="708"/>
              </a:lnTo>
              <a:lnTo>
                <a:pt x="2436" y="755"/>
              </a:lnTo>
              <a:lnTo>
                <a:pt x="2440" y="801"/>
              </a:lnTo>
              <a:lnTo>
                <a:pt x="2445" y="848"/>
              </a:lnTo>
              <a:lnTo>
                <a:pt x="2454" y="894"/>
              </a:lnTo>
              <a:lnTo>
                <a:pt x="2465" y="938"/>
              </a:lnTo>
              <a:lnTo>
                <a:pt x="2472" y="960"/>
              </a:lnTo>
              <a:lnTo>
                <a:pt x="2481" y="981"/>
              </a:lnTo>
              <a:lnTo>
                <a:pt x="2500" y="1022"/>
              </a:lnTo>
              <a:lnTo>
                <a:pt x="2523" y="1061"/>
              </a:lnTo>
              <a:lnTo>
                <a:pt x="2551" y="1096"/>
              </a:lnTo>
              <a:lnTo>
                <a:pt x="2567" y="1113"/>
              </a:lnTo>
              <a:lnTo>
                <a:pt x="2584" y="1128"/>
              </a:lnTo>
              <a:lnTo>
                <a:pt x="2602" y="1143"/>
              </a:lnTo>
              <a:lnTo>
                <a:pt x="2622" y="1157"/>
              </a:lnTo>
              <a:lnTo>
                <a:pt x="2643" y="1169"/>
              </a:lnTo>
              <a:lnTo>
                <a:pt x="2666" y="1181"/>
              </a:lnTo>
              <a:lnTo>
                <a:pt x="2715" y="1200"/>
              </a:lnTo>
              <a:lnTo>
                <a:pt x="2743" y="1208"/>
              </a:lnTo>
              <a:lnTo>
                <a:pt x="2771" y="1215"/>
              </a:lnTo>
              <a:lnTo>
                <a:pt x="2802" y="1220"/>
              </a:lnTo>
              <a:lnTo>
                <a:pt x="2834" y="1224"/>
              </a:lnTo>
              <a:lnTo>
                <a:pt x="2868" y="1226"/>
              </a:lnTo>
              <a:lnTo>
                <a:pt x="2904" y="1227"/>
              </a:lnTo>
              <a:lnTo>
                <a:pt x="2944" y="1226"/>
              </a:lnTo>
              <a:lnTo>
                <a:pt x="2983" y="1224"/>
              </a:lnTo>
              <a:lnTo>
                <a:pt x="3020" y="1219"/>
              </a:lnTo>
              <a:lnTo>
                <a:pt x="3056" y="1214"/>
              </a:lnTo>
              <a:lnTo>
                <a:pt x="3090" y="1206"/>
              </a:lnTo>
              <a:lnTo>
                <a:pt x="3122" y="1197"/>
              </a:lnTo>
              <a:lnTo>
                <a:pt x="3153" y="1187"/>
              </a:lnTo>
              <a:lnTo>
                <a:pt x="3182" y="1175"/>
              </a:lnTo>
              <a:lnTo>
                <a:pt x="3209" y="1162"/>
              </a:lnTo>
              <a:lnTo>
                <a:pt x="3236" y="1147"/>
              </a:lnTo>
              <a:lnTo>
                <a:pt x="3261" y="1131"/>
              </a:lnTo>
              <a:lnTo>
                <a:pt x="3284" y="1114"/>
              </a:lnTo>
              <a:lnTo>
                <a:pt x="3327" y="1075"/>
              </a:lnTo>
              <a:lnTo>
                <a:pt x="3346" y="1054"/>
              </a:lnTo>
              <a:lnTo>
                <a:pt x="3364" y="1032"/>
              </a:lnTo>
              <a:lnTo>
                <a:pt x="3381" y="1009"/>
              </a:lnTo>
              <a:lnTo>
                <a:pt x="3396" y="985"/>
              </a:lnTo>
              <a:lnTo>
                <a:pt x="3410" y="960"/>
              </a:lnTo>
              <a:lnTo>
                <a:pt x="3423" y="933"/>
              </a:lnTo>
              <a:lnTo>
                <a:pt x="3446" y="878"/>
              </a:lnTo>
              <a:lnTo>
                <a:pt x="3456" y="849"/>
              </a:lnTo>
              <a:lnTo>
                <a:pt x="3464" y="819"/>
              </a:lnTo>
              <a:lnTo>
                <a:pt x="3478" y="757"/>
              </a:lnTo>
              <a:lnTo>
                <a:pt x="3488" y="692"/>
              </a:lnTo>
              <a:lnTo>
                <a:pt x="3494" y="625"/>
              </a:lnTo>
              <a:lnTo>
                <a:pt x="3497" y="555"/>
              </a:lnTo>
              <a:lnTo>
                <a:pt x="3497" y="478"/>
              </a:lnTo>
              <a:lnTo>
                <a:pt x="3498" y="324"/>
              </a:lnTo>
              <a:lnTo>
                <a:pt x="3496" y="236"/>
              </a:lnTo>
              <a:lnTo>
                <a:pt x="3494" y="199"/>
              </a:lnTo>
              <a:lnTo>
                <a:pt x="3490" y="166"/>
              </a:lnTo>
              <a:lnTo>
                <a:pt x="3482" y="110"/>
              </a:lnTo>
              <a:lnTo>
                <a:pt x="3477" y="88"/>
              </a:lnTo>
              <a:lnTo>
                <a:pt x="3472" y="68"/>
              </a:lnTo>
              <a:lnTo>
                <a:pt x="3462" y="39"/>
              </a:lnTo>
              <a:lnTo>
                <a:pt x="3454" y="19"/>
              </a:lnTo>
              <a:lnTo>
                <a:pt x="3446" y="6"/>
              </a:lnTo>
              <a:lnTo>
                <a:pt x="3679" y="6"/>
              </a:lnTo>
              <a:lnTo>
                <a:pt x="3673" y="16"/>
              </a:lnTo>
              <a:lnTo>
                <a:pt x="3667" y="30"/>
              </a:lnTo>
              <a:lnTo>
                <a:pt x="3659" y="51"/>
              </a:lnTo>
              <a:lnTo>
                <a:pt x="3651" y="80"/>
              </a:lnTo>
              <a:lnTo>
                <a:pt x="3643" y="119"/>
              </a:lnTo>
              <a:lnTo>
                <a:pt x="3636" y="168"/>
              </a:lnTo>
              <a:lnTo>
                <a:pt x="3630" y="228"/>
              </a:lnTo>
              <a:lnTo>
                <a:pt x="3630" y="326"/>
              </a:lnTo>
              <a:close/>
              <a:moveTo>
                <a:pt x="1913" y="1297"/>
              </a:moveTo>
              <a:lnTo>
                <a:pt x="1913" y="1327"/>
              </a:lnTo>
              <a:lnTo>
                <a:pt x="1191" y="1329"/>
              </a:lnTo>
              <a:lnTo>
                <a:pt x="1189" y="1321"/>
              </a:lnTo>
              <a:lnTo>
                <a:pt x="1185" y="1312"/>
              </a:lnTo>
              <a:lnTo>
                <a:pt x="1169" y="1284"/>
              </a:lnTo>
              <a:lnTo>
                <a:pt x="1144" y="1249"/>
              </a:lnTo>
              <a:lnTo>
                <a:pt x="1110" y="1206"/>
              </a:lnTo>
              <a:lnTo>
                <a:pt x="1022" y="1106"/>
              </a:lnTo>
              <a:lnTo>
                <a:pt x="971" y="1051"/>
              </a:lnTo>
              <a:lnTo>
                <a:pt x="915" y="995"/>
              </a:lnTo>
              <a:lnTo>
                <a:pt x="857" y="940"/>
              </a:lnTo>
              <a:lnTo>
                <a:pt x="798" y="886"/>
              </a:lnTo>
              <a:lnTo>
                <a:pt x="738" y="835"/>
              </a:lnTo>
              <a:lnTo>
                <a:pt x="678" y="790"/>
              </a:lnTo>
              <a:lnTo>
                <a:pt x="621" y="750"/>
              </a:lnTo>
              <a:lnTo>
                <a:pt x="593" y="733"/>
              </a:lnTo>
              <a:lnTo>
                <a:pt x="566" y="718"/>
              </a:lnTo>
              <a:lnTo>
                <a:pt x="540" y="706"/>
              </a:lnTo>
              <a:lnTo>
                <a:pt x="516" y="695"/>
              </a:lnTo>
              <a:lnTo>
                <a:pt x="492" y="688"/>
              </a:lnTo>
              <a:lnTo>
                <a:pt x="470" y="683"/>
              </a:lnTo>
              <a:lnTo>
                <a:pt x="470" y="986"/>
              </a:lnTo>
              <a:lnTo>
                <a:pt x="473" y="1075"/>
              </a:lnTo>
              <a:lnTo>
                <a:pt x="475" y="1113"/>
              </a:lnTo>
              <a:lnTo>
                <a:pt x="478" y="1148"/>
              </a:lnTo>
              <a:lnTo>
                <a:pt x="486" y="1206"/>
              </a:lnTo>
              <a:lnTo>
                <a:pt x="496" y="1251"/>
              </a:lnTo>
              <a:lnTo>
                <a:pt x="505" y="1284"/>
              </a:lnTo>
              <a:lnTo>
                <a:pt x="513" y="1307"/>
              </a:lnTo>
              <a:lnTo>
                <a:pt x="521" y="1323"/>
              </a:lnTo>
              <a:lnTo>
                <a:pt x="0" y="1323"/>
              </a:lnTo>
              <a:lnTo>
                <a:pt x="8" y="1310"/>
              </a:lnTo>
              <a:lnTo>
                <a:pt x="16" y="1290"/>
              </a:lnTo>
              <a:lnTo>
                <a:pt x="25" y="1261"/>
              </a:lnTo>
              <a:lnTo>
                <a:pt x="35" y="1219"/>
              </a:lnTo>
              <a:lnTo>
                <a:pt x="43" y="1163"/>
              </a:lnTo>
              <a:lnTo>
                <a:pt x="49" y="1093"/>
              </a:lnTo>
              <a:lnTo>
                <a:pt x="51" y="1005"/>
              </a:lnTo>
              <a:lnTo>
                <a:pt x="56" y="324"/>
              </a:lnTo>
              <a:lnTo>
                <a:pt x="54" y="236"/>
              </a:lnTo>
              <a:lnTo>
                <a:pt x="48" y="166"/>
              </a:lnTo>
              <a:lnTo>
                <a:pt x="39" y="110"/>
              </a:lnTo>
              <a:lnTo>
                <a:pt x="28" y="68"/>
              </a:lnTo>
              <a:lnTo>
                <a:pt x="18" y="39"/>
              </a:lnTo>
              <a:lnTo>
                <a:pt x="9" y="19"/>
              </a:lnTo>
              <a:lnTo>
                <a:pt x="2" y="9"/>
              </a:lnTo>
              <a:lnTo>
                <a:pt x="0" y="6"/>
              </a:lnTo>
              <a:lnTo>
                <a:pt x="521" y="6"/>
              </a:lnTo>
              <a:lnTo>
                <a:pt x="513" y="20"/>
              </a:lnTo>
              <a:lnTo>
                <a:pt x="505" y="39"/>
              </a:lnTo>
              <a:lnTo>
                <a:pt x="496" y="69"/>
              </a:lnTo>
              <a:lnTo>
                <a:pt x="486" y="111"/>
              </a:lnTo>
              <a:lnTo>
                <a:pt x="478" y="166"/>
              </a:lnTo>
              <a:lnTo>
                <a:pt x="473" y="238"/>
              </a:lnTo>
              <a:lnTo>
                <a:pt x="470" y="326"/>
              </a:lnTo>
              <a:lnTo>
                <a:pt x="470" y="604"/>
              </a:lnTo>
              <a:lnTo>
                <a:pt x="540" y="569"/>
              </a:lnTo>
              <a:lnTo>
                <a:pt x="616" y="529"/>
              </a:lnTo>
              <a:lnTo>
                <a:pt x="779" y="439"/>
              </a:lnTo>
              <a:lnTo>
                <a:pt x="947" y="340"/>
              </a:lnTo>
              <a:lnTo>
                <a:pt x="1111" y="241"/>
              </a:lnTo>
              <a:lnTo>
                <a:pt x="1257" y="150"/>
              </a:lnTo>
              <a:lnTo>
                <a:pt x="1376" y="75"/>
              </a:lnTo>
              <a:lnTo>
                <a:pt x="1484" y="6"/>
              </a:lnTo>
              <a:lnTo>
                <a:pt x="1797" y="2"/>
              </a:lnTo>
              <a:lnTo>
                <a:pt x="1797" y="32"/>
              </a:lnTo>
              <a:lnTo>
                <a:pt x="1764" y="35"/>
              </a:lnTo>
              <a:lnTo>
                <a:pt x="1727" y="42"/>
              </a:lnTo>
              <a:lnTo>
                <a:pt x="1687" y="53"/>
              </a:lnTo>
              <a:lnTo>
                <a:pt x="1644" y="69"/>
              </a:lnTo>
              <a:lnTo>
                <a:pt x="1598" y="89"/>
              </a:lnTo>
              <a:lnTo>
                <a:pt x="1548" y="112"/>
              </a:lnTo>
              <a:lnTo>
                <a:pt x="1440" y="169"/>
              </a:lnTo>
              <a:lnTo>
                <a:pt x="1321" y="238"/>
              </a:lnTo>
              <a:lnTo>
                <a:pt x="1192" y="316"/>
              </a:lnTo>
              <a:lnTo>
                <a:pt x="907" y="493"/>
              </a:lnTo>
              <a:lnTo>
                <a:pt x="1014" y="597"/>
              </a:lnTo>
              <a:lnTo>
                <a:pt x="1143" y="720"/>
              </a:lnTo>
              <a:lnTo>
                <a:pt x="1286" y="851"/>
              </a:lnTo>
              <a:lnTo>
                <a:pt x="1434" y="982"/>
              </a:lnTo>
              <a:lnTo>
                <a:pt x="1507" y="1044"/>
              </a:lnTo>
              <a:lnTo>
                <a:pt x="1579" y="1101"/>
              </a:lnTo>
              <a:lnTo>
                <a:pt x="1648" y="1154"/>
              </a:lnTo>
              <a:lnTo>
                <a:pt x="1681" y="1178"/>
              </a:lnTo>
              <a:lnTo>
                <a:pt x="1713" y="1200"/>
              </a:lnTo>
              <a:lnTo>
                <a:pt x="1773" y="1239"/>
              </a:lnTo>
              <a:lnTo>
                <a:pt x="1827" y="1269"/>
              </a:lnTo>
              <a:lnTo>
                <a:pt x="1874" y="1288"/>
              </a:lnTo>
              <a:lnTo>
                <a:pt x="1895" y="1294"/>
              </a:lnTo>
              <a:lnTo>
                <a:pt x="1913" y="1297"/>
              </a:lnTo>
              <a:close/>
            </a:path>
          </a:pathLst>
        </a:custGeom>
        <a:solidFill>
          <a:schemeClr val="accent3"/>
        </a:solidFill>
        <a:ln>
          <a:noFill/>
        </a:ln>
      </xdr:spPr>
      <xdr:txBody>
        <a:bodyPr vert="horz" wrap="square" lIns="91440" tIns="45720" rIns="91440" bIns="45720" numCol="1" anchor="t" anchorCtr="0" compatLnSpc="1">
          <a:prstTxWarp prst="textNoShape">
            <a:avLst/>
          </a:prstTxWarp>
          <a:noAutofit/>
        </a:bodyPr>
        <a:lstStyle>
          <a:defPPr>
            <a:defRPr lang="fi-FI"/>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fi-FI"/>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322992</xdr:colOff>
      <xdr:row>1</xdr:row>
      <xdr:rowOff>40005</xdr:rowOff>
    </xdr:from>
    <xdr:to>
      <xdr:col>13</xdr:col>
      <xdr:colOff>61317</xdr:colOff>
      <xdr:row>106</xdr:row>
      <xdr:rowOff>108915</xdr:rowOff>
    </xdr:to>
    <xdr:sp macro="" textlink="">
      <xdr:nvSpPr>
        <xdr:cNvPr id="2" name="Tekstiruutu 1">
          <a:extLst>
            <a:ext uri="{FF2B5EF4-FFF2-40B4-BE49-F238E27FC236}">
              <a16:creationId xmlns:a16="http://schemas.microsoft.com/office/drawing/2014/main" id="{2D81F864-35C0-498D-9412-B0C2C9E4207F}"/>
            </a:ext>
          </a:extLst>
        </xdr:cNvPr>
        <xdr:cNvSpPr txBox="1"/>
      </xdr:nvSpPr>
      <xdr:spPr>
        <a:xfrm>
          <a:off x="322992" y="201930"/>
          <a:ext cx="7158300" cy="17071035"/>
        </a:xfrm>
        <a:prstGeom prst="rect">
          <a:avLst/>
        </a:prstGeom>
        <a:solidFill>
          <a:schemeClr val="accent5">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400" b="1" u="sng">
              <a:solidFill>
                <a:sysClr val="windowText" lastClr="000000"/>
              </a:solidFill>
              <a:effectLst/>
            </a:rPr>
            <a:t>KUNTALIITON</a:t>
          </a:r>
          <a:r>
            <a:rPr lang="fi-FI" sz="1400" b="1" u="sng" baseline="0">
              <a:solidFill>
                <a:sysClr val="windowText" lastClr="000000"/>
              </a:solidFill>
              <a:effectLst/>
            </a:rPr>
            <a:t> V</a:t>
          </a:r>
          <a:r>
            <a:rPr lang="fi-FI" sz="1400" b="1" u="sng">
              <a:solidFill>
                <a:sysClr val="windowText" lastClr="000000"/>
              </a:solidFill>
              <a:effectLst/>
            </a:rPr>
            <a:t>ALTIONOSUUSLASKURIN KÄYTTÖOHJEET</a:t>
          </a:r>
          <a:r>
            <a:rPr lang="fi-FI" sz="1400" b="1">
              <a:solidFill>
                <a:sysClr val="windowText" lastClr="000000"/>
              </a:solidFill>
              <a:effectLst/>
            </a:rPr>
            <a:t>		</a:t>
          </a:r>
          <a:r>
            <a:rPr lang="fi-FI" sz="1200" b="0" i="1">
              <a:solidFill>
                <a:sysClr val="windowText" lastClr="000000"/>
              </a:solidFill>
              <a:effectLst/>
            </a:rPr>
            <a:t>päivitetty 2.12.2025</a:t>
          </a:r>
        </a:p>
        <a:p>
          <a:pPr>
            <a:lnSpc>
              <a:spcPts val="1400"/>
            </a:lnSpc>
          </a:pPr>
          <a:endParaRPr lang="fi-FI" sz="1200">
            <a:solidFill>
              <a:sysClr val="windowText" lastClr="000000"/>
            </a:solidFill>
            <a:effectLst/>
          </a:endParaRPr>
        </a:p>
        <a:p>
          <a:pPr>
            <a:lnSpc>
              <a:spcPts val="1400"/>
            </a:lnSpc>
          </a:pPr>
          <a:r>
            <a:rPr lang="fi-FI" sz="1200">
              <a:solidFill>
                <a:sysClr val="windowText" lastClr="000000"/>
              </a:solidFill>
              <a:effectLst/>
            </a:rPr>
            <a:t>Valtionosuuslaskurin avulla voidaan tarkastella</a:t>
          </a:r>
          <a:r>
            <a:rPr lang="fi-FI" sz="1200" baseline="0">
              <a:solidFill>
                <a:sysClr val="windowText" lastClr="000000"/>
              </a:solidFill>
              <a:effectLst/>
            </a:rPr>
            <a:t> ja </a:t>
          </a:r>
          <a:r>
            <a:rPr lang="fi-FI" sz="1200">
              <a:solidFill>
                <a:sysClr val="windowText" lastClr="000000"/>
              </a:solidFill>
              <a:effectLst/>
            </a:rPr>
            <a:t>arvioida</a:t>
          </a:r>
          <a:r>
            <a:rPr lang="fi-FI" sz="1200" baseline="0">
              <a:solidFill>
                <a:sysClr val="windowText" lastClr="000000"/>
              </a:solidFill>
              <a:effectLst/>
            </a:rPr>
            <a:t> </a:t>
          </a:r>
          <a:r>
            <a:rPr lang="fi-FI" sz="1200">
              <a:solidFill>
                <a:sysClr val="windowText" lastClr="000000"/>
              </a:solidFill>
              <a:effectLst/>
            </a:rPr>
            <a:t>kunnan valtionosuusrahoitusta</a:t>
          </a:r>
          <a:r>
            <a:rPr lang="fi-FI" sz="1200" baseline="0">
              <a:solidFill>
                <a:sysClr val="windowText" lastClr="000000"/>
              </a:solidFill>
              <a:effectLst/>
            </a:rPr>
            <a:t> vuonna 2026</a:t>
          </a:r>
          <a:r>
            <a:rPr lang="fi-FI" sz="1200">
              <a:solidFill>
                <a:sysClr val="windowText" lastClr="000000"/>
              </a:solidFill>
              <a:effectLst/>
            </a:rPr>
            <a:t>. Pohjana VM:n marraskuun</a:t>
          </a:r>
          <a:r>
            <a:rPr lang="fi-FI" sz="1200" baseline="0">
              <a:solidFill>
                <a:sysClr val="windowText" lastClr="000000"/>
              </a:solidFill>
              <a:effectLst/>
            </a:rPr>
            <a:t> </a:t>
          </a:r>
          <a:r>
            <a:rPr lang="fi-FI" sz="1200">
              <a:solidFill>
                <a:sysClr val="windowText" lastClr="000000"/>
              </a:solidFill>
              <a:effectLst/>
            </a:rPr>
            <a:t>2025</a:t>
          </a:r>
          <a:r>
            <a:rPr lang="fi-FI" sz="1200" baseline="0">
              <a:solidFill>
                <a:sysClr val="windowText" lastClr="000000"/>
              </a:solidFill>
              <a:effectLst/>
            </a:rPr>
            <a:t> </a:t>
          </a:r>
          <a:r>
            <a:rPr lang="fi-FI" sz="1200">
              <a:solidFill>
                <a:sysClr val="windowText" lastClr="000000"/>
              </a:solidFill>
              <a:effectLst/>
            </a:rPr>
            <a:t>ennakollinen</a:t>
          </a:r>
          <a:r>
            <a:rPr lang="fi-FI" sz="1200" baseline="0">
              <a:solidFill>
                <a:sysClr val="windowText" lastClr="000000"/>
              </a:solidFill>
              <a:effectLst/>
            </a:rPr>
            <a:t> laskelma peruspalvelujen valtionosuudesta. OKM:n valtionosuuden osalta laskurissa 2.12. tilanteen mukaiset tiedot.</a:t>
          </a:r>
          <a:endParaRPr lang="fi-FI" sz="1200">
            <a:solidFill>
              <a:sysClr val="windowText" lastClr="000000"/>
            </a:solidFill>
            <a:effectLst/>
          </a:endParaRPr>
        </a:p>
        <a:p>
          <a:pPr>
            <a:lnSpc>
              <a:spcPts val="1400"/>
            </a:lnSpc>
          </a:pPr>
          <a:endParaRPr lang="fi-FI" sz="1200" baseline="0">
            <a:solidFill>
              <a:sysClr val="windowText" lastClr="000000"/>
            </a:solidFill>
            <a:effectLst/>
          </a:endParaRPr>
        </a:p>
        <a:p>
          <a:pPr>
            <a:lnSpc>
              <a:spcPts val="1400"/>
            </a:lnSpc>
          </a:pPr>
          <a:r>
            <a:rPr lang="fi-FI" sz="1200" b="1">
              <a:solidFill>
                <a:sysClr val="windowText" lastClr="000000"/>
              </a:solidFill>
              <a:effectLst/>
            </a:rPr>
            <a:t>Valtionosuuslaskurilla</a:t>
          </a:r>
          <a:r>
            <a:rPr lang="fi-FI" sz="1200" b="1" baseline="0">
              <a:solidFill>
                <a:sysClr val="windowText" lastClr="000000"/>
              </a:solidFill>
              <a:effectLst/>
            </a:rPr>
            <a:t> on monta käyttötarkoitusta</a:t>
          </a:r>
        </a:p>
        <a:p>
          <a:pPr>
            <a:lnSpc>
              <a:spcPts val="1400"/>
            </a:lnSpc>
          </a:pPr>
          <a:endParaRPr lang="fi-FI" sz="1200" b="1" baseline="0">
            <a:solidFill>
              <a:sysClr val="windowText" lastClr="000000"/>
            </a:solidFill>
            <a:effectLst/>
          </a:endParaRPr>
        </a:p>
        <a:p>
          <a:pPr>
            <a:lnSpc>
              <a:spcPts val="1400"/>
            </a:lnSpc>
          </a:pPr>
          <a:r>
            <a:rPr lang="fi-FI" sz="1200" baseline="0">
              <a:solidFill>
                <a:sysClr val="windowText" lastClr="000000"/>
              </a:solidFill>
              <a:effectLst/>
            </a:rPr>
            <a:t>Laskurin avulla valtionosuusjärjestelmän kokonaisuuden hahmottaminen helpottuu: Laskuria voi käyttää talousarviovalmistelussa ja valtionosuusrahoituksen perusteiden ja määrytymisen opiskeluun, koska laskuri sisältää kaikki rahoituksen määräytymisen osatekijät.</a:t>
          </a:r>
        </a:p>
        <a:p>
          <a:pPr>
            <a:lnSpc>
              <a:spcPts val="1400"/>
            </a:lnSpc>
          </a:pPr>
          <a:endParaRPr lang="fi-FI" sz="1200" baseline="0">
            <a:solidFill>
              <a:sysClr val="windowText" lastClr="000000"/>
            </a:solidFill>
            <a:effectLst/>
          </a:endParaRPr>
        </a:p>
        <a:p>
          <a:pPr>
            <a:lnSpc>
              <a:spcPts val="1400"/>
            </a:lnSpc>
          </a:pPr>
          <a:r>
            <a:rPr lang="fi-FI" sz="1200" baseline="0">
              <a:solidFill>
                <a:sysClr val="windowText" lastClr="000000"/>
              </a:solidFill>
              <a:effectLst/>
            </a:rPr>
            <a:t>Valtionosuuslaskuri on käytännöllinen väline myös vuosien välisten vertailujen tekoon. Laskuria voidaan käyttää skenaariolaskelmiin ja sen avulla voidaan tarkastella esimerkiksi miten tiettyjen olosuhteiden tai asukasmäärien muutokset vaikuttavat kunnan saaman valtionosuuden määrään. Mielenkiintoisia kysymyksiä ovat esimerkiksi muuttoliikkeen aiheuttamasta väestökehityksestä johtuvien ikärakennemuutosten vaikutus valtionosuusrahoitukseen sekä se, miten muutos vaikkapa työllisyydessä vaikuttaa kunnan saaman valtionosuusrahoituksen määrään.</a:t>
          </a:r>
        </a:p>
        <a:p>
          <a:pPr>
            <a:lnSpc>
              <a:spcPts val="1400"/>
            </a:lnSpc>
          </a:pPr>
          <a:endParaRPr lang="fi-FI" sz="1200" baseline="0">
            <a:solidFill>
              <a:sysClr val="windowText" lastClr="000000"/>
            </a:solidFill>
            <a:effectLst/>
          </a:endParaRPr>
        </a:p>
        <a:p>
          <a:pPr>
            <a:lnSpc>
              <a:spcPts val="1400"/>
            </a:lnSpc>
          </a:pPr>
          <a:r>
            <a:rPr lang="fi-FI" sz="1200" b="1" baseline="0">
              <a:solidFill>
                <a:sysClr val="windowText" lastClr="000000"/>
              </a:solidFill>
              <a:effectLst/>
            </a:rPr>
            <a:t>Laskurin värikoodaus auttaa havainnollistamaan valtionosuusjärjestelmän kokonaisuuden</a:t>
          </a:r>
        </a:p>
        <a:p>
          <a:endParaRPr lang="fi-FI" sz="500">
            <a:solidFill>
              <a:sysClr val="windowText" lastClr="000000"/>
            </a:solidFill>
            <a:effectLst/>
          </a:endParaRPr>
        </a:p>
        <a:p>
          <a:pPr marL="0" marR="0" indent="0" defTabSz="914400" rtl="0" eaLnBrk="1" fontAlgn="auto" latinLnBrk="0" hangingPunct="1">
            <a:lnSpc>
              <a:spcPts val="1400"/>
            </a:lnSpc>
            <a:spcBef>
              <a:spcPts val="0"/>
            </a:spcBef>
            <a:spcAft>
              <a:spcPts val="0"/>
            </a:spcAft>
            <a:buClrTx/>
            <a:buSzTx/>
            <a:buFontTx/>
            <a:buNone/>
            <a:tabLst/>
            <a:defRPr/>
          </a:pPr>
          <a:r>
            <a:rPr lang="fi-FI" sz="1200" b="1" baseline="0">
              <a:solidFill>
                <a:sysClr val="windowText" lastClr="000000"/>
              </a:solidFill>
              <a:effectLst/>
              <a:latin typeface="+mn-lt"/>
              <a:ea typeface="+mn-ea"/>
              <a:cs typeface="+mn-cs"/>
            </a:rPr>
            <a:t>Kunnan valtionosuusrahoitus </a:t>
          </a:r>
          <a:r>
            <a:rPr lang="fi-FI" sz="1200">
              <a:solidFill>
                <a:sysClr val="windowText" lastClr="000000"/>
              </a:solidFill>
              <a:effectLst/>
            </a:rPr>
            <a:t>muodostuu kahdesta osasta: </a:t>
          </a:r>
          <a:r>
            <a:rPr lang="fi-FI" sz="1200" b="1" baseline="0">
              <a:solidFill>
                <a:srgbClr val="00B050"/>
              </a:solidFill>
              <a:effectLst/>
              <a:latin typeface="+mn-lt"/>
              <a:ea typeface="+mn-ea"/>
              <a:cs typeface="+mn-cs"/>
            </a:rPr>
            <a:t>kunnan peruspalvelujen valtionosuudesta </a:t>
          </a:r>
          <a:r>
            <a:rPr lang="fi-FI" sz="1200">
              <a:solidFill>
                <a:sysClr val="windowText" lastClr="000000"/>
              </a:solidFill>
              <a:effectLst/>
            </a:rPr>
            <a:t>ja </a:t>
          </a:r>
          <a:r>
            <a:rPr lang="fi-FI" sz="1200" b="1" baseline="0">
              <a:solidFill>
                <a:srgbClr val="0070C0"/>
              </a:solidFill>
              <a:effectLst/>
              <a:latin typeface="+mn-lt"/>
              <a:ea typeface="+mn-ea"/>
              <a:cs typeface="+mn-cs"/>
            </a:rPr>
            <a:t>opetus- ja kulttuuritoimen rahoituksesta </a:t>
          </a:r>
          <a:r>
            <a:rPr lang="fi-FI" sz="1200">
              <a:solidFill>
                <a:sysClr val="windowText" lastClr="000000"/>
              </a:solidFill>
              <a:effectLst/>
            </a:rPr>
            <a:t>annetun lain mukaisesta valtionosuusrahoituksesta. </a:t>
          </a:r>
          <a:r>
            <a:rPr lang="fi-FI" sz="1200">
              <a:solidFill>
                <a:sysClr val="windowText" lastClr="000000"/>
              </a:solidFill>
              <a:effectLst/>
              <a:latin typeface="+mn-lt"/>
              <a:ea typeface="+mn-ea"/>
              <a:cs typeface="+mn-cs"/>
            </a:rPr>
            <a:t>Kumpikin valtionosuusrahoituksen osa tulee ottaa huomioon</a:t>
          </a:r>
          <a:r>
            <a:rPr lang="fi-FI" sz="1200" baseline="0">
              <a:solidFill>
                <a:sysClr val="windowText" lastClr="000000"/>
              </a:solidFill>
              <a:effectLst/>
              <a:latin typeface="+mn-lt"/>
              <a:ea typeface="+mn-ea"/>
              <a:cs typeface="+mn-cs"/>
            </a:rPr>
            <a:t> kunnan valtionosuusrahoituksen kokonaisuutta arvioitaessa.</a:t>
          </a:r>
          <a:r>
            <a:rPr lang="fi-FI" sz="1200">
              <a:solidFill>
                <a:sysClr val="windowText" lastClr="000000"/>
              </a:solidFill>
              <a:effectLst/>
              <a:latin typeface="+mn-lt"/>
              <a:ea typeface="+mn-ea"/>
              <a:cs typeface="+mn-cs"/>
            </a:rPr>
            <a:t> </a:t>
          </a:r>
        </a:p>
        <a:p>
          <a:pPr marL="0" marR="0" indent="0" defTabSz="914400" rtl="0" eaLnBrk="1" fontAlgn="auto" latinLnBrk="0" hangingPunct="1">
            <a:lnSpc>
              <a:spcPts val="1400"/>
            </a:lnSpc>
            <a:spcBef>
              <a:spcPts val="0"/>
            </a:spcBef>
            <a:spcAft>
              <a:spcPts val="0"/>
            </a:spcAft>
            <a:buClrTx/>
            <a:buSzTx/>
            <a:buFontTx/>
            <a:buNone/>
            <a:tabLst/>
            <a:defRPr/>
          </a:pPr>
          <a:endParaRPr lang="fi-FI" sz="1200" baseline="0">
            <a:solidFill>
              <a:sysClr val="windowText" lastClr="000000"/>
            </a:solidFill>
            <a:effectLst/>
          </a:endParaRPr>
        </a:p>
        <a:p>
          <a:pPr>
            <a:lnSpc>
              <a:spcPts val="1400"/>
            </a:lnSpc>
          </a:pPr>
          <a:r>
            <a:rPr lang="fi-FI" sz="1200" baseline="0">
              <a:solidFill>
                <a:sysClr val="windowText" lastClr="000000"/>
              </a:solidFill>
              <a:effectLst/>
            </a:rPr>
            <a:t>Valtionosuuden perusteena olevat laskennalliset kustannukset ja muut valtionosuusrahoituksen osatekijät on eroteltu valtionosuuslaskurissa omiksi taulukoikseen. Kunnan peruspalvelujen valtionosuuteen sisältyvät taulukot on merkitty </a:t>
          </a:r>
          <a:r>
            <a:rPr lang="fi-FI" sz="1200" b="1" baseline="0">
              <a:solidFill>
                <a:srgbClr val="00B050"/>
              </a:solidFill>
              <a:effectLst/>
            </a:rPr>
            <a:t>vihreällä</a:t>
          </a:r>
          <a:r>
            <a:rPr lang="fi-FI" sz="1200" baseline="0">
              <a:solidFill>
                <a:srgbClr val="00B050"/>
              </a:solidFill>
              <a:effectLst/>
            </a:rPr>
            <a:t> </a:t>
          </a:r>
          <a:r>
            <a:rPr lang="fi-FI" sz="1200" baseline="0">
              <a:solidFill>
                <a:sysClr val="windowText" lastClr="000000"/>
              </a:solidFill>
              <a:effectLst/>
            </a:rPr>
            <a:t>taulukonvalitsimen pohjavärillä. Opetus- ja kulttuuritoimen valtionosuuteen liittyvät taulukot on merkitty </a:t>
          </a:r>
          <a:r>
            <a:rPr lang="fi-FI" sz="1200" b="1" baseline="0">
              <a:solidFill>
                <a:srgbClr val="0070C0"/>
              </a:solidFill>
              <a:effectLst/>
              <a:latin typeface="+mn-lt"/>
              <a:ea typeface="+mn-ea"/>
              <a:cs typeface="+mn-cs"/>
            </a:rPr>
            <a:t>sinisin</a:t>
          </a:r>
          <a:r>
            <a:rPr lang="fi-FI" sz="1200" baseline="0">
              <a:solidFill>
                <a:srgbClr val="0070C0"/>
              </a:solidFill>
              <a:effectLst/>
            </a:rPr>
            <a:t> </a:t>
          </a:r>
          <a:r>
            <a:rPr lang="fi-FI" sz="1200" baseline="0">
              <a:solidFill>
                <a:sysClr val="windowText" lastClr="000000"/>
              </a:solidFill>
              <a:effectLst/>
            </a:rPr>
            <a:t>taulukonvalitsimin. </a:t>
          </a:r>
          <a:r>
            <a:rPr lang="fi-FI" sz="1200" b="1" baseline="0">
              <a:solidFill>
                <a:srgbClr val="0070C0"/>
              </a:solidFill>
              <a:effectLst/>
            </a:rPr>
            <a:t>Sinisistä</a:t>
          </a:r>
          <a:r>
            <a:rPr lang="fi-FI" sz="1200" baseline="0">
              <a:solidFill>
                <a:srgbClr val="0070C0"/>
              </a:solidFill>
              <a:effectLst/>
            </a:rPr>
            <a:t> </a:t>
          </a:r>
          <a:r>
            <a:rPr lang="fi-FI" sz="1200" baseline="0">
              <a:solidFill>
                <a:sysClr val="windowText" lastClr="000000"/>
              </a:solidFill>
              <a:effectLst/>
            </a:rPr>
            <a:t>ja </a:t>
          </a:r>
          <a:r>
            <a:rPr lang="fi-FI" sz="1200" b="1" baseline="0">
              <a:solidFill>
                <a:srgbClr val="00B050"/>
              </a:solidFill>
              <a:effectLst/>
            </a:rPr>
            <a:t>vihreistä</a:t>
          </a:r>
          <a:r>
            <a:rPr lang="fi-FI" sz="1200" baseline="0">
              <a:solidFill>
                <a:srgbClr val="00B050"/>
              </a:solidFill>
              <a:effectLst/>
            </a:rPr>
            <a:t> </a:t>
          </a:r>
          <a:r>
            <a:rPr lang="fi-FI" sz="1200" baseline="0">
              <a:solidFill>
                <a:sysClr val="windowText" lastClr="000000"/>
              </a:solidFill>
              <a:effectLst/>
            </a:rPr>
            <a:t>taulukoista tiedot siirtyvät automaattisesti </a:t>
          </a:r>
          <a:r>
            <a:rPr lang="fi-FI" sz="1200" b="1" baseline="0">
              <a:solidFill>
                <a:srgbClr val="FF0000"/>
              </a:solidFill>
              <a:effectLst/>
            </a:rPr>
            <a:t>punaisella</a:t>
          </a:r>
          <a:r>
            <a:rPr lang="fi-FI" sz="1200" b="1" baseline="0">
              <a:solidFill>
                <a:schemeClr val="accent2">
                  <a:lumMod val="75000"/>
                </a:schemeClr>
              </a:solidFill>
              <a:effectLst/>
            </a:rPr>
            <a:t> </a:t>
          </a:r>
          <a:r>
            <a:rPr lang="fi-FI" sz="1200" baseline="0">
              <a:solidFill>
                <a:sysClr val="windowText" lastClr="000000"/>
              </a:solidFill>
              <a:effectLst/>
            </a:rPr>
            <a:t>taulukonvalitsimella merkittyyn Yhteenveto-taulukkoon, joka kertoo kunnan valtionosuusrahoituksen yhteismäärän.</a:t>
          </a:r>
        </a:p>
        <a:p>
          <a:pPr>
            <a:lnSpc>
              <a:spcPts val="1400"/>
            </a:lnSpc>
          </a:pPr>
          <a:endParaRPr lang="fi-FI" sz="1200" baseline="0">
            <a:solidFill>
              <a:sysClr val="windowText" lastClr="000000"/>
            </a:solidFill>
            <a:effectLst/>
          </a:endParaRPr>
        </a:p>
        <a:p>
          <a:pPr>
            <a:lnSpc>
              <a:spcPts val="1400"/>
            </a:lnSpc>
          </a:pPr>
          <a:r>
            <a:rPr lang="fi-FI" sz="1200" b="1" baseline="0">
              <a:solidFill>
                <a:sysClr val="windowText" lastClr="000000"/>
              </a:solidFill>
              <a:effectLst/>
            </a:rPr>
            <a:t>Valtionosuuslaskuri koostuu seuraavista taulukoista:</a:t>
          </a:r>
        </a:p>
        <a:p>
          <a:endParaRPr lang="fi-FI" sz="500" b="1" baseline="0">
            <a:solidFill>
              <a:sysClr val="windowText" lastClr="000000"/>
            </a:solidFill>
            <a:effectLst/>
          </a:endParaRPr>
        </a:p>
        <a:p>
          <a:pPr>
            <a:lnSpc>
              <a:spcPts val="1400"/>
            </a:lnSpc>
          </a:pPr>
          <a:r>
            <a:rPr lang="fi-FI" sz="1200" b="1" baseline="0">
              <a:solidFill>
                <a:sysClr val="windowText" lastClr="000000"/>
              </a:solidFill>
              <a:effectLst/>
            </a:rPr>
            <a:t>1. Täyttöohjeet</a:t>
          </a:r>
        </a:p>
        <a:p>
          <a:pPr>
            <a:lnSpc>
              <a:spcPts val="1400"/>
            </a:lnSpc>
          </a:pPr>
          <a:r>
            <a:rPr lang="fi-FI" sz="1200" b="1" baseline="0">
              <a:solidFill>
                <a:schemeClr val="accent2">
                  <a:lumMod val="75000"/>
                </a:schemeClr>
              </a:solidFill>
              <a:effectLst/>
            </a:rPr>
            <a:t>2. Yhteenveto</a:t>
          </a:r>
        </a:p>
        <a:p>
          <a:pPr>
            <a:lnSpc>
              <a:spcPts val="1400"/>
            </a:lnSpc>
          </a:pPr>
          <a:r>
            <a:rPr lang="fi-FI" sz="1200" b="1" baseline="0">
              <a:solidFill>
                <a:srgbClr val="00B050"/>
              </a:solidFill>
              <a:effectLst/>
            </a:rPr>
            <a:t>3. Ikärakenne</a:t>
          </a:r>
        </a:p>
        <a:p>
          <a:pPr>
            <a:lnSpc>
              <a:spcPts val="1400"/>
            </a:lnSpc>
          </a:pPr>
          <a:r>
            <a:rPr lang="fi-FI" sz="1200" b="1" baseline="0">
              <a:solidFill>
                <a:srgbClr val="00B050"/>
              </a:solidFill>
              <a:effectLst/>
            </a:rPr>
            <a:t>4. Muut laskennalliset korotukset</a:t>
          </a:r>
        </a:p>
        <a:p>
          <a:pPr>
            <a:lnSpc>
              <a:spcPts val="1400"/>
            </a:lnSpc>
          </a:pPr>
          <a:r>
            <a:rPr lang="fi-FI" sz="1200" b="1" baseline="0">
              <a:solidFill>
                <a:srgbClr val="00B050"/>
              </a:solidFill>
              <a:effectLst/>
            </a:rPr>
            <a:t>5. Lisäosat</a:t>
          </a:r>
        </a:p>
        <a:p>
          <a:pPr>
            <a:lnSpc>
              <a:spcPts val="1400"/>
            </a:lnSpc>
          </a:pPr>
          <a:r>
            <a:rPr lang="fi-FI" sz="1200" b="1" baseline="0">
              <a:solidFill>
                <a:srgbClr val="00B050"/>
              </a:solidFill>
              <a:effectLst/>
            </a:rPr>
            <a:t>6. Vähennykset ja lisäykset</a:t>
          </a:r>
        </a:p>
        <a:p>
          <a:pPr>
            <a:lnSpc>
              <a:spcPts val="1400"/>
            </a:lnSpc>
          </a:pPr>
          <a:r>
            <a:rPr lang="fi-FI" sz="1200" b="1" baseline="0">
              <a:solidFill>
                <a:srgbClr val="0070C0"/>
              </a:solidFill>
              <a:effectLst/>
            </a:rPr>
            <a:t>7. Opetus ja kulttuuri</a:t>
          </a:r>
        </a:p>
        <a:p>
          <a:pPr>
            <a:lnSpc>
              <a:spcPts val="1400"/>
            </a:lnSpc>
          </a:pPr>
          <a:r>
            <a:rPr lang="fi-FI" sz="1200" b="1" i="0" baseline="0">
              <a:solidFill>
                <a:srgbClr val="0070C0"/>
              </a:solidFill>
              <a:effectLst/>
            </a:rPr>
            <a:t>8. Lukio</a:t>
          </a:r>
          <a:endParaRPr lang="fi-FI" sz="1200" b="1" i="1" baseline="0">
            <a:solidFill>
              <a:srgbClr val="0070C0"/>
            </a:solidFill>
            <a:effectLst/>
          </a:endParaRPr>
        </a:p>
        <a:p>
          <a:pPr>
            <a:lnSpc>
              <a:spcPts val="1400"/>
            </a:lnSpc>
          </a:pPr>
          <a:endParaRPr lang="fi-FI" sz="1200" baseline="0">
            <a:solidFill>
              <a:sysClr val="windowText" lastClr="000000"/>
            </a:solidFill>
            <a:effectLst/>
          </a:endParaRPr>
        </a:p>
        <a:p>
          <a:pPr>
            <a:lnSpc>
              <a:spcPts val="1400"/>
            </a:lnSpc>
          </a:pPr>
          <a:r>
            <a:rPr lang="fi-FI" sz="1200" baseline="0">
              <a:solidFill>
                <a:sysClr val="windowText" lastClr="000000"/>
              </a:solidFill>
              <a:effectLst/>
            </a:rPr>
            <a:t>Syöttämällä ja/tai tarkistamalla kunkin taulukon värillisiin soluihin vaadittavat valtionosuuden perusteena olevat </a:t>
          </a:r>
          <a:r>
            <a:rPr lang="fi-FI" sz="1200" baseline="0">
              <a:solidFill>
                <a:sysClr val="windowText" lastClr="000000"/>
              </a:solidFill>
              <a:effectLst/>
              <a:latin typeface="+mn-lt"/>
              <a:ea typeface="+mn-ea"/>
              <a:cs typeface="+mn-cs"/>
            </a:rPr>
            <a:t>kunnan </a:t>
          </a:r>
          <a:r>
            <a:rPr lang="fi-FI" sz="1200" baseline="0">
              <a:solidFill>
                <a:sysClr val="windowText" lastClr="000000"/>
              </a:solidFill>
              <a:effectLst/>
            </a:rPr>
            <a:t>tiedot </a:t>
          </a:r>
          <a:r>
            <a:rPr lang="fi-FI" sz="1200" baseline="0">
              <a:solidFill>
                <a:sysClr val="windowText" lastClr="000000"/>
              </a:solidFill>
              <a:effectLst/>
              <a:latin typeface="+mn-lt"/>
              <a:ea typeface="+mn-ea"/>
              <a:cs typeface="+mn-cs"/>
            </a:rPr>
            <a:t>laskuri laskee kunnalle myönnettävän valtionosuuden määrän. Työkirjan taulukoita voidaan käyttää myös erillisinä esimerkiksi ikärakenteen perusteella määräytyvien laskennallisten kustannusten tai lukion yksikköhinnan laskemiseen.</a:t>
          </a:r>
        </a:p>
        <a:p>
          <a:endParaRPr lang="fi-FI" sz="1200" b="1" baseline="0">
            <a:solidFill>
              <a:sysClr val="windowText" lastClr="000000"/>
            </a:solidFill>
            <a:effectLst/>
            <a:latin typeface="+mn-lt"/>
            <a:ea typeface="+mn-ea"/>
            <a:cs typeface="+mn-cs"/>
          </a:endParaRPr>
        </a:p>
        <a:p>
          <a:r>
            <a:rPr lang="fi-FI" sz="1200" b="0" baseline="0">
              <a:solidFill>
                <a:sysClr val="windowText" lastClr="000000"/>
              </a:solidFill>
              <a:effectLst/>
              <a:latin typeface="+mn-lt"/>
              <a:ea typeface="+mn-ea"/>
              <a:cs typeface="+mn-cs"/>
            </a:rPr>
            <a:t>Huomioithan, että taulukot sisältävät kommentti-työkalulla tehtyjä lisätietoja valtionosuuden määräytymisestä. Soluun sisältyvät kommentit erotat punaisesta kolmiosta solun yläkulmassa. Kommentit saa näkymään kuljettamalla hiiren ko. solun päälle.</a:t>
          </a:r>
          <a:r>
            <a:rPr lang="fi-FI" sz="1200" b="1" baseline="0">
              <a:solidFill>
                <a:sysClr val="windowText" lastClr="000000"/>
              </a:solidFill>
              <a:effectLst/>
              <a:latin typeface="+mn-lt"/>
              <a:ea typeface="+mn-ea"/>
              <a:cs typeface="+mn-cs"/>
            </a:rPr>
            <a:t> </a:t>
          </a:r>
        </a:p>
        <a:p>
          <a:endParaRPr lang="fi-FI" sz="1200" b="1" baseline="0">
            <a:solidFill>
              <a:sysClr val="windowText" lastClr="000000"/>
            </a:solidFill>
            <a:effectLst/>
            <a:latin typeface="+mn-lt"/>
            <a:ea typeface="+mn-ea"/>
            <a:cs typeface="+mn-cs"/>
          </a:endParaRPr>
        </a:p>
        <a:p>
          <a:pPr marL="0" indent="0"/>
          <a:r>
            <a:rPr lang="fi-FI" sz="1200" b="1" baseline="0">
              <a:solidFill>
                <a:sysClr val="windowText" lastClr="000000"/>
              </a:solidFill>
              <a:effectLst/>
              <a:latin typeface="+mn-lt"/>
              <a:ea typeface="+mn-ea"/>
              <a:cs typeface="+mn-cs"/>
            </a:rPr>
            <a:t>Yhteenveto</a:t>
          </a:r>
        </a:p>
        <a:p>
          <a:pPr marL="0" marR="0" indent="0" defTabSz="914400" eaLnBrk="1" fontAlgn="auto" latinLnBrk="0" hangingPunct="1">
            <a:lnSpc>
              <a:spcPct val="100000"/>
            </a:lnSpc>
            <a:spcBef>
              <a:spcPts val="0"/>
            </a:spcBef>
            <a:spcAft>
              <a:spcPts val="0"/>
            </a:spcAft>
            <a:buClrTx/>
            <a:buSzTx/>
            <a:buFontTx/>
            <a:buNone/>
            <a:tabLst/>
            <a:defRPr/>
          </a:pPr>
          <a:r>
            <a:rPr lang="fi-FI" sz="1200" baseline="0">
              <a:solidFill>
                <a:sysClr val="windowText" lastClr="000000"/>
              </a:solidFill>
              <a:effectLst/>
              <a:latin typeface="+mn-lt"/>
              <a:ea typeface="+mn-ea"/>
              <a:cs typeface="+mn-cs"/>
            </a:rPr>
            <a:t>Yhteenveto-taulukko on merkitty </a:t>
          </a:r>
          <a:r>
            <a:rPr lang="fi-FI" sz="1200" b="1" baseline="0">
              <a:solidFill>
                <a:schemeClr val="accent2">
                  <a:lumMod val="75000"/>
                </a:schemeClr>
              </a:solidFill>
              <a:effectLst/>
              <a:latin typeface="+mn-lt"/>
              <a:ea typeface="+mn-ea"/>
              <a:cs typeface="+mn-cs"/>
            </a:rPr>
            <a:t>punaisella </a:t>
          </a:r>
          <a:r>
            <a:rPr lang="fi-FI" sz="1200" baseline="0">
              <a:solidFill>
                <a:sysClr val="windowText" lastClr="000000"/>
              </a:solidFill>
              <a:effectLst/>
              <a:latin typeface="+mn-lt"/>
              <a:ea typeface="+mn-ea"/>
              <a:cs typeface="+mn-cs"/>
            </a:rPr>
            <a:t>taulukonvalitsimella. </a:t>
          </a:r>
          <a:r>
            <a:rPr lang="fi-FI" sz="1200" b="1" baseline="0">
              <a:solidFill>
                <a:srgbClr val="0070C0"/>
              </a:solidFill>
              <a:effectLst/>
              <a:latin typeface="+mn-lt"/>
              <a:ea typeface="+mn-ea"/>
              <a:cs typeface="+mn-cs"/>
            </a:rPr>
            <a:t>Sinisistä</a:t>
          </a:r>
          <a:r>
            <a:rPr lang="fi-FI" sz="1200" baseline="0">
              <a:solidFill>
                <a:srgbClr val="0070C0"/>
              </a:solidFill>
              <a:effectLst/>
              <a:latin typeface="+mn-lt"/>
              <a:ea typeface="+mn-ea"/>
              <a:cs typeface="+mn-cs"/>
            </a:rPr>
            <a:t> </a:t>
          </a:r>
          <a:r>
            <a:rPr lang="fi-FI" sz="1200" baseline="0">
              <a:solidFill>
                <a:sysClr val="windowText" lastClr="000000"/>
              </a:solidFill>
              <a:effectLst/>
              <a:latin typeface="+mn-lt"/>
              <a:ea typeface="+mn-ea"/>
              <a:cs typeface="+mn-cs"/>
            </a:rPr>
            <a:t>ja </a:t>
          </a:r>
          <a:r>
            <a:rPr lang="fi-FI" sz="1200" b="1" baseline="0">
              <a:solidFill>
                <a:srgbClr val="00B050"/>
              </a:solidFill>
              <a:effectLst/>
              <a:latin typeface="+mn-lt"/>
              <a:ea typeface="+mn-ea"/>
              <a:cs typeface="+mn-cs"/>
            </a:rPr>
            <a:t>vihreistä</a:t>
          </a:r>
          <a:r>
            <a:rPr lang="fi-FI" sz="1200" baseline="0">
              <a:solidFill>
                <a:srgbClr val="00B050"/>
              </a:solidFill>
              <a:effectLst/>
              <a:latin typeface="+mn-lt"/>
              <a:ea typeface="+mn-ea"/>
              <a:cs typeface="+mn-cs"/>
            </a:rPr>
            <a:t> </a:t>
          </a:r>
          <a:r>
            <a:rPr lang="fi-FI" sz="1200" baseline="0">
              <a:solidFill>
                <a:sysClr val="windowText" lastClr="000000"/>
              </a:solidFill>
              <a:effectLst/>
              <a:latin typeface="+mn-lt"/>
              <a:ea typeface="+mn-ea"/>
              <a:cs typeface="+mn-cs"/>
            </a:rPr>
            <a:t>taulukoista tiedot siirtyvät automaattisesti Yhteenveto-taulukon keltaisiin soluihin.</a:t>
          </a:r>
        </a:p>
        <a:p>
          <a:pPr>
            <a:lnSpc>
              <a:spcPts val="1400"/>
            </a:lnSpc>
          </a:pPr>
          <a:endParaRPr lang="fi-FI" sz="1200" baseline="0">
            <a:solidFill>
              <a:sysClr val="windowText" lastClr="000000"/>
            </a:solidFill>
            <a:effectLst/>
          </a:endParaRPr>
        </a:p>
        <a:p>
          <a:r>
            <a:rPr lang="fi-FI" sz="1200" b="1" baseline="0">
              <a:solidFill>
                <a:sysClr val="windowText" lastClr="000000"/>
              </a:solidFill>
              <a:effectLst/>
            </a:rPr>
            <a:t>Kunnan peruspalvelujen valtionosuus </a:t>
          </a:r>
        </a:p>
        <a:p>
          <a:r>
            <a:rPr lang="fi-FI" sz="1200" baseline="0">
              <a:solidFill>
                <a:sysClr val="windowText" lastClr="000000"/>
              </a:solidFill>
              <a:effectLst/>
              <a:latin typeface="+mn-lt"/>
              <a:ea typeface="+mn-ea"/>
              <a:cs typeface="+mn-cs"/>
            </a:rPr>
            <a:t>Kunnan peruspalvelujen valtionosuuteen sisältyvät taulukot on merkitty </a:t>
          </a:r>
          <a:r>
            <a:rPr lang="fi-FI" sz="1200" b="1" baseline="0">
              <a:solidFill>
                <a:srgbClr val="00B050"/>
              </a:solidFill>
              <a:effectLst/>
              <a:latin typeface="+mn-lt"/>
              <a:ea typeface="+mn-ea"/>
              <a:cs typeface="+mn-cs"/>
            </a:rPr>
            <a:t>vihreällä</a:t>
          </a:r>
          <a:r>
            <a:rPr lang="fi-FI" sz="1200" baseline="0">
              <a:solidFill>
                <a:srgbClr val="00B050"/>
              </a:solidFill>
              <a:effectLst/>
              <a:latin typeface="+mn-lt"/>
              <a:ea typeface="+mn-ea"/>
              <a:cs typeface="+mn-cs"/>
            </a:rPr>
            <a:t> </a:t>
          </a:r>
          <a:r>
            <a:rPr lang="fi-FI" sz="1200" baseline="0">
              <a:solidFill>
                <a:sysClr val="windowText" lastClr="000000"/>
              </a:solidFill>
              <a:effectLst/>
              <a:latin typeface="+mn-lt"/>
              <a:ea typeface="+mn-ea"/>
              <a:cs typeface="+mn-cs"/>
            </a:rPr>
            <a:t>taulukonvalitsimen pohjavärillä. Laskuri laskee ikärakenteen ja muiden tekijöiden perusteella määräytyvät</a:t>
          </a:r>
          <a:r>
            <a:rPr lang="fi-FI" sz="1200" baseline="0">
              <a:solidFill>
                <a:sysClr val="windowText" lastClr="000000"/>
              </a:solidFill>
              <a:effectLst/>
            </a:rPr>
            <a:t> laskennalliset kustannukset sekä lisäosat ja valtionosuuteen tehtävät vähennykset ja lisäykset, kun tarvittavat tiedot täytetään kunkin taulukon turkoosin värisiin soluihin.</a:t>
          </a:r>
        </a:p>
        <a:p>
          <a:pPr>
            <a:lnSpc>
              <a:spcPts val="1400"/>
            </a:lnSpc>
          </a:pPr>
          <a:endParaRPr lang="fi-FI" sz="1200" baseline="0">
            <a:solidFill>
              <a:sysClr val="windowText" lastClr="000000"/>
            </a:solidFill>
            <a:effectLst/>
          </a:endParaRPr>
        </a:p>
        <a:p>
          <a:r>
            <a:rPr lang="fi-FI" sz="1200" baseline="0">
              <a:solidFill>
                <a:sysClr val="windowText" lastClr="000000"/>
              </a:solidFill>
              <a:effectLst/>
            </a:rPr>
            <a:t>Kun laskuria käytetään tulevan varainhoitovuoden valtionosuusrahoituksen ennakointiin, on hyvä tarkistaa valtakunnallisten tietojen, esimerkiksi perushintojen oikeellisuus, sillä valtakunnalliset tiedot päivittyvät säännöllisesti laskennan edetessä ennen varainhoitovuoden alkua.</a:t>
          </a:r>
        </a:p>
        <a:p>
          <a:pPr>
            <a:lnSpc>
              <a:spcPts val="1400"/>
            </a:lnSpc>
          </a:pPr>
          <a:endParaRPr lang="fi-FI" sz="1200" baseline="0">
            <a:solidFill>
              <a:sysClr val="windowText" lastClr="000000"/>
            </a:solidFill>
            <a:effectLst/>
          </a:endParaRPr>
        </a:p>
        <a:p>
          <a:r>
            <a:rPr lang="fi-FI" sz="1200" baseline="0">
              <a:solidFill>
                <a:sysClr val="windowText" lastClr="000000"/>
              </a:solidFill>
              <a:effectLst/>
            </a:rPr>
            <a:t>Kotikuntakorvausten laskentaa varten ao. taulukkoon täytetään kotikuntakorvauskyselyssä 15.12. tilanteesta ilmoitetut tiedot muualla kuin omassa kotikunnassaan oppivelvollisuuttaan suorittavista 6-15-vuotiaista ikäryhmittäin. Vuoden 2015 alusta alkaen kotikuntakorvauksen perusosa on kaikille kunnille yhtä suuri. Kotikuntaa vailla olevien 6-15-vuotiaiden kotikuntakorvauksen maksaa valtio. </a:t>
          </a:r>
        </a:p>
        <a:p>
          <a:pPr>
            <a:lnSpc>
              <a:spcPts val="1400"/>
            </a:lnSpc>
          </a:pPr>
          <a:endParaRPr lang="fi-FI" sz="1200" baseline="0">
            <a:solidFill>
              <a:sysClr val="windowText" lastClr="000000"/>
            </a:solidFill>
            <a:effectLst/>
          </a:endParaRPr>
        </a:p>
        <a:p>
          <a:pPr marL="0" marR="0" indent="0" defTabSz="914400" eaLnBrk="1" fontAlgn="auto" latinLnBrk="0" hangingPunct="1">
            <a:lnSpc>
              <a:spcPct val="100000"/>
            </a:lnSpc>
            <a:spcBef>
              <a:spcPts val="0"/>
            </a:spcBef>
            <a:spcAft>
              <a:spcPts val="0"/>
            </a:spcAft>
            <a:buClrTx/>
            <a:buSzTx/>
            <a:buFontTx/>
            <a:buNone/>
            <a:tabLst/>
            <a:defRPr/>
          </a:pPr>
          <a:r>
            <a:rPr lang="fi-FI" sz="1200" b="1" baseline="0">
              <a:solidFill>
                <a:sysClr val="windowText" lastClr="000000"/>
              </a:solidFill>
              <a:effectLst/>
              <a:latin typeface="+mn-lt"/>
              <a:ea typeface="+mn-ea"/>
              <a:cs typeface="+mn-cs"/>
            </a:rPr>
            <a:t>Opetus- ja kulttuuritoimen valtionosuus </a:t>
          </a:r>
        </a:p>
        <a:p>
          <a:pPr marL="0" marR="0" indent="0" defTabSz="914400" eaLnBrk="1" fontAlgn="auto" latinLnBrk="0" hangingPunct="1">
            <a:lnSpc>
              <a:spcPts val="1400"/>
            </a:lnSpc>
            <a:spcBef>
              <a:spcPts val="0"/>
            </a:spcBef>
            <a:spcAft>
              <a:spcPts val="0"/>
            </a:spcAft>
            <a:buClrTx/>
            <a:buSzTx/>
            <a:buFontTx/>
            <a:buNone/>
            <a:tabLst/>
            <a:defRPr/>
          </a:pPr>
          <a:r>
            <a:rPr lang="fi-FI" sz="1200" b="0" baseline="0">
              <a:solidFill>
                <a:sysClr val="windowText" lastClr="000000"/>
              </a:solidFill>
              <a:effectLst/>
              <a:latin typeface="+mn-lt"/>
              <a:ea typeface="+mn-ea"/>
              <a:cs typeface="+mn-cs"/>
            </a:rPr>
            <a:t>Osa valtionosuusrahoituksesta myönnetään opetus- ja kulttuuritoimen rahoituksesta annettuun lakiin perustuen. Opetus- ja kulttuuritoimen valtionosuusrahoituksesta euromääräisesti suurin on toisen asteen koulutuksen ylläpitäjille maksettava yksikköhintarahoitus. Lukiokoulutuksessa ylläpitäjä on tyypillisesti kunta, kun taas valtaosa toisen asteen ammatillisen koulutuksen ylläpitäjistä on kuntayhtymiä tai yksityisiä opetuksen järjestäjiä. </a:t>
          </a:r>
        </a:p>
        <a:p>
          <a:pPr marL="0" marR="0" indent="0" defTabSz="914400" eaLnBrk="1" fontAlgn="auto" latinLnBrk="0" hangingPunct="1">
            <a:lnSpc>
              <a:spcPct val="100000"/>
            </a:lnSpc>
            <a:spcBef>
              <a:spcPts val="0"/>
            </a:spcBef>
            <a:spcAft>
              <a:spcPts val="0"/>
            </a:spcAft>
            <a:buClrTx/>
            <a:buSzTx/>
            <a:buFontTx/>
            <a:buNone/>
            <a:tabLst/>
            <a:defRPr/>
          </a:pPr>
          <a:endParaRPr lang="fi-FI" sz="1200" b="0" baseline="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fi-FI" sz="1200" b="0" baseline="0">
              <a:solidFill>
                <a:sysClr val="windowText" lastClr="000000"/>
              </a:solidFill>
              <a:effectLst/>
              <a:latin typeface="+mn-lt"/>
              <a:ea typeface="+mn-ea"/>
              <a:cs typeface="+mn-cs"/>
            </a:rPr>
            <a:t>Opetus- ja kulttuuritoimen valtionosuusrahoitukseen sisältyvät myös  esi- ja perusopetuksen oppilaskohtaisesti rahoitettavat lisät (mm.  vammais-, lisä- ja aineopetus) sekä muu opetus- ja kulttuuritoimen valtionosuusrahoitus, esimerkiksi valtionosuus aamu- ja iltapäivätoimintaan, liikuntaan, nuorisotyöhön,  museoille, teattereille ja orkestereille. Laskurin opetus- ja kulttuuritoimen valtionosuuteen liittyvät osat on merkitty </a:t>
          </a:r>
          <a:r>
            <a:rPr lang="fi-FI" sz="1200" b="1" baseline="0">
              <a:solidFill>
                <a:srgbClr val="0070C0"/>
              </a:solidFill>
              <a:effectLst/>
              <a:latin typeface="+mn-lt"/>
              <a:ea typeface="+mn-ea"/>
              <a:cs typeface="+mn-cs"/>
            </a:rPr>
            <a:t>sinisellä </a:t>
          </a:r>
          <a:r>
            <a:rPr lang="fi-FI" sz="1200" b="0" baseline="0">
              <a:solidFill>
                <a:sysClr val="windowText" lastClr="000000"/>
              </a:solidFill>
              <a:effectLst/>
              <a:latin typeface="+mn-lt"/>
              <a:ea typeface="+mn-ea"/>
              <a:cs typeface="+mn-cs"/>
            </a:rPr>
            <a:t>taulukonvalitsimella. Opetus- ja kulttuuriministeriön erikseen päättämät avustukset ja lisät eivät sisälly laskuriin. Näitä ovat esimerkiksi maakunta- ja keskuskirjastolisät ja erillisavustukset.</a:t>
          </a:r>
          <a:endParaRPr lang="fi-FI" sz="1200">
            <a:solidFill>
              <a:sysClr val="windowText" lastClr="000000"/>
            </a:solidFill>
            <a:effectLst/>
          </a:endParaRPr>
        </a:p>
        <a:p>
          <a:pPr marL="0" marR="0" indent="0" defTabSz="914400" eaLnBrk="1" fontAlgn="auto" latinLnBrk="0" hangingPunct="1">
            <a:lnSpc>
              <a:spcPts val="1400"/>
            </a:lnSpc>
            <a:spcBef>
              <a:spcPts val="0"/>
            </a:spcBef>
            <a:spcAft>
              <a:spcPts val="0"/>
            </a:spcAft>
            <a:buClrTx/>
            <a:buSzTx/>
            <a:buFontTx/>
            <a:buNone/>
            <a:tabLst/>
            <a:defRPr/>
          </a:pPr>
          <a:endParaRPr lang="fi-FI" sz="1100" b="0" baseline="0">
            <a:solidFill>
              <a:sysClr val="windowText" lastClr="000000"/>
            </a:solidFill>
            <a:effectLst/>
            <a:latin typeface="+mn-lt"/>
            <a:ea typeface="+mn-ea"/>
            <a:cs typeface="+mn-cs"/>
          </a:endParaRPr>
        </a:p>
        <a:p>
          <a:pPr marL="0" marR="0" indent="0" defTabSz="914400" eaLnBrk="1" fontAlgn="auto" latinLnBrk="0" hangingPunct="1">
            <a:lnSpc>
              <a:spcPts val="1200"/>
            </a:lnSpc>
            <a:spcBef>
              <a:spcPts val="0"/>
            </a:spcBef>
            <a:spcAft>
              <a:spcPts val="0"/>
            </a:spcAft>
            <a:buClrTx/>
            <a:buSzTx/>
            <a:buFontTx/>
            <a:buNone/>
            <a:tabLst/>
            <a:defRPr/>
          </a:pPr>
          <a:endParaRPr lang="fi-FI" sz="1100" b="0" baseline="0">
            <a:solidFill>
              <a:sysClr val="windowText" lastClr="000000"/>
            </a:solidFill>
            <a:effectLst/>
            <a:latin typeface="+mn-lt"/>
            <a:ea typeface="+mn-ea"/>
            <a:cs typeface="+mn-cs"/>
          </a:endParaRPr>
        </a:p>
        <a:p>
          <a:pPr marL="0" marR="0" indent="0" defTabSz="914400" eaLnBrk="1" fontAlgn="auto" latinLnBrk="0" hangingPunct="1">
            <a:lnSpc>
              <a:spcPts val="1200"/>
            </a:lnSpc>
            <a:spcBef>
              <a:spcPts val="0"/>
            </a:spcBef>
            <a:spcAft>
              <a:spcPts val="0"/>
            </a:spcAft>
            <a:buClrTx/>
            <a:buSzTx/>
            <a:buFontTx/>
            <a:buNone/>
            <a:tabLst/>
            <a:defRPr/>
          </a:pPr>
          <a:endParaRPr lang="fi-FI" sz="1100" b="0" baseline="0">
            <a:solidFill>
              <a:sysClr val="windowText" lastClr="000000"/>
            </a:solidFill>
            <a:effectLst/>
            <a:latin typeface="+mn-lt"/>
            <a:ea typeface="+mn-ea"/>
            <a:cs typeface="+mn-cs"/>
          </a:endParaRPr>
        </a:p>
        <a:p>
          <a:pPr marL="0" marR="0" indent="0" defTabSz="914400" eaLnBrk="1" fontAlgn="auto" latinLnBrk="0" hangingPunct="1">
            <a:lnSpc>
              <a:spcPts val="1400"/>
            </a:lnSpc>
            <a:spcBef>
              <a:spcPts val="0"/>
            </a:spcBef>
            <a:spcAft>
              <a:spcPts val="0"/>
            </a:spcAft>
            <a:buClrTx/>
            <a:buSzTx/>
            <a:buFontTx/>
            <a:buNone/>
            <a:tabLst/>
            <a:defRPr/>
          </a:pPr>
          <a:endParaRPr lang="fi-FI" b="0">
            <a:solidFill>
              <a:sysClr val="windowText" lastClr="000000"/>
            </a:solidFill>
            <a:effectLst/>
          </a:endParaRPr>
        </a:p>
        <a:p>
          <a:pPr>
            <a:lnSpc>
              <a:spcPts val="1000"/>
            </a:lnSpc>
          </a:pPr>
          <a:endParaRPr lang="fi-FI"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9525</xdr:colOff>
      <xdr:row>1</xdr:row>
      <xdr:rowOff>176646</xdr:rowOff>
    </xdr:from>
    <xdr:to>
      <xdr:col>17</xdr:col>
      <xdr:colOff>76200</xdr:colOff>
      <xdr:row>14</xdr:row>
      <xdr:rowOff>0</xdr:rowOff>
    </xdr:to>
    <xdr:sp macro="" textlink="">
      <xdr:nvSpPr>
        <xdr:cNvPr id="2" name="Tekstiruutu 1">
          <a:extLst>
            <a:ext uri="{FF2B5EF4-FFF2-40B4-BE49-F238E27FC236}">
              <a16:creationId xmlns:a16="http://schemas.microsoft.com/office/drawing/2014/main" id="{279CC885-3351-4D18-9501-01160D06F395}"/>
            </a:ext>
          </a:extLst>
        </xdr:cNvPr>
        <xdr:cNvSpPr txBox="1"/>
      </xdr:nvSpPr>
      <xdr:spPr>
        <a:xfrm>
          <a:off x="7953375" y="386196"/>
          <a:ext cx="6257925" cy="1709304"/>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br>
            <a:rPr lang="fi-FI" sz="1100" b="0" i="0" u="none" strike="noStrike">
              <a:solidFill>
                <a:sysClr val="windowText" lastClr="000000"/>
              </a:solidFill>
              <a:effectLst/>
              <a:latin typeface="+mn-lt"/>
              <a:ea typeface="+mn-ea"/>
              <a:cs typeface="+mn-cs"/>
            </a:rPr>
          </a:br>
          <a:r>
            <a:rPr lang="fi-FI" sz="1800" b="0" i="0" u="none" strike="noStrike">
              <a:solidFill>
                <a:sysClr val="windowText" lastClr="000000"/>
              </a:solidFill>
              <a:effectLst/>
              <a:latin typeface="+mn-lt"/>
              <a:ea typeface="+mn-ea"/>
              <a:cs typeface="+mn-cs"/>
            </a:rPr>
            <a:t>Huom! </a:t>
          </a:r>
          <a:r>
            <a:rPr lang="fi-FI" sz="1100" b="0" i="0" baseline="0">
              <a:solidFill>
                <a:sysClr val="windowText" lastClr="000000"/>
              </a:solidFill>
              <a:effectLst/>
              <a:latin typeface="+mn-lt"/>
              <a:ea typeface="+mn-ea"/>
              <a:cs typeface="+mn-cs"/>
            </a:rPr>
            <a:t>Perusopetuksen tutkintokoulutukseen valmentavan koulutuksen (TUVA) valtionosuus puuttuu laskurista. Laskuri ei myöskään huomioi ammatillisen koulutuksen ml. ammatillisen koulutuksen tutkintokoulutukseen valmentavan koulutuksen valtionosuutta. Ammatillisen koulutuksen valtionosuutta ei lasketa yksikköhintaan perustuen.</a:t>
          </a:r>
          <a:endParaRPr lang="fi-FI">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fi-FI"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Laskurista puuttuvat myös</a:t>
          </a:r>
          <a:r>
            <a:rPr lang="fi-FI" sz="1100" baseline="0">
              <a:solidFill>
                <a:sysClr val="windowText" lastClr="000000"/>
              </a:solidFill>
              <a:effectLst/>
              <a:latin typeface="+mn-lt"/>
              <a:ea typeface="+mn-ea"/>
              <a:cs typeface="+mn-cs"/>
            </a:rPr>
            <a:t> </a:t>
          </a:r>
          <a:r>
            <a:rPr lang="fi-FI" sz="1100">
              <a:solidFill>
                <a:sysClr val="windowText" lastClr="000000"/>
              </a:solidFill>
              <a:effectLst/>
              <a:latin typeface="+mn-lt"/>
              <a:ea typeface="+mn-ea"/>
              <a:cs typeface="+mn-cs"/>
            </a:rPr>
            <a:t>museoiden alueellisen vastuutehtävän ja valtakunnallisen kehittämistehtävän sekä esittävän taiteen korotettu rahoitus.</a:t>
          </a:r>
        </a:p>
        <a:p>
          <a:pPr marL="0" marR="0" lvl="0" indent="0" defTabSz="914400" eaLnBrk="1" fontAlgn="auto" latinLnBrk="0" hangingPunct="1">
            <a:lnSpc>
              <a:spcPct val="100000"/>
            </a:lnSpc>
            <a:spcBef>
              <a:spcPts val="0"/>
            </a:spcBef>
            <a:spcAft>
              <a:spcPts val="0"/>
            </a:spcAft>
            <a:buClrTx/>
            <a:buSzTx/>
            <a:buFontTx/>
            <a:buNone/>
            <a:tabLst/>
            <a:defRPr/>
          </a:pPr>
          <a:endParaRPr lang="fi-FI" sz="1100" b="0" i="0" u="none" strike="noStrike" baseline="0">
            <a:solidFill>
              <a:srgbClr val="FF0000"/>
            </a:solidFill>
            <a:effectLst/>
            <a:latin typeface="+mn-lt"/>
            <a:ea typeface="+mn-ea"/>
            <a:cs typeface="+mn-cs"/>
          </a:endParaRPr>
        </a:p>
        <a:p>
          <a:endParaRPr lang="fi-FI" sz="1100" b="0" i="0" u="none" strike="noStrike">
            <a:solidFill>
              <a:schemeClr val="dk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10</xdr:col>
      <xdr:colOff>142875</xdr:colOff>
      <xdr:row>6</xdr:row>
      <xdr:rowOff>57149</xdr:rowOff>
    </xdr:from>
    <xdr:ext cx="4791075" cy="1144467"/>
    <xdr:sp macro="" textlink="">
      <xdr:nvSpPr>
        <xdr:cNvPr id="2" name="Tekstiruutu 1">
          <a:extLst>
            <a:ext uri="{FF2B5EF4-FFF2-40B4-BE49-F238E27FC236}">
              <a16:creationId xmlns:a16="http://schemas.microsoft.com/office/drawing/2014/main" id="{7F994C4B-0E60-49D2-8132-A37BC0B9364E}"/>
            </a:ext>
          </a:extLst>
        </xdr:cNvPr>
        <xdr:cNvSpPr txBox="1"/>
      </xdr:nvSpPr>
      <xdr:spPr>
        <a:xfrm>
          <a:off x="6844567" y="1219687"/>
          <a:ext cx="4791075" cy="1144467"/>
        </a:xfrm>
        <a:prstGeom prst="rect">
          <a:avLst/>
        </a:prstGeom>
        <a:solidFill>
          <a:schemeClr val="accent5">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i-FI" sz="1100" b="0" i="0" u="none" strike="noStrike">
              <a:solidFill>
                <a:srgbClr val="FF0000"/>
              </a:solidFill>
              <a:effectLst/>
              <a:latin typeface="+mn-lt"/>
              <a:ea typeface="+mn-ea"/>
              <a:cs typeface="+mn-cs"/>
            </a:rPr>
            <a:t>Huom!</a:t>
          </a:r>
          <a:r>
            <a:rPr lang="fi-FI">
              <a:solidFill>
                <a:srgbClr val="FF0000"/>
              </a:solidFill>
            </a:rPr>
            <a:t> </a:t>
          </a:r>
        </a:p>
        <a:p>
          <a:r>
            <a:rPr lang="fi-FI" sz="1100" b="0" i="0" u="none" strike="noStrike">
              <a:solidFill>
                <a:srgbClr val="FF0000"/>
              </a:solidFill>
              <a:effectLst/>
              <a:latin typeface="+mn-lt"/>
              <a:ea typeface="+mn-ea"/>
              <a:cs typeface="+mn-cs"/>
            </a:rPr>
            <a:t>Laskuri ei sisällä lukiokoulutukseen valmistavaa koulutusta sekä 1.8.2022 lukien alkanutta lukiokoulutuksen järjestäjän </a:t>
          </a:r>
          <a:r>
            <a:rPr lang="fi-FI">
              <a:solidFill>
                <a:srgbClr val="FF0000"/>
              </a:solidFill>
            </a:rPr>
            <a:t> </a:t>
          </a:r>
          <a:r>
            <a:rPr lang="fi-FI" sz="1100" b="0" i="0" u="none" strike="noStrike">
              <a:solidFill>
                <a:srgbClr val="FF0000"/>
              </a:solidFill>
              <a:effectLst/>
              <a:latin typeface="+mn-lt"/>
              <a:ea typeface="+mn-ea"/>
              <a:cs typeface="+mn-cs"/>
            </a:rPr>
            <a:t>tutkintokoulutukseen valmentavaa koulutusta (TUVA), jonka opiskelijakohtaisen valtionosuuden voi laskea kertomalla </a:t>
          </a:r>
          <a:r>
            <a:rPr lang="fi-FI">
              <a:solidFill>
                <a:srgbClr val="FF0000"/>
              </a:solidFill>
            </a:rPr>
            <a:t> </a:t>
          </a:r>
          <a:r>
            <a:rPr lang="fi-FI" sz="1100" b="0" i="0" u="none" strike="noStrike">
              <a:solidFill>
                <a:srgbClr val="FF0000"/>
              </a:solidFill>
              <a:effectLst/>
              <a:latin typeface="+mn-lt"/>
              <a:ea typeface="+mn-ea"/>
              <a:cs typeface="+mn-cs"/>
            </a:rPr>
            <a:t>lukiokoulutuksen keskimääräisen yksikköhinnan kertoimella 1,17.</a:t>
          </a:r>
          <a:r>
            <a:rPr lang="fi-FI">
              <a:solidFill>
                <a:srgbClr val="FF0000"/>
              </a:solidFill>
            </a:rPr>
            <a:t> </a:t>
          </a:r>
          <a:endParaRPr lang="fi-FI" sz="1100">
            <a:solidFill>
              <a:srgbClr val="FF0000"/>
            </a:solidFill>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4</xdr:col>
      <xdr:colOff>123824</xdr:colOff>
      <xdr:row>0</xdr:row>
      <xdr:rowOff>238125</xdr:rowOff>
    </xdr:from>
    <xdr:to>
      <xdr:col>18</xdr:col>
      <xdr:colOff>428625</xdr:colOff>
      <xdr:row>32</xdr:row>
      <xdr:rowOff>152399</xdr:rowOff>
    </xdr:to>
    <xdr:graphicFrame macro="">
      <xdr:nvGraphicFramePr>
        <xdr:cNvPr id="2" name="Kaavio 1">
          <a:extLst>
            <a:ext uri="{FF2B5EF4-FFF2-40B4-BE49-F238E27FC236}">
              <a16:creationId xmlns:a16="http://schemas.microsoft.com/office/drawing/2014/main" id="{90382D2C-A0C1-4BFA-9DCB-D0BB79F483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114300</xdr:colOff>
      <xdr:row>100</xdr:row>
      <xdr:rowOff>9524</xdr:rowOff>
    </xdr:from>
    <xdr:to>
      <xdr:col>18</xdr:col>
      <xdr:colOff>533400</xdr:colOff>
      <xdr:row>127</xdr:row>
      <xdr:rowOff>95250</xdr:rowOff>
    </xdr:to>
    <xdr:graphicFrame macro="">
      <xdr:nvGraphicFramePr>
        <xdr:cNvPr id="3" name="Kaavio 2">
          <a:extLst>
            <a:ext uri="{FF2B5EF4-FFF2-40B4-BE49-F238E27FC236}">
              <a16:creationId xmlns:a16="http://schemas.microsoft.com/office/drawing/2014/main" id="{4CD8582D-B567-2D21-688B-FE054587997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123824</xdr:colOff>
      <xdr:row>36</xdr:row>
      <xdr:rowOff>142876</xdr:rowOff>
    </xdr:from>
    <xdr:to>
      <xdr:col>18</xdr:col>
      <xdr:colOff>552449</xdr:colOff>
      <xdr:row>64</xdr:row>
      <xdr:rowOff>142875</xdr:rowOff>
    </xdr:to>
    <xdr:graphicFrame macro="">
      <xdr:nvGraphicFramePr>
        <xdr:cNvPr id="6" name="Kaavio 5">
          <a:extLst>
            <a:ext uri="{FF2B5EF4-FFF2-40B4-BE49-F238E27FC236}">
              <a16:creationId xmlns:a16="http://schemas.microsoft.com/office/drawing/2014/main" id="{02A312CD-4C1A-8247-F782-1E1D14D4C4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47</xdr:row>
      <xdr:rowOff>104773</xdr:rowOff>
    </xdr:from>
    <xdr:to>
      <xdr:col>3</xdr:col>
      <xdr:colOff>57149</xdr:colOff>
      <xdr:row>68</xdr:row>
      <xdr:rowOff>22028</xdr:rowOff>
    </xdr:to>
    <xdr:pic>
      <xdr:nvPicPr>
        <xdr:cNvPr id="8" name="Kuva 7">
          <a:extLst>
            <a:ext uri="{FF2B5EF4-FFF2-40B4-BE49-F238E27FC236}">
              <a16:creationId xmlns:a16="http://schemas.microsoft.com/office/drawing/2014/main" id="{F78A774C-628A-3105-230C-6FCCF0F648F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7629523"/>
          <a:ext cx="5705474" cy="31176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114300</xdr:colOff>
      <xdr:row>72</xdr:row>
      <xdr:rowOff>28575</xdr:rowOff>
    </xdr:from>
    <xdr:to>
      <xdr:col>18</xdr:col>
      <xdr:colOff>514349</xdr:colOff>
      <xdr:row>95</xdr:row>
      <xdr:rowOff>66675</xdr:rowOff>
    </xdr:to>
    <xdr:graphicFrame macro="">
      <xdr:nvGraphicFramePr>
        <xdr:cNvPr id="10" name="Kaavio 9">
          <a:extLst>
            <a:ext uri="{FF2B5EF4-FFF2-40B4-BE49-F238E27FC236}">
              <a16:creationId xmlns:a16="http://schemas.microsoft.com/office/drawing/2014/main" id="{575CFBB6-5804-DDA4-359A-AC921729EC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Riikonen Olli" id="{DA9662EB-ECFB-458D-858F-A29FED532ED6}" userId="S::Olli.Riikonen@kuntaliitto.fi::cdc422a3-70a4-48f5-9102-df52d22bc0a2" providerId="AD"/>
</personList>
</file>

<file path=xl/theme/theme1.xml><?xml version="1.0" encoding="utf-8"?>
<a:theme xmlns:a="http://schemas.openxmlformats.org/drawingml/2006/main" name="Office Theme">
  <a:themeElements>
    <a:clrScheme name="Kuntaliitto 2020">
      <a:dk1>
        <a:srgbClr val="000000"/>
      </a:dk1>
      <a:lt1>
        <a:sysClr val="window" lastClr="FFFFFF"/>
      </a:lt1>
      <a:dk2>
        <a:srgbClr val="73899D"/>
      </a:dk2>
      <a:lt2>
        <a:srgbClr val="DFDAD6"/>
      </a:lt2>
      <a:accent1>
        <a:srgbClr val="104264"/>
      </a:accent1>
      <a:accent2>
        <a:srgbClr val="FFC0D0"/>
      </a:accent2>
      <a:accent3>
        <a:srgbClr val="923468"/>
      </a:accent3>
      <a:accent4>
        <a:srgbClr val="255DD0"/>
      </a:accent4>
      <a:accent5>
        <a:srgbClr val="FFE561"/>
      </a:accent5>
      <a:accent6>
        <a:srgbClr val="7DC6F0"/>
      </a:accent6>
      <a:hlink>
        <a:srgbClr val="104264"/>
      </a:hlink>
      <a:folHlink>
        <a:srgbClr val="104264"/>
      </a:folHlink>
    </a:clrScheme>
    <a:fontScheme name="Kuntaliitto 2020">
      <a:majorFont>
        <a:latin typeface="Work Sans ExtraBold"/>
        <a:ea typeface=""/>
        <a:cs typeface=""/>
      </a:majorFont>
      <a:minorFont>
        <a:latin typeface="Work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no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Q18" dT="2025-06-24T05:57:26.11" personId="{DA9662EB-ECFB-458D-858F-A29FED532ED6}" id="{75D7B57C-713D-4498-9CBC-554B4B66F2D6}">
    <text>Manner-Suomen valtiolta saama osuus laskennallisista kustannuksista omarahoitusosuuden jälkeen. Kuntakohtaisesti vos-% vaihtelee (ks. alla)</text>
  </threadedComment>
  <threadedComment ref="J20" dT="2025-06-24T05:55:47.47" personId="{DA9662EB-ECFB-458D-858F-A29FED532ED6}" id="{87D49E98-EBC0-4845-BB27-8EC9F98AC282}">
    <text>Omarahoitusosuus on kaikilla kunnilla asukasta kohti samansuuruinen.</text>
  </threadedComment>
  <threadedComment ref="Q21" dT="2025-06-24T05:55:03.19" personId="{DA9662EB-ECFB-458D-858F-A29FED532ED6}" id="{F8797C3D-6A9E-4D8D-8636-6F9B2CF29557}">
    <text>Valtionosuusprosentti on valtion rahoitusosuus kunnan laskennallisista kustannuksista kunnan omarahoitusosuuden jälkeen.</text>
  </threadedComment>
  <threadedComment ref="L40" dT="2022-10-04T12:26:01.95" personId="{DA9662EB-ECFB-458D-858F-A29FED532ED6}" id="{C50DA2A9-8E13-4D7B-9321-F662BDE6085E}">
    <text>Jos et täytä tietoja välilehdille 8 ja 9, laskuri näyttää vain kunnan omarahoitusosuuden ammatilliseen ja lukiokoulutukseen (miinusta) ja suoraan asukaslukuun perustuvan liikuntatoimen rahoituksen (plussaa).</text>
  </threadedComment>
  <threadedComment ref="J42" dT="2025-06-24T06:00:49.17" personId="{DA9662EB-ECFB-458D-858F-A29FED532ED6}" id="{24436D85-D1B1-4C92-BF8C-10369904B33F}">
    <text>Kaikki kunnat osallistuvat lukiokoulutuksen rahoitukseen omarahoitusosuudella, joka vähennetään kunnalle maksettavasta OKM-vos:sta.</text>
  </threadedComment>
  <threadedComment ref="J43" dT="2025-06-24T06:01:10.52" personId="{DA9662EB-ECFB-458D-858F-A29FED532ED6}" id="{FB3736CD-7EF8-4B72-86B5-13D750548E53}">
    <text xml:space="preserve">Kaikki kunnat osallistuvat ammatillisen koulutuksen rahoitukseen omarahoitusosuudella, joka vähennetään kunnalle maksettavasta OKM-vos:sta.
</text>
  </threadedComment>
</ThreadedComments>
</file>

<file path=xl/threadedComments/threadedComment2.xml><?xml version="1.0" encoding="utf-8"?>
<ThreadedComments xmlns="http://schemas.microsoft.com/office/spreadsheetml/2018/threadedcomments" xmlns:x="http://schemas.openxmlformats.org/spreadsheetml/2006/main">
  <threadedComment ref="C42" dT="2025-06-11T12:41:58.00" personId="{DA9662EB-ECFB-458D-858F-A29FED532ED6}" id="{6CF5CFBB-2FF2-470B-A92E-0E836FF7CD15}">
    <text>Tässä tarkoitetaan pidennetyn oppivelvollisuuden piirissä olevien esiopetuksen oppilaita, jotka täyttävät viisi vuotta esiopetuksen alkamisvuonna.</text>
  </threadedComment>
</ThreadedComments>
</file>

<file path=xl/threadedComments/threadedComment3.xml><?xml version="1.0" encoding="utf-8"?>
<ThreadedComments xmlns="http://schemas.microsoft.com/office/spreadsheetml/2018/threadedcomments" xmlns:x="http://schemas.openxmlformats.org/spreadsheetml/2006/main">
  <threadedComment ref="K18" dT="2025-09-04T12:58:55.03" personId="{DA9662EB-ECFB-458D-858F-A29FED532ED6}" id="{7C6EF866-FD6D-4957-A9B5-0E9C63FE5362}">
    <text xml:space="preserve">Ks. Syrjäisyys välilehdeltä 5. Lisäosat. Jos kunta saa syrjäisyyden perusteella lisäosaa, valitse kyllä. </text>
  </threadedComment>
</ThreadedComments>
</file>

<file path=xl/threadedComments/threadedComment4.xml><?xml version="1.0" encoding="utf-8"?>
<ThreadedComments xmlns="http://schemas.microsoft.com/office/spreadsheetml/2018/threadedcomments" xmlns:x="http://schemas.openxmlformats.org/spreadsheetml/2006/main">
  <threadedComment ref="BG1" dT="2023-04-19T07:45:36.29" personId="{DA9662EB-ECFB-458D-858F-A29FED532ED6}" id="{1DBED096-E9E3-44DF-83DC-D9874D03A3C8}">
    <text>Veroperustemuutoksista johtuvien veromenetysten korvaus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10.bin"/><Relationship Id="rId4" Type="http://schemas.microsoft.com/office/2017/10/relationships/threadedComment" Target="../threadedComments/threadedComment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s://vm.fi/valtionosuuslaskelmia"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microsoft.com/office/2017/10/relationships/threadedComment" Target="../threadedComments/threadedComment2.xml"/><Relationship Id="rId3" Type="http://schemas.openxmlformats.org/officeDocument/2006/relationships/hyperlink" Target="https://www.oph.fi/fi/koulutus-ja-tutkinnot/pidennetty-oppivelvollisuus" TargetMode="External"/><Relationship Id="rId7" Type="http://schemas.openxmlformats.org/officeDocument/2006/relationships/comments" Target="../comments2.xml"/><Relationship Id="rId2" Type="http://schemas.openxmlformats.org/officeDocument/2006/relationships/hyperlink" Target="https://www.oph.fi/fi/tilastot-ja-julkaisut/julkaisut/opetus-ja-kulttuuritoimen-rahoitus-yksikkohintojen-ja-rahoituksen-9" TargetMode="External"/><Relationship Id="rId1" Type="http://schemas.openxmlformats.org/officeDocument/2006/relationships/hyperlink" Target="https://vos.oph.fi/rap/vos/v25/vop6os25.html"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hyperlink" Target="https://www.kuntaliitto.fi/blogi/2025/lukiokoulutuksen-rahoitusjarjestelma-muuttuu" TargetMode="External"/><Relationship Id="rId6" Type="http://schemas.microsoft.com/office/2017/10/relationships/threadedComment" Target="../threadedComments/threadedComment3.xml"/><Relationship Id="rId5" Type="http://schemas.openxmlformats.org/officeDocument/2006/relationships/comments" Target="../comments3.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0233B-2869-4B96-BB18-277356C3D588}">
  <sheetPr>
    <pageSetUpPr fitToPage="1"/>
  </sheetPr>
  <dimension ref="B4:J24"/>
  <sheetViews>
    <sheetView workbookViewId="0">
      <selection activeCell="E10" sqref="E10"/>
    </sheetView>
  </sheetViews>
  <sheetFormatPr defaultColWidth="9.140625" defaultRowHeight="12" x14ac:dyDescent="0.2"/>
  <cols>
    <col min="1" max="3" width="10.28515625" style="1" customWidth="1"/>
    <col min="4" max="4" width="12.42578125" style="1" customWidth="1"/>
    <col min="5" max="5" width="44" style="1" customWidth="1"/>
    <col min="6" max="9" width="10.28515625" style="1" customWidth="1"/>
    <col min="10" max="10" width="11.28515625" style="1" customWidth="1"/>
    <col min="11" max="16384" width="9.140625" style="1"/>
  </cols>
  <sheetData>
    <row r="4" spans="2:10" ht="15" x14ac:dyDescent="0.25">
      <c r="B4" s="4" t="s">
        <v>641</v>
      </c>
      <c r="D4"/>
      <c r="E4" s="309" t="s">
        <v>642</v>
      </c>
    </row>
    <row r="5" spans="2:10" ht="15" x14ac:dyDescent="0.25">
      <c r="B5" s="4" t="s">
        <v>646</v>
      </c>
      <c r="D5"/>
      <c r="E5" s="309" t="s">
        <v>647</v>
      </c>
    </row>
    <row r="6" spans="2:10" ht="15" x14ac:dyDescent="0.25">
      <c r="B6" s="4" t="s">
        <v>643</v>
      </c>
      <c r="D6"/>
      <c r="E6" s="309" t="s">
        <v>644</v>
      </c>
    </row>
    <row r="7" spans="2:10" ht="15" x14ac:dyDescent="0.25">
      <c r="B7" s="4" t="s">
        <v>645</v>
      </c>
      <c r="D7"/>
      <c r="E7" s="309" t="s">
        <v>650</v>
      </c>
    </row>
    <row r="8" spans="2:10" ht="15" x14ac:dyDescent="0.25">
      <c r="B8" s="4" t="s">
        <v>649</v>
      </c>
      <c r="D8"/>
      <c r="E8" s="310">
        <v>45993</v>
      </c>
    </row>
    <row r="9" spans="2:10" ht="15" x14ac:dyDescent="0.2">
      <c r="B9" s="4" t="s">
        <v>6</v>
      </c>
    </row>
    <row r="10" spans="2:10" ht="21" thickBot="1" x14ac:dyDescent="0.35">
      <c r="B10" s="5" t="s">
        <v>5</v>
      </c>
      <c r="C10" s="3"/>
      <c r="D10" s="3"/>
      <c r="E10" s="3"/>
      <c r="F10" s="3"/>
      <c r="G10" s="3"/>
      <c r="H10" s="3"/>
      <c r="I10" s="3"/>
      <c r="J10" s="3"/>
    </row>
    <row r="12" spans="2:10" ht="15" x14ac:dyDescent="0.25">
      <c r="D12" s="2" t="s">
        <v>1</v>
      </c>
    </row>
    <row r="13" spans="2:10" x14ac:dyDescent="0.2">
      <c r="D13" t="s">
        <v>2</v>
      </c>
    </row>
    <row r="15" spans="2:10" ht="15" x14ac:dyDescent="0.25">
      <c r="D15" s="2" t="s">
        <v>3</v>
      </c>
    </row>
    <row r="16" spans="2:10" x14ac:dyDescent="0.2">
      <c r="D16" t="s">
        <v>4</v>
      </c>
    </row>
    <row r="17" spans="4:4" x14ac:dyDescent="0.2">
      <c r="D17" t="s">
        <v>0</v>
      </c>
    </row>
    <row r="23" spans="4:4" ht="15" x14ac:dyDescent="0.25">
      <c r="D23" s="2"/>
    </row>
    <row r="24" spans="4:4" x14ac:dyDescent="0.2">
      <c r="D24"/>
    </row>
  </sheetData>
  <printOptions horizontalCentered="1"/>
  <pageMargins left="0.39370078740157483" right="0.39370078740157483" top="1.5748031496062993" bottom="0.78740157480314965" header="0.39370078740157483" footer="0.39370078740157483"/>
  <pageSetup paperSize="9" scale="91" orientation="portrait" r:id="rId1"/>
  <headerFooter scaleWithDoc="0">
    <oddHeader>&amp;L&amp;G</oddHeader>
    <oddFooter>&amp;L&amp;8&amp;K06+000&amp;P/&amp;N | &amp;D &amp;T | &amp;Z&amp;F&amp;R&amp;8&amp;K06+000&amp;G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655B3-45F7-4A39-A7E7-12519DEBC3CA}">
  <sheetPr>
    <tabColor rgb="FFC00000"/>
  </sheetPr>
  <dimension ref="A1:D141"/>
  <sheetViews>
    <sheetView zoomScaleNormal="100" workbookViewId="0">
      <selection activeCell="A46" sqref="A46"/>
    </sheetView>
  </sheetViews>
  <sheetFormatPr defaultRowHeight="12" x14ac:dyDescent="0.2"/>
  <cols>
    <col min="1" max="1" width="52.7109375" bestFit="1" customWidth="1"/>
    <col min="2" max="2" width="15.140625" customWidth="1"/>
    <col min="3" max="3" width="16.85546875" bestFit="1" customWidth="1"/>
  </cols>
  <sheetData>
    <row r="1" spans="1:4" ht="26.25" x14ac:dyDescent="0.4">
      <c r="A1" s="368" t="s">
        <v>682</v>
      </c>
      <c r="D1" s="36"/>
    </row>
    <row r="2" spans="1:4" ht="15" x14ac:dyDescent="0.25">
      <c r="A2" s="309" t="s">
        <v>680</v>
      </c>
      <c r="D2" s="36"/>
    </row>
    <row r="3" spans="1:4" ht="15" x14ac:dyDescent="0.25">
      <c r="A3" s="309" t="s">
        <v>681</v>
      </c>
      <c r="D3" s="36"/>
    </row>
    <row r="4" spans="1:4" ht="12.75" x14ac:dyDescent="0.2">
      <c r="D4" s="36"/>
    </row>
    <row r="5" spans="1:4" ht="12.75" x14ac:dyDescent="0.2">
      <c r="D5" s="36"/>
    </row>
    <row r="6" spans="1:4" ht="12.75" x14ac:dyDescent="0.2">
      <c r="D6" s="36"/>
    </row>
    <row r="7" spans="1:4" ht="12.75" x14ac:dyDescent="0.2">
      <c r="D7" s="36"/>
    </row>
    <row r="8" spans="1:4" ht="18.75" x14ac:dyDescent="0.4">
      <c r="A8" s="369" t="s">
        <v>695</v>
      </c>
      <c r="D8" s="36"/>
    </row>
    <row r="9" spans="1:4" ht="12.75" x14ac:dyDescent="0.2">
      <c r="D9" s="36"/>
    </row>
    <row r="10" spans="1:4" ht="15" x14ac:dyDescent="0.25">
      <c r="A10" s="60"/>
      <c r="B10" s="60" t="str">
        <f>'2.Yhteenveto'!G10</f>
        <v>Akaa</v>
      </c>
      <c r="C10" s="60" t="s">
        <v>679</v>
      </c>
      <c r="D10" s="36"/>
    </row>
    <row r="11" spans="1:4" ht="15" x14ac:dyDescent="0.25">
      <c r="A11" s="50" t="s">
        <v>675</v>
      </c>
      <c r="B11" s="342">
        <f>SUM(B12:B19)</f>
        <v>404.57048533579086</v>
      </c>
      <c r="C11" s="342">
        <f>SUM(C12:C19)</f>
        <v>752</v>
      </c>
    </row>
    <row r="12" spans="1:4" ht="15" x14ac:dyDescent="0.25">
      <c r="A12" s="357" t="str">
        <f>'2.Yhteenveto'!D21</f>
        <v xml:space="preserve">Valtionosuus laskennallisista kustannuksista </v>
      </c>
      <c r="B12" s="358">
        <f>'2.Yhteenveto'!M21</f>
        <v>389.70076510923673</v>
      </c>
      <c r="C12" s="358">
        <v>536</v>
      </c>
    </row>
    <row r="13" spans="1:4" ht="15" x14ac:dyDescent="0.25">
      <c r="A13" s="355" t="str">
        <f>'2.Yhteenveto'!D23</f>
        <v>Lisäosat</v>
      </c>
      <c r="B13" s="356">
        <f>'2.Yhteenveto'!M23</f>
        <v>28.688790977321791</v>
      </c>
      <c r="C13" s="356">
        <v>56</v>
      </c>
    </row>
    <row r="14" spans="1:4" ht="15" x14ac:dyDescent="0.25">
      <c r="A14" s="353" t="s">
        <v>676</v>
      </c>
      <c r="B14" s="354">
        <f>'2.Yhteenveto'!M27</f>
        <v>-169.95895113483093</v>
      </c>
      <c r="C14" s="354">
        <v>0</v>
      </c>
    </row>
    <row r="15" spans="1:4" ht="15" x14ac:dyDescent="0.25">
      <c r="A15" s="352" t="s">
        <v>677</v>
      </c>
      <c r="B15" s="351">
        <f>'2.Yhteenveto'!M28</f>
        <v>-117.67457090303361</v>
      </c>
      <c r="C15" s="351">
        <v>0</v>
      </c>
    </row>
    <row r="16" spans="1:4" ht="15" x14ac:dyDescent="0.25">
      <c r="A16" s="348" t="s">
        <v>678</v>
      </c>
      <c r="B16" s="347">
        <f>'2.Yhteenveto'!M25-'2.Yhteenveto'!M27-'2.Yhteenveto'!M28</f>
        <v>-72.298758439452143</v>
      </c>
      <c r="C16" s="347">
        <v>-106</v>
      </c>
    </row>
    <row r="17" spans="1:3" ht="15" x14ac:dyDescent="0.25">
      <c r="A17" s="349" t="str">
        <f>'2.Yhteenveto'!D34</f>
        <v>Verotuloihin perustuva valtionosuuden tasaus</v>
      </c>
      <c r="B17" s="350">
        <f>'2.Yhteenveto'!M34</f>
        <v>411.75620271644334</v>
      </c>
      <c r="C17" s="350">
        <v>140</v>
      </c>
    </row>
    <row r="18" spans="1:3" ht="15" x14ac:dyDescent="0.25">
      <c r="A18" s="346" t="s">
        <v>674</v>
      </c>
      <c r="B18" s="345">
        <f>'2.Yhteenveto'!M49</f>
        <v>70.968223218075451</v>
      </c>
      <c r="C18" s="345">
        <v>94</v>
      </c>
    </row>
    <row r="19" spans="1:3" ht="15" x14ac:dyDescent="0.25">
      <c r="A19" s="343" t="s">
        <v>673</v>
      </c>
      <c r="B19" s="344">
        <f>'2.Yhteenveto'!M38</f>
        <v>-136.61121620796973</v>
      </c>
      <c r="C19" s="344">
        <v>32</v>
      </c>
    </row>
    <row r="20" spans="1:3" ht="15" x14ac:dyDescent="0.25">
      <c r="A20" s="326"/>
      <c r="B20" s="326"/>
      <c r="C20" s="326"/>
    </row>
    <row r="21" spans="1:3" ht="15" x14ac:dyDescent="0.25">
      <c r="A21" s="36" t="s">
        <v>683</v>
      </c>
      <c r="B21" s="326"/>
      <c r="C21" s="326"/>
    </row>
    <row r="22" spans="1:3" ht="15" x14ac:dyDescent="0.25">
      <c r="A22" s="36" t="s">
        <v>684</v>
      </c>
      <c r="B22" s="326"/>
      <c r="C22" s="326"/>
    </row>
    <row r="38" spans="1:3" ht="18.75" x14ac:dyDescent="0.4">
      <c r="A38" s="369" t="s">
        <v>696</v>
      </c>
    </row>
    <row r="40" spans="1:3" ht="15" x14ac:dyDescent="0.25">
      <c r="A40" s="60"/>
      <c r="B40" s="326" t="str">
        <f>'2.Yhteenveto'!G10</f>
        <v>Akaa</v>
      </c>
      <c r="C40" s="326" t="s">
        <v>679</v>
      </c>
    </row>
    <row r="41" spans="1:3" ht="15" x14ac:dyDescent="0.25">
      <c r="A41" s="50" t="s">
        <v>675</v>
      </c>
      <c r="B41" s="341">
        <f>SUM(B42:B47)</f>
        <v>404.57048533579086</v>
      </c>
      <c r="C41" s="341">
        <f>SUM(C42:C47)</f>
        <v>752</v>
      </c>
    </row>
    <row r="42" spans="1:3" ht="15" x14ac:dyDescent="0.25">
      <c r="A42" s="357" t="s">
        <v>691</v>
      </c>
      <c r="B42" s="359">
        <f>B12+B13+B19</f>
        <v>281.77833987858878</v>
      </c>
      <c r="C42" s="359">
        <f>C12+C13+C19</f>
        <v>624</v>
      </c>
    </row>
    <row r="43" spans="1:3" ht="15" x14ac:dyDescent="0.25">
      <c r="A43" s="349" t="s">
        <v>690</v>
      </c>
      <c r="B43" s="360">
        <f>B17</f>
        <v>411.75620271644334</v>
      </c>
      <c r="C43" s="360">
        <f>C17</f>
        <v>140</v>
      </c>
    </row>
    <row r="44" spans="1:3" ht="15" x14ac:dyDescent="0.25">
      <c r="A44" s="353" t="s">
        <v>700</v>
      </c>
      <c r="B44" s="361">
        <f>B14+B15</f>
        <v>-287.63352203786451</v>
      </c>
      <c r="C44" s="361">
        <f>C14+C15</f>
        <v>0</v>
      </c>
    </row>
    <row r="45" spans="1:3" ht="15" x14ac:dyDescent="0.25">
      <c r="A45" s="362" t="s">
        <v>694</v>
      </c>
      <c r="B45" s="367">
        <f>'6.Vähennykset ja lisäykset'!I20</f>
        <v>-56.098806004759865</v>
      </c>
      <c r="C45" s="367">
        <v>-64</v>
      </c>
    </row>
    <row r="46" spans="1:3" ht="15" x14ac:dyDescent="0.25">
      <c r="A46" s="363" t="s">
        <v>692</v>
      </c>
      <c r="B46" s="364">
        <f>B16-B45</f>
        <v>-16.199952434692278</v>
      </c>
      <c r="C46" s="364">
        <f>C16-C45</f>
        <v>-42</v>
      </c>
    </row>
    <row r="47" spans="1:3" ht="15" x14ac:dyDescent="0.25">
      <c r="A47" s="365" t="s">
        <v>693</v>
      </c>
      <c r="B47" s="366">
        <f>B18</f>
        <v>70.968223218075451</v>
      </c>
      <c r="C47" s="366">
        <f>C18</f>
        <v>94</v>
      </c>
    </row>
    <row r="72" spans="1:3" ht="18.75" x14ac:dyDescent="0.4">
      <c r="A72" s="369" t="s">
        <v>697</v>
      </c>
    </row>
    <row r="73" spans="1:3" ht="15" x14ac:dyDescent="0.25">
      <c r="B73" s="326" t="str">
        <f>'2.Yhteenveto'!G10</f>
        <v>Akaa</v>
      </c>
      <c r="C73" s="326" t="s">
        <v>679</v>
      </c>
    </row>
    <row r="74" spans="1:3" ht="15" x14ac:dyDescent="0.25">
      <c r="A74" s="50" t="s">
        <v>675</v>
      </c>
      <c r="B74" s="341">
        <f>SUM(B75:B77)</f>
        <v>404.57048533579086</v>
      </c>
      <c r="C74" s="341">
        <f>SUM(C75:C77)</f>
        <v>752</v>
      </c>
    </row>
    <row r="75" spans="1:3" ht="15" x14ac:dyDescent="0.25">
      <c r="A75" s="357" t="s">
        <v>691</v>
      </c>
      <c r="B75" s="333">
        <f>B42</f>
        <v>281.77833987858878</v>
      </c>
      <c r="C75" s="333">
        <f>C42</f>
        <v>624</v>
      </c>
    </row>
    <row r="76" spans="1:3" ht="15" x14ac:dyDescent="0.25">
      <c r="A76" s="349" t="s">
        <v>690</v>
      </c>
      <c r="B76" s="333">
        <f>B43</f>
        <v>411.75620271644334</v>
      </c>
      <c r="C76" s="333">
        <f>C43</f>
        <v>140</v>
      </c>
    </row>
    <row r="77" spans="1:3" ht="15" x14ac:dyDescent="0.25">
      <c r="A77" s="353" t="s">
        <v>698</v>
      </c>
      <c r="B77" s="333">
        <f>SUM(B44:B47)</f>
        <v>-288.96405725924126</v>
      </c>
      <c r="C77" s="333">
        <f>SUM(C44:C47)</f>
        <v>-12</v>
      </c>
    </row>
    <row r="100" spans="1:3" ht="15" x14ac:dyDescent="0.25">
      <c r="B100" s="326"/>
      <c r="C100" s="326"/>
    </row>
    <row r="101" spans="1:3" ht="18.75" x14ac:dyDescent="0.4">
      <c r="A101" s="369" t="s">
        <v>699</v>
      </c>
    </row>
    <row r="102" spans="1:3" ht="15" x14ac:dyDescent="0.25">
      <c r="A102" s="326"/>
      <c r="B102" s="60" t="str">
        <f>'2.Yhteenveto'!G10</f>
        <v>Akaa</v>
      </c>
      <c r="C102" s="326" t="s">
        <v>679</v>
      </c>
    </row>
    <row r="103" spans="1:3" ht="15" x14ac:dyDescent="0.25">
      <c r="A103" s="326"/>
      <c r="B103" s="60"/>
      <c r="C103" s="326"/>
    </row>
    <row r="104" spans="1:3" ht="15" x14ac:dyDescent="0.25">
      <c r="A104" s="326" t="s">
        <v>685</v>
      </c>
      <c r="B104" s="327">
        <f>'2.Yhteenveto'!M36+'2.Yhteenveto'!M49</f>
        <v>541.1817015437606</v>
      </c>
      <c r="C104" s="326">
        <v>720</v>
      </c>
    </row>
    <row r="105" spans="1:3" ht="15" x14ac:dyDescent="0.25">
      <c r="A105" s="326" t="s">
        <v>673</v>
      </c>
      <c r="B105" s="327">
        <f>'2.Yhteenveto'!M38</f>
        <v>-136.61121620796973</v>
      </c>
      <c r="C105" s="326">
        <v>32</v>
      </c>
    </row>
    <row r="106" spans="1:3" ht="15" x14ac:dyDescent="0.25">
      <c r="A106" s="328" t="s">
        <v>675</v>
      </c>
      <c r="B106" s="341">
        <f>SUM(B104:B105)</f>
        <v>404.57048533579086</v>
      </c>
      <c r="C106" s="328">
        <f>SUM(C104:C105)</f>
        <v>752</v>
      </c>
    </row>
    <row r="116" spans="1:3" ht="15" x14ac:dyDescent="0.25">
      <c r="A116" s="36"/>
      <c r="B116" s="326"/>
      <c r="C116" s="326"/>
    </row>
    <row r="117" spans="1:3" ht="15" x14ac:dyDescent="0.25">
      <c r="A117" s="36"/>
      <c r="B117" s="326"/>
      <c r="C117" s="326"/>
    </row>
    <row r="140" spans="1:3" ht="15" x14ac:dyDescent="0.25">
      <c r="A140" s="326"/>
      <c r="B140" s="326"/>
      <c r="C140" s="326"/>
    </row>
    <row r="141" spans="1:3" ht="15" x14ac:dyDescent="0.25">
      <c r="A141" s="326"/>
      <c r="B141" s="326"/>
      <c r="C141" s="326"/>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CD0D0-7FAF-4388-B373-4F51F89B0C17}">
  <dimension ref="A1:BK295"/>
  <sheetViews>
    <sheetView zoomScale="110" zoomScaleNormal="110" workbookViewId="0">
      <pane xSplit="3" ySplit="1" topLeftCell="D2" activePane="bottomRight" state="frozen"/>
      <selection activeCell="B10" sqref="B10"/>
      <selection pane="topRight" activeCell="B10" sqref="B10"/>
      <selection pane="bottomLeft" activeCell="B10" sqref="B10"/>
      <selection pane="bottomRight" activeCell="R2" sqref="R2:R293"/>
    </sheetView>
  </sheetViews>
  <sheetFormatPr defaultColWidth="6" defaultRowHeight="12" x14ac:dyDescent="0.2"/>
  <cols>
    <col min="1" max="1" width="6.42578125" style="11" customWidth="1"/>
    <col min="2" max="2" width="13.42578125" style="11" bestFit="1" customWidth="1"/>
    <col min="3" max="3" width="11.140625" style="11" bestFit="1" customWidth="1"/>
    <col min="4" max="4" width="8.7109375" style="11" bestFit="1" customWidth="1"/>
    <col min="5" max="5" width="7.28515625" style="11" bestFit="1" customWidth="1"/>
    <col min="6" max="6" width="9.5703125" style="11" bestFit="1" customWidth="1"/>
    <col min="7" max="7" width="8.7109375" style="11" bestFit="1" customWidth="1"/>
    <col min="8" max="8" width="8.140625" style="11" bestFit="1" customWidth="1"/>
    <col min="9" max="9" width="9.85546875" style="11" bestFit="1" customWidth="1"/>
    <col min="11" max="12" width="7.7109375" style="11" bestFit="1" customWidth="1"/>
    <col min="13" max="13" width="10.5703125" style="11" customWidth="1"/>
    <col min="14" max="16" width="7.7109375" style="11" bestFit="1" customWidth="1"/>
    <col min="17" max="17" width="8.28515625" style="11" bestFit="1" customWidth="1"/>
    <col min="18" max="18" width="8.28515625" style="11" customWidth="1"/>
    <col min="19" max="21" width="8.42578125" style="11" bestFit="1" customWidth="1"/>
    <col min="22" max="22" width="4.42578125" style="11" customWidth="1"/>
    <col min="23" max="23" width="10.7109375" style="11" bestFit="1" customWidth="1"/>
    <col min="24" max="25" width="8.28515625" style="11" bestFit="1" customWidth="1"/>
    <col min="26" max="26" width="7.7109375" style="11" customWidth="1"/>
    <col min="27" max="27" width="10.7109375" style="11" bestFit="1" customWidth="1"/>
    <col min="28" max="29" width="7.85546875" style="11" bestFit="1" customWidth="1"/>
    <col min="30" max="30" width="5" style="11" customWidth="1"/>
    <col min="31" max="31" width="10.5703125" style="11" bestFit="1" customWidth="1"/>
    <col min="32" max="32" width="10.5703125" style="11" hidden="1" customWidth="1"/>
    <col min="33" max="33" width="9.7109375" style="11" bestFit="1" customWidth="1"/>
    <col min="34" max="34" width="9.28515625" style="11" bestFit="1" customWidth="1"/>
    <col min="35" max="35" width="10.5703125" style="11" bestFit="1" customWidth="1"/>
    <col min="36" max="37" width="10" style="11" hidden="1" customWidth="1"/>
    <col min="38" max="38" width="10.7109375" style="11" hidden="1" customWidth="1"/>
    <col min="39" max="41" width="11.42578125" style="11" hidden="1" customWidth="1"/>
    <col min="42" max="45" width="11.28515625" style="11" hidden="1" customWidth="1"/>
    <col min="46" max="46" width="8.42578125" style="30" hidden="1" customWidth="1"/>
    <col min="47" max="47" width="11.42578125" style="11" hidden="1" customWidth="1"/>
    <col min="48" max="49" width="11.42578125" style="30" hidden="1" customWidth="1"/>
    <col min="50" max="50" width="11.28515625" style="30" hidden="1" customWidth="1"/>
    <col min="51" max="53" width="11.28515625" style="11" hidden="1" customWidth="1"/>
    <col min="54" max="54" width="11.85546875" style="11" bestFit="1" customWidth="1"/>
    <col min="55" max="55" width="12.42578125" style="11" bestFit="1" customWidth="1"/>
    <col min="56" max="56" width="15.7109375" style="11" customWidth="1"/>
    <col min="57" max="57" width="16" style="11" bestFit="1" customWidth="1"/>
    <col min="58" max="58" width="5.42578125" style="11" customWidth="1"/>
    <col min="59" max="59" width="11.28515625" style="11" customWidth="1"/>
    <col min="60" max="60" width="10.7109375" style="11" customWidth="1"/>
    <col min="61" max="62" width="9.85546875" style="11" customWidth="1"/>
    <col min="63" max="63" width="13.140625" style="11" customWidth="1"/>
    <col min="64" max="16384" width="6" style="11"/>
  </cols>
  <sheetData>
    <row r="1" spans="1:63" s="26" customFormat="1" ht="33.75" x14ac:dyDescent="0.2">
      <c r="A1" s="26" t="s">
        <v>246</v>
      </c>
      <c r="B1" s="26" t="s">
        <v>247</v>
      </c>
      <c r="C1" s="26" t="s">
        <v>248</v>
      </c>
      <c r="D1" s="26" t="s">
        <v>249</v>
      </c>
      <c r="E1" s="26" t="s">
        <v>250</v>
      </c>
      <c r="F1" s="26" t="s">
        <v>251</v>
      </c>
      <c r="G1" s="26" t="s">
        <v>252</v>
      </c>
      <c r="H1" s="26" t="s">
        <v>253</v>
      </c>
      <c r="I1" s="26" t="s">
        <v>254</v>
      </c>
      <c r="K1" s="26" t="s">
        <v>585</v>
      </c>
      <c r="L1" s="26" t="s">
        <v>586</v>
      </c>
      <c r="M1" s="26" t="s">
        <v>582</v>
      </c>
      <c r="N1" s="26" t="s">
        <v>587</v>
      </c>
      <c r="O1" s="26" t="s">
        <v>588</v>
      </c>
      <c r="P1" s="26" t="s">
        <v>589</v>
      </c>
      <c r="Q1" s="26" t="s">
        <v>590</v>
      </c>
      <c r="R1" s="26" t="s">
        <v>591</v>
      </c>
      <c r="S1" s="26" t="s">
        <v>592</v>
      </c>
      <c r="T1" s="26" t="s">
        <v>593</v>
      </c>
      <c r="U1" s="26" t="s">
        <v>594</v>
      </c>
      <c r="V1" s="329"/>
      <c r="W1" s="26" t="s">
        <v>609</v>
      </c>
      <c r="X1" s="26" t="s">
        <v>610</v>
      </c>
      <c r="Y1" s="26" t="s">
        <v>611</v>
      </c>
      <c r="Z1" s="26" t="s">
        <v>612</v>
      </c>
      <c r="AA1" s="26" t="s">
        <v>613</v>
      </c>
      <c r="AB1" s="26" t="s">
        <v>614</v>
      </c>
      <c r="AC1" s="26" t="s">
        <v>615</v>
      </c>
      <c r="AE1" s="26" t="s">
        <v>595</v>
      </c>
      <c r="AF1" s="27" t="s">
        <v>255</v>
      </c>
      <c r="AG1" s="26" t="s">
        <v>256</v>
      </c>
      <c r="AH1" s="26" t="s">
        <v>616</v>
      </c>
      <c r="AI1" s="26" t="s">
        <v>596</v>
      </c>
      <c r="AJ1" s="26" t="s">
        <v>257</v>
      </c>
      <c r="AK1" s="26" t="s">
        <v>258</v>
      </c>
      <c r="AL1" s="26" t="s">
        <v>259</v>
      </c>
      <c r="AM1" s="26" t="s">
        <v>260</v>
      </c>
      <c r="AN1" s="26" t="s">
        <v>261</v>
      </c>
      <c r="AO1" s="26" t="s">
        <v>262</v>
      </c>
      <c r="AP1" s="26" t="s">
        <v>263</v>
      </c>
      <c r="AQ1" s="26" t="s">
        <v>264</v>
      </c>
      <c r="AR1" s="26" t="s">
        <v>265</v>
      </c>
      <c r="AS1" s="26" t="s">
        <v>266</v>
      </c>
      <c r="AT1" s="26" t="s">
        <v>267</v>
      </c>
      <c r="AU1" s="26" t="s">
        <v>268</v>
      </c>
      <c r="AV1" s="26" t="s">
        <v>269</v>
      </c>
      <c r="AW1" s="26" t="s">
        <v>270</v>
      </c>
      <c r="AX1" s="26" t="s">
        <v>271</v>
      </c>
      <c r="AY1" s="26" t="s">
        <v>272</v>
      </c>
      <c r="AZ1" s="26" t="s">
        <v>273</v>
      </c>
      <c r="BA1" s="26" t="s">
        <v>274</v>
      </c>
      <c r="BB1" s="26" t="s">
        <v>597</v>
      </c>
      <c r="BC1" s="26" t="s">
        <v>598</v>
      </c>
      <c r="BD1" s="26" t="s">
        <v>599</v>
      </c>
      <c r="BE1" s="26" t="s">
        <v>600</v>
      </c>
      <c r="BG1" s="26" t="s">
        <v>619</v>
      </c>
      <c r="BH1" s="26" t="s">
        <v>620</v>
      </c>
      <c r="BI1" s="26" t="s">
        <v>608</v>
      </c>
      <c r="BJ1" s="26" t="s">
        <v>631</v>
      </c>
      <c r="BK1" s="26" t="s">
        <v>618</v>
      </c>
    </row>
    <row r="2" spans="1:63" ht="14.25" x14ac:dyDescent="0.2">
      <c r="A2" s="14">
        <v>20</v>
      </c>
      <c r="B2" s="14" t="s">
        <v>281</v>
      </c>
      <c r="C2" s="14">
        <v>16387</v>
      </c>
      <c r="D2" s="14">
        <v>794</v>
      </c>
      <c r="E2" s="14">
        <v>122</v>
      </c>
      <c r="F2" s="14">
        <v>1101</v>
      </c>
      <c r="G2" s="14">
        <v>661</v>
      </c>
      <c r="H2" s="14">
        <v>13709</v>
      </c>
      <c r="I2" s="14">
        <v>9049</v>
      </c>
      <c r="K2" s="29">
        <v>731.08333333333337</v>
      </c>
      <c r="L2" s="29">
        <v>7617</v>
      </c>
      <c r="M2" s="14">
        <v>1058.3333333333335</v>
      </c>
      <c r="N2" s="11">
        <v>518</v>
      </c>
      <c r="O2" s="11">
        <v>0</v>
      </c>
      <c r="P2" s="11">
        <v>27</v>
      </c>
      <c r="Q2" s="11">
        <v>0</v>
      </c>
      <c r="R2" s="11">
        <v>0</v>
      </c>
      <c r="S2" s="11">
        <v>293.29000000000002</v>
      </c>
      <c r="T2" s="14">
        <v>615</v>
      </c>
      <c r="U2" s="14">
        <v>5285</v>
      </c>
      <c r="V2" s="330"/>
      <c r="W2" s="11">
        <v>0</v>
      </c>
      <c r="X2" s="64">
        <v>4451</v>
      </c>
      <c r="Y2" s="64">
        <v>6856</v>
      </c>
      <c r="Z2" s="331">
        <v>0.94740045480515234</v>
      </c>
      <c r="AA2" s="31">
        <v>0</v>
      </c>
      <c r="AB2" s="11">
        <v>0</v>
      </c>
      <c r="AC2" s="11">
        <v>0</v>
      </c>
      <c r="AE2" s="32">
        <v>-919291.13399999996</v>
      </c>
      <c r="AF2" s="65">
        <v>-314871.11</v>
      </c>
      <c r="AG2" s="13">
        <v>1028469.863971878</v>
      </c>
      <c r="AH2" s="13">
        <v>-164605.34527675566</v>
      </c>
      <c r="AI2" s="13">
        <v>-40580.859242424951</v>
      </c>
      <c r="AJ2" s="13">
        <v>1334279</v>
      </c>
      <c r="AK2" s="13">
        <v>410543</v>
      </c>
      <c r="AL2" s="13">
        <v>897394.9424826249</v>
      </c>
      <c r="AM2" s="13">
        <v>27428.68789498369</v>
      </c>
      <c r="AN2" s="13">
        <v>125948.33979683967</v>
      </c>
      <c r="AO2" s="13">
        <v>413526.2233831386</v>
      </c>
      <c r="AP2" s="13">
        <v>833777.01560758299</v>
      </c>
      <c r="AQ2" s="13">
        <v>1346679.5531167898</v>
      </c>
      <c r="AR2" s="13">
        <v>355892.24723762769</v>
      </c>
      <c r="AS2" s="13">
        <v>697081.55747567234</v>
      </c>
      <c r="AT2" s="34"/>
      <c r="AU2" s="13"/>
      <c r="AV2" s="34"/>
      <c r="AW2" s="34"/>
      <c r="AX2" s="34"/>
      <c r="AY2" s="13">
        <v>881263.90259031765</v>
      </c>
      <c r="AZ2" s="13">
        <v>552531.84865490615</v>
      </c>
      <c r="BA2" s="13">
        <v>530525.10292458325</v>
      </c>
      <c r="BB2" s="32">
        <v>-2785117.3322464745</v>
      </c>
      <c r="BC2" s="33">
        <v>-1928333.1933880118</v>
      </c>
      <c r="BD2" s="33">
        <v>-488332.60000000003</v>
      </c>
      <c r="BE2" s="33">
        <v>-187139.54</v>
      </c>
      <c r="BF2" s="14"/>
      <c r="BG2" s="14">
        <v>1162956.2738746025</v>
      </c>
      <c r="BH2" s="33">
        <v>6747448.8939143568</v>
      </c>
      <c r="BI2" s="13">
        <v>-2238648</v>
      </c>
      <c r="BJ2" s="13">
        <v>4502</v>
      </c>
      <c r="BK2" s="33">
        <v>-358561.91249999998</v>
      </c>
    </row>
    <row r="3" spans="1:63" ht="14.25" x14ac:dyDescent="0.2">
      <c r="A3" s="14">
        <v>5</v>
      </c>
      <c r="B3" s="14" t="s">
        <v>275</v>
      </c>
      <c r="C3" s="14">
        <v>9078</v>
      </c>
      <c r="D3" s="14">
        <v>439</v>
      </c>
      <c r="E3" s="14">
        <v>90</v>
      </c>
      <c r="F3" s="14">
        <v>647</v>
      </c>
      <c r="G3" s="14">
        <v>383</v>
      </c>
      <c r="H3" s="14">
        <v>7519</v>
      </c>
      <c r="I3" s="14">
        <v>4385</v>
      </c>
      <c r="K3" s="29">
        <v>244.66666666666666</v>
      </c>
      <c r="L3" s="29">
        <v>3655</v>
      </c>
      <c r="M3" s="14">
        <v>383</v>
      </c>
      <c r="N3" s="11">
        <v>452</v>
      </c>
      <c r="O3" s="11">
        <v>0</v>
      </c>
      <c r="P3" s="11">
        <v>12</v>
      </c>
      <c r="Q3" s="11">
        <v>0</v>
      </c>
      <c r="R3" s="11">
        <v>0</v>
      </c>
      <c r="S3" s="11">
        <v>1008.81</v>
      </c>
      <c r="T3" s="14">
        <v>278</v>
      </c>
      <c r="U3" s="14">
        <v>2242</v>
      </c>
      <c r="V3" s="330"/>
      <c r="W3" s="11">
        <v>0.6011333333333333</v>
      </c>
      <c r="X3" s="64">
        <v>3296</v>
      </c>
      <c r="Y3" s="64">
        <v>3305</v>
      </c>
      <c r="Z3" s="331">
        <v>0.86308096801325074</v>
      </c>
      <c r="AA3" s="31">
        <v>0</v>
      </c>
      <c r="AB3" s="11">
        <v>0</v>
      </c>
      <c r="AC3" s="11">
        <v>0</v>
      </c>
      <c r="AE3" s="32">
        <v>-319408.51384999999</v>
      </c>
      <c r="AF3" s="65">
        <v>-180938.99000000002</v>
      </c>
      <c r="AG3" s="13">
        <v>316760.57052561705</v>
      </c>
      <c r="AH3" s="13">
        <v>-233593.00259449641</v>
      </c>
      <c r="AI3" s="13">
        <v>32888.374576269183</v>
      </c>
      <c r="AJ3" s="13">
        <v>982443</v>
      </c>
      <c r="AK3" s="13">
        <v>316760</v>
      </c>
      <c r="AL3" s="13">
        <v>854672.97116156155</v>
      </c>
      <c r="AM3" s="13">
        <v>45846.997350827412</v>
      </c>
      <c r="AN3" s="13">
        <v>104017.12567895393</v>
      </c>
      <c r="AO3" s="13">
        <v>405909.55986633711</v>
      </c>
      <c r="AP3" s="13">
        <v>595879.92461751495</v>
      </c>
      <c r="AQ3" s="13">
        <v>855777.19931543048</v>
      </c>
      <c r="AR3" s="13">
        <v>259567.6986035869</v>
      </c>
      <c r="AS3" s="13">
        <v>482826.74172792077</v>
      </c>
      <c r="AT3" s="34"/>
      <c r="AU3" s="13"/>
      <c r="AV3" s="34"/>
      <c r="AW3" s="34"/>
      <c r="AX3" s="34"/>
      <c r="AY3" s="13">
        <v>672045.29585116694</v>
      </c>
      <c r="AZ3" s="13">
        <v>355929.39023934794</v>
      </c>
      <c r="BA3" s="13">
        <v>347445.00546323962</v>
      </c>
      <c r="BB3" s="32">
        <v>1109106.1207811574</v>
      </c>
      <c r="BC3" s="33">
        <v>-38813.889167024558</v>
      </c>
      <c r="BD3" s="33">
        <v>-270524.40000000002</v>
      </c>
      <c r="BE3" s="33">
        <v>-103670.76</v>
      </c>
      <c r="BF3" s="14"/>
      <c r="BG3" s="14">
        <v>1382011.2664716397</v>
      </c>
      <c r="BH3" s="33">
        <v>5075761.2754726885</v>
      </c>
      <c r="BI3" s="13">
        <v>1462383</v>
      </c>
      <c r="BJ3" s="13">
        <v>2621</v>
      </c>
      <c r="BK3" s="33">
        <v>2713021.3</v>
      </c>
    </row>
    <row r="4" spans="1:63" ht="14.25" x14ac:dyDescent="0.2">
      <c r="A4" s="14">
        <v>9</v>
      </c>
      <c r="B4" s="14" t="s">
        <v>276</v>
      </c>
      <c r="C4" s="14">
        <v>2410</v>
      </c>
      <c r="D4" s="14">
        <v>139</v>
      </c>
      <c r="E4" s="14">
        <v>35</v>
      </c>
      <c r="F4" s="14">
        <v>195</v>
      </c>
      <c r="G4" s="14">
        <v>106</v>
      </c>
      <c r="H4" s="14">
        <v>1935</v>
      </c>
      <c r="I4" s="14">
        <v>1211</v>
      </c>
      <c r="K4" s="29">
        <v>96.083333333333329</v>
      </c>
      <c r="L4" s="29">
        <v>1056</v>
      </c>
      <c r="M4" s="14">
        <v>120.58333333333333</v>
      </c>
      <c r="N4" s="11">
        <v>49</v>
      </c>
      <c r="O4" s="11">
        <v>0</v>
      </c>
      <c r="P4" s="11">
        <v>4</v>
      </c>
      <c r="Q4" s="11">
        <v>0</v>
      </c>
      <c r="R4" s="11">
        <v>0</v>
      </c>
      <c r="S4" s="11">
        <v>251.56</v>
      </c>
      <c r="T4" s="14">
        <v>85</v>
      </c>
      <c r="U4" s="14">
        <v>631</v>
      </c>
      <c r="V4" s="330"/>
      <c r="W4" s="11">
        <v>2.8199999999999999E-2</v>
      </c>
      <c r="X4" s="64">
        <v>678</v>
      </c>
      <c r="Y4" s="64">
        <v>917</v>
      </c>
      <c r="Z4" s="331">
        <v>1.139439937900705</v>
      </c>
      <c r="AA4" s="31">
        <v>0</v>
      </c>
      <c r="AB4" s="11">
        <v>0</v>
      </c>
      <c r="AC4" s="11">
        <v>0</v>
      </c>
      <c r="AE4" s="32">
        <v>-71174.633449999994</v>
      </c>
      <c r="AF4" s="65">
        <v>-48351.57</v>
      </c>
      <c r="AG4" s="13">
        <v>76029.623449555904</v>
      </c>
      <c r="AH4" s="13">
        <v>-83077.981717197588</v>
      </c>
      <c r="AI4" s="13">
        <v>-5442.9456036894844</v>
      </c>
      <c r="AJ4" s="13">
        <v>269616</v>
      </c>
      <c r="AK4" s="13">
        <v>76861</v>
      </c>
      <c r="AL4" s="13">
        <v>208942.05469652946</v>
      </c>
      <c r="AM4" s="13">
        <v>11331.876123504489</v>
      </c>
      <c r="AN4" s="13">
        <v>20677.758179640379</v>
      </c>
      <c r="AO4" s="13">
        <v>98339.24119116721</v>
      </c>
      <c r="AP4" s="13">
        <v>155628.8025438553</v>
      </c>
      <c r="AQ4" s="13">
        <v>249305.43506665138</v>
      </c>
      <c r="AR4" s="13">
        <v>62436.342574807924</v>
      </c>
      <c r="AS4" s="13">
        <v>126039.71635671791</v>
      </c>
      <c r="AT4" s="34"/>
      <c r="AU4" s="13"/>
      <c r="AV4" s="34"/>
      <c r="AW4" s="34"/>
      <c r="AX4" s="34"/>
      <c r="AY4" s="13">
        <v>175698.08871728778</v>
      </c>
      <c r="AZ4" s="13">
        <v>100722.98439812243</v>
      </c>
      <c r="BA4" s="13">
        <v>90861.784267180352</v>
      </c>
      <c r="BB4" s="32">
        <v>507818.30530274403</v>
      </c>
      <c r="BC4" s="33">
        <v>-10342.762364337263</v>
      </c>
      <c r="BD4" s="33">
        <v>-71818</v>
      </c>
      <c r="BE4" s="33">
        <v>-27522.2</v>
      </c>
      <c r="BF4" s="14"/>
      <c r="BG4" s="14">
        <v>355245.50470907486</v>
      </c>
      <c r="BH4" s="33">
        <v>1776046.9893770614</v>
      </c>
      <c r="BI4" s="13">
        <v>-481937</v>
      </c>
      <c r="BJ4" s="13">
        <v>779</v>
      </c>
      <c r="BK4" s="33">
        <v>113072</v>
      </c>
    </row>
    <row r="5" spans="1:63" ht="14.25" x14ac:dyDescent="0.2">
      <c r="A5" s="14">
        <v>10</v>
      </c>
      <c r="B5" s="14" t="s">
        <v>277</v>
      </c>
      <c r="C5" s="14">
        <v>10780</v>
      </c>
      <c r="D5" s="14">
        <v>539</v>
      </c>
      <c r="E5" s="14">
        <v>100</v>
      </c>
      <c r="F5" s="14">
        <v>763</v>
      </c>
      <c r="G5" s="14">
        <v>393</v>
      </c>
      <c r="H5" s="14">
        <v>8985</v>
      </c>
      <c r="I5" s="14">
        <v>5392</v>
      </c>
      <c r="K5" s="29">
        <v>423.41666666666669</v>
      </c>
      <c r="L5" s="29">
        <v>4518</v>
      </c>
      <c r="M5" s="14">
        <v>618.25</v>
      </c>
      <c r="N5" s="11">
        <v>295</v>
      </c>
      <c r="O5" s="11">
        <v>0</v>
      </c>
      <c r="P5" s="11">
        <v>10</v>
      </c>
      <c r="Q5" s="11">
        <v>0</v>
      </c>
      <c r="R5" s="11">
        <v>0</v>
      </c>
      <c r="S5" s="11">
        <v>1087.18</v>
      </c>
      <c r="T5" s="14">
        <v>386</v>
      </c>
      <c r="U5" s="14">
        <v>2823</v>
      </c>
      <c r="V5" s="330"/>
      <c r="W5" s="11">
        <v>0.54486666666666661</v>
      </c>
      <c r="X5" s="64">
        <v>3833</v>
      </c>
      <c r="Y5" s="64">
        <v>4031</v>
      </c>
      <c r="Z5" s="331">
        <v>0.94007333011685712</v>
      </c>
      <c r="AA5" s="31">
        <v>0</v>
      </c>
      <c r="AB5" s="11">
        <v>0</v>
      </c>
      <c r="AC5" s="11">
        <v>1</v>
      </c>
      <c r="AE5" s="32">
        <v>-368426.34285000002</v>
      </c>
      <c r="AF5" s="65">
        <v>-217687.72</v>
      </c>
      <c r="AG5" s="13">
        <v>534209.61680744821</v>
      </c>
      <c r="AH5" s="13">
        <v>-225583.68430923708</v>
      </c>
      <c r="AI5" s="13">
        <v>23398.096593638154</v>
      </c>
      <c r="AJ5" s="13">
        <v>1196258</v>
      </c>
      <c r="AK5" s="13">
        <v>389828</v>
      </c>
      <c r="AL5" s="13">
        <v>994223.94052324235</v>
      </c>
      <c r="AM5" s="13">
        <v>46805.493257466267</v>
      </c>
      <c r="AN5" s="13">
        <v>102562.06916084253</v>
      </c>
      <c r="AO5" s="13">
        <v>466334.08575838123</v>
      </c>
      <c r="AP5" s="13">
        <v>749068.49356819619</v>
      </c>
      <c r="AQ5" s="13">
        <v>1066515.1689976272</v>
      </c>
      <c r="AR5" s="13">
        <v>322351.75372613425</v>
      </c>
      <c r="AS5" s="13">
        <v>594111.29516849422</v>
      </c>
      <c r="AT5" s="34"/>
      <c r="AU5" s="13"/>
      <c r="AV5" s="34"/>
      <c r="AW5" s="34"/>
      <c r="AX5" s="34"/>
      <c r="AY5" s="13">
        <v>803688.23112984188</v>
      </c>
      <c r="AZ5" s="13">
        <v>455921.26399358484</v>
      </c>
      <c r="BA5" s="13">
        <v>449334.63492346107</v>
      </c>
      <c r="BB5" s="32">
        <v>-338822.04824569105</v>
      </c>
      <c r="BC5" s="33">
        <v>-728458.86502881115</v>
      </c>
      <c r="BD5" s="33">
        <v>-321244</v>
      </c>
      <c r="BE5" s="33">
        <v>-123107.6</v>
      </c>
      <c r="BF5" s="14"/>
      <c r="BG5" s="14">
        <v>1633562.6234139749</v>
      </c>
      <c r="BH5" s="33">
        <v>6775281.5115100024</v>
      </c>
      <c r="BI5" s="13">
        <v>-279731</v>
      </c>
      <c r="BJ5" s="13">
        <v>3049</v>
      </c>
      <c r="BK5" s="33">
        <v>8922.0874999999942</v>
      </c>
    </row>
    <row r="6" spans="1:63" ht="14.25" x14ac:dyDescent="0.2">
      <c r="A6" s="14">
        <v>16</v>
      </c>
      <c r="B6" s="14" t="s">
        <v>278</v>
      </c>
      <c r="C6" s="14">
        <v>7889</v>
      </c>
      <c r="D6" s="14">
        <v>302</v>
      </c>
      <c r="E6" s="14">
        <v>68</v>
      </c>
      <c r="F6" s="14">
        <v>439</v>
      </c>
      <c r="G6" s="14">
        <v>259</v>
      </c>
      <c r="H6" s="14">
        <v>6821</v>
      </c>
      <c r="I6" s="14">
        <v>3803</v>
      </c>
      <c r="K6" s="29">
        <v>323.75</v>
      </c>
      <c r="L6" s="29">
        <v>3227</v>
      </c>
      <c r="M6" s="14">
        <v>456.25</v>
      </c>
      <c r="N6" s="11">
        <v>278</v>
      </c>
      <c r="O6" s="11">
        <v>0</v>
      </c>
      <c r="P6" s="11">
        <v>13</v>
      </c>
      <c r="Q6" s="11">
        <v>3</v>
      </c>
      <c r="R6" s="11">
        <v>456</v>
      </c>
      <c r="S6" s="11">
        <v>563.45000000000005</v>
      </c>
      <c r="T6" s="14">
        <v>317</v>
      </c>
      <c r="U6" s="14">
        <v>2088</v>
      </c>
      <c r="V6" s="330"/>
      <c r="W6" s="11">
        <v>0</v>
      </c>
      <c r="X6" s="64">
        <v>2108</v>
      </c>
      <c r="Y6" s="64">
        <v>2816</v>
      </c>
      <c r="Z6" s="331">
        <v>0.99380130283781487</v>
      </c>
      <c r="AA6" s="31">
        <v>0</v>
      </c>
      <c r="AB6" s="11">
        <v>0</v>
      </c>
      <c r="AC6" s="11">
        <v>2</v>
      </c>
      <c r="AE6" s="32">
        <v>-279735.76209999999</v>
      </c>
      <c r="AF6" s="65">
        <v>-154813.39000000001</v>
      </c>
      <c r="AG6" s="13">
        <v>294529.82823765307</v>
      </c>
      <c r="AH6" s="13">
        <v>-158224.22267413556</v>
      </c>
      <c r="AI6" s="13">
        <v>30928.017550760735</v>
      </c>
      <c r="AJ6" s="13">
        <v>734044</v>
      </c>
      <c r="AK6" s="13">
        <v>234966</v>
      </c>
      <c r="AL6" s="13">
        <v>499428.03132371634</v>
      </c>
      <c r="AM6" s="13">
        <v>23164.14885330807</v>
      </c>
      <c r="AN6" s="13">
        <v>5375.0268597214126</v>
      </c>
      <c r="AO6" s="13">
        <v>239081.0739268699</v>
      </c>
      <c r="AP6" s="13">
        <v>418755.6805136163</v>
      </c>
      <c r="AQ6" s="13">
        <v>701338.61270651082</v>
      </c>
      <c r="AR6" s="13">
        <v>207166.79425464023</v>
      </c>
      <c r="AS6" s="13">
        <v>358437.56081256393</v>
      </c>
      <c r="AT6" s="34"/>
      <c r="AU6" s="13"/>
      <c r="AV6" s="34"/>
      <c r="AW6" s="34"/>
      <c r="AX6" s="34"/>
      <c r="AY6" s="13">
        <v>467110.22599580581</v>
      </c>
      <c r="AZ6" s="13">
        <v>270454.40685041237</v>
      </c>
      <c r="BA6" s="13">
        <v>267259.18032797187</v>
      </c>
      <c r="BB6" s="32">
        <v>2193579.711165017</v>
      </c>
      <c r="BC6" s="33">
        <v>1721533.769598346</v>
      </c>
      <c r="BD6" s="33">
        <v>-235092.2</v>
      </c>
      <c r="BE6" s="33">
        <v>-90092.38</v>
      </c>
      <c r="BF6" s="14"/>
      <c r="BG6" s="14">
        <v>968145.91211826808</v>
      </c>
      <c r="BH6" s="33">
        <v>2433034.970495244</v>
      </c>
      <c r="BI6" s="13">
        <v>-522264</v>
      </c>
      <c r="BJ6" s="13">
        <v>1786</v>
      </c>
      <c r="BK6" s="33">
        <v>483347.46500000008</v>
      </c>
    </row>
    <row r="7" spans="1:63" ht="14.25" x14ac:dyDescent="0.2">
      <c r="A7" s="14">
        <v>18</v>
      </c>
      <c r="B7" s="14" t="s">
        <v>279</v>
      </c>
      <c r="C7" s="14">
        <v>4651</v>
      </c>
      <c r="D7" s="14">
        <v>215</v>
      </c>
      <c r="E7" s="14">
        <v>47</v>
      </c>
      <c r="F7" s="14">
        <v>364</v>
      </c>
      <c r="G7" s="14">
        <v>219</v>
      </c>
      <c r="H7" s="14">
        <v>3806</v>
      </c>
      <c r="I7" s="14">
        <v>2609</v>
      </c>
      <c r="K7" s="29">
        <v>165.25</v>
      </c>
      <c r="L7" s="29">
        <v>2381</v>
      </c>
      <c r="M7" s="14">
        <v>209.33333333333334</v>
      </c>
      <c r="N7" s="11">
        <v>174</v>
      </c>
      <c r="O7" s="11">
        <v>0</v>
      </c>
      <c r="P7" s="11">
        <v>172</v>
      </c>
      <c r="Q7" s="11">
        <v>0</v>
      </c>
      <c r="R7" s="11">
        <v>0</v>
      </c>
      <c r="S7" s="11">
        <v>212.45</v>
      </c>
      <c r="T7" s="14">
        <v>200</v>
      </c>
      <c r="U7" s="14">
        <v>1487</v>
      </c>
      <c r="V7" s="330"/>
      <c r="W7" s="11">
        <v>0</v>
      </c>
      <c r="X7" s="64">
        <v>1273</v>
      </c>
      <c r="Y7" s="64">
        <v>2195</v>
      </c>
      <c r="Z7" s="331">
        <v>0.90305145549462151</v>
      </c>
      <c r="AA7" s="31">
        <v>0</v>
      </c>
      <c r="AB7" s="11">
        <v>0</v>
      </c>
      <c r="AC7" s="11">
        <v>0</v>
      </c>
      <c r="AE7" s="32">
        <v>-101394.96</v>
      </c>
      <c r="AF7" s="65">
        <v>-93706.38</v>
      </c>
      <c r="AG7" s="13">
        <v>135236.42157126064</v>
      </c>
      <c r="AH7" s="13">
        <v>-61206.811983116706</v>
      </c>
      <c r="AI7" s="13">
        <v>-23598.999107327763</v>
      </c>
      <c r="AJ7" s="13">
        <v>390010</v>
      </c>
      <c r="AK7" s="13">
        <v>130963</v>
      </c>
      <c r="AL7" s="13">
        <v>277568.86861187575</v>
      </c>
      <c r="AM7" s="13">
        <v>5685.5331348501413</v>
      </c>
      <c r="AN7" s="13">
        <v>18260.159979551037</v>
      </c>
      <c r="AO7" s="13">
        <v>78444.940512162895</v>
      </c>
      <c r="AP7" s="13">
        <v>268579.92814660154</v>
      </c>
      <c r="AQ7" s="13">
        <v>394468.01675735629</v>
      </c>
      <c r="AR7" s="13">
        <v>106452.60858936342</v>
      </c>
      <c r="AS7" s="13">
        <v>194995.58547290025</v>
      </c>
      <c r="AT7" s="34"/>
      <c r="AU7" s="13"/>
      <c r="AV7" s="34"/>
      <c r="AW7" s="34"/>
      <c r="AX7" s="34"/>
      <c r="AY7" s="13">
        <v>257965.48290369249</v>
      </c>
      <c r="AZ7" s="13">
        <v>159699.93272014483</v>
      </c>
      <c r="BA7" s="13">
        <v>164960.4218772765</v>
      </c>
      <c r="BB7" s="32">
        <v>-455651.56277451664</v>
      </c>
      <c r="BC7" s="33">
        <v>-156698.89640664784</v>
      </c>
      <c r="BD7" s="33">
        <v>-138599.80000000002</v>
      </c>
      <c r="BE7" s="33">
        <v>-53114.42</v>
      </c>
      <c r="BF7" s="14"/>
      <c r="BG7" s="14">
        <v>426672.79875467665</v>
      </c>
      <c r="BH7" s="33">
        <v>996978.64647981327</v>
      </c>
      <c r="BI7" s="13">
        <v>22902</v>
      </c>
      <c r="BJ7" s="13">
        <v>1332</v>
      </c>
      <c r="BK7" s="33">
        <v>641595.26250000007</v>
      </c>
    </row>
    <row r="8" spans="1:63" ht="14.25" x14ac:dyDescent="0.2">
      <c r="A8" s="14">
        <v>19</v>
      </c>
      <c r="B8" s="14" t="s">
        <v>280</v>
      </c>
      <c r="C8" s="14">
        <v>3966</v>
      </c>
      <c r="D8" s="14">
        <v>250</v>
      </c>
      <c r="E8" s="14">
        <v>45</v>
      </c>
      <c r="F8" s="14">
        <v>292</v>
      </c>
      <c r="G8" s="14">
        <v>164</v>
      </c>
      <c r="H8" s="14">
        <v>3215</v>
      </c>
      <c r="I8" s="14">
        <v>2189</v>
      </c>
      <c r="K8" s="29">
        <v>130.25</v>
      </c>
      <c r="L8" s="29">
        <v>1908</v>
      </c>
      <c r="M8" s="14">
        <v>176.08333333333334</v>
      </c>
      <c r="N8" s="11">
        <v>113</v>
      </c>
      <c r="O8" s="11">
        <v>0</v>
      </c>
      <c r="P8" s="11">
        <v>20</v>
      </c>
      <c r="Q8" s="11">
        <v>0</v>
      </c>
      <c r="R8" s="11">
        <v>0</v>
      </c>
      <c r="S8" s="11">
        <v>95.01</v>
      </c>
      <c r="T8" s="14">
        <v>175</v>
      </c>
      <c r="U8" s="14">
        <v>1314</v>
      </c>
      <c r="V8" s="330"/>
      <c r="W8" s="11">
        <v>0</v>
      </c>
      <c r="X8" s="64">
        <v>1139</v>
      </c>
      <c r="Y8" s="64">
        <v>1789</v>
      </c>
      <c r="Z8" s="331">
        <v>0.93444022601260868</v>
      </c>
      <c r="AA8" s="31">
        <v>9.2730842203081476E-2</v>
      </c>
      <c r="AB8" s="11">
        <v>0</v>
      </c>
      <c r="AC8" s="11">
        <v>0</v>
      </c>
      <c r="AE8" s="32">
        <v>-109305.08500000001</v>
      </c>
      <c r="AF8" s="65">
        <v>-76052.39</v>
      </c>
      <c r="AG8" s="13">
        <v>77081.081784552516</v>
      </c>
      <c r="AH8" s="13">
        <v>-62150.073154826423</v>
      </c>
      <c r="AI8" s="13">
        <v>-11804.390771325197</v>
      </c>
      <c r="AJ8" s="13">
        <v>304849</v>
      </c>
      <c r="AK8" s="13">
        <v>99381</v>
      </c>
      <c r="AL8" s="13">
        <v>201671.6672826829</v>
      </c>
      <c r="AM8" s="13">
        <v>3174.9392171713553</v>
      </c>
      <c r="AN8" s="13">
        <v>16950.500800257825</v>
      </c>
      <c r="AO8" s="13">
        <v>78918.645847082007</v>
      </c>
      <c r="AP8" s="13">
        <v>205320.91818612782</v>
      </c>
      <c r="AQ8" s="13">
        <v>357272.23991055088</v>
      </c>
      <c r="AR8" s="13">
        <v>93136.486716833999</v>
      </c>
      <c r="AS8" s="13">
        <v>166118.60393671633</v>
      </c>
      <c r="AT8" s="34"/>
      <c r="AU8" s="13"/>
      <c r="AV8" s="34"/>
      <c r="AW8" s="34"/>
      <c r="AX8" s="34"/>
      <c r="AY8" s="13">
        <v>224982.56761189338</v>
      </c>
      <c r="AZ8" s="13">
        <v>141266.33328408713</v>
      </c>
      <c r="BA8" s="13">
        <v>142400.07218985789</v>
      </c>
      <c r="BB8" s="32">
        <v>-363181.43061748438</v>
      </c>
      <c r="BC8" s="33">
        <v>-403520.12650864484</v>
      </c>
      <c r="BD8" s="33">
        <v>-118186.8</v>
      </c>
      <c r="BE8" s="33">
        <v>-45291.72</v>
      </c>
      <c r="BF8" s="14"/>
      <c r="BG8" s="14">
        <v>306368.17111248913</v>
      </c>
      <c r="BH8" s="33">
        <v>1588957.8220861678</v>
      </c>
      <c r="BI8" s="13">
        <v>-987254</v>
      </c>
      <c r="BJ8" s="13">
        <v>1201</v>
      </c>
      <c r="BK8" s="33">
        <v>79592.087499999994</v>
      </c>
    </row>
    <row r="9" spans="1:63" ht="14.25" x14ac:dyDescent="0.2">
      <c r="A9" s="14">
        <v>46</v>
      </c>
      <c r="B9" s="14" t="s">
        <v>282</v>
      </c>
      <c r="C9" s="14">
        <v>1288</v>
      </c>
      <c r="D9" s="14">
        <v>53</v>
      </c>
      <c r="E9" s="14">
        <v>5</v>
      </c>
      <c r="F9" s="14">
        <v>67</v>
      </c>
      <c r="G9" s="14">
        <v>41</v>
      </c>
      <c r="H9" s="14">
        <v>1122</v>
      </c>
      <c r="I9" s="14">
        <v>589</v>
      </c>
      <c r="K9" s="29">
        <v>52.583333333333336</v>
      </c>
      <c r="L9" s="29">
        <v>516</v>
      </c>
      <c r="M9" s="14">
        <v>73.333333333333343</v>
      </c>
      <c r="N9" s="11">
        <v>45</v>
      </c>
      <c r="O9" s="11">
        <v>0</v>
      </c>
      <c r="P9" s="11">
        <v>2</v>
      </c>
      <c r="Q9" s="11">
        <v>1</v>
      </c>
      <c r="R9" s="11">
        <v>0</v>
      </c>
      <c r="S9" s="11">
        <v>305.58</v>
      </c>
      <c r="T9" s="14">
        <v>39</v>
      </c>
      <c r="U9" s="14">
        <v>301</v>
      </c>
      <c r="V9" s="330"/>
      <c r="W9" s="11">
        <v>1.2921</v>
      </c>
      <c r="X9" s="64">
        <v>362</v>
      </c>
      <c r="Y9" s="64">
        <v>436</v>
      </c>
      <c r="Z9" s="331">
        <v>0.67008405223520562</v>
      </c>
      <c r="AA9" s="31">
        <v>0</v>
      </c>
      <c r="AB9" s="11">
        <v>0</v>
      </c>
      <c r="AC9" s="11">
        <v>0</v>
      </c>
      <c r="AE9" s="32">
        <v>-35885.635000000002</v>
      </c>
      <c r="AF9" s="65">
        <v>-26298.49</v>
      </c>
      <c r="AG9" s="13">
        <v>39422.009864600623</v>
      </c>
      <c r="AH9" s="13">
        <v>-45151.711437389909</v>
      </c>
      <c r="AI9" s="13">
        <v>2636.0242183538794</v>
      </c>
      <c r="AJ9" s="13">
        <v>170795</v>
      </c>
      <c r="AK9" s="13">
        <v>51004</v>
      </c>
      <c r="AL9" s="13">
        <v>132057.32919923117</v>
      </c>
      <c r="AM9" s="13">
        <v>6623.6324419357716</v>
      </c>
      <c r="AN9" s="13">
        <v>5672.3970182429675</v>
      </c>
      <c r="AO9" s="13">
        <v>61209.447183882701</v>
      </c>
      <c r="AP9" s="13">
        <v>88357.190793127505</v>
      </c>
      <c r="AQ9" s="13">
        <v>132007.98019348277</v>
      </c>
      <c r="AR9" s="13">
        <v>36934.000312073003</v>
      </c>
      <c r="AS9" s="13">
        <v>69106.637919562403</v>
      </c>
      <c r="AT9" s="34"/>
      <c r="AU9" s="13"/>
      <c r="AV9" s="34"/>
      <c r="AW9" s="34"/>
      <c r="AX9" s="34"/>
      <c r="AY9" s="13">
        <v>99245.466101418511</v>
      </c>
      <c r="AZ9" s="13">
        <v>51260.450162341367</v>
      </c>
      <c r="BA9" s="13">
        <v>45809.394795116204</v>
      </c>
      <c r="BB9" s="32">
        <v>386486.75930091698</v>
      </c>
      <c r="BC9" s="33">
        <v>244613.23978327421</v>
      </c>
      <c r="BD9" s="33">
        <v>-38382.400000000001</v>
      </c>
      <c r="BE9" s="33">
        <v>-14708.96</v>
      </c>
      <c r="BF9" s="14"/>
      <c r="BG9" s="14">
        <v>239854.36112483978</v>
      </c>
      <c r="BH9" s="33">
        <v>532260.50319786405</v>
      </c>
      <c r="BI9" s="13">
        <v>-353510</v>
      </c>
      <c r="BJ9" s="13">
        <v>245</v>
      </c>
      <c r="BK9" s="33">
        <v>510944.10000000009</v>
      </c>
    </row>
    <row r="10" spans="1:63" ht="14.25" x14ac:dyDescent="0.2">
      <c r="A10" s="14">
        <v>47</v>
      </c>
      <c r="B10" s="14" t="s">
        <v>283</v>
      </c>
      <c r="C10" s="14">
        <v>1762</v>
      </c>
      <c r="D10" s="14">
        <v>60</v>
      </c>
      <c r="E10" s="14">
        <v>7</v>
      </c>
      <c r="F10" s="14">
        <v>85</v>
      </c>
      <c r="G10" s="14">
        <v>63</v>
      </c>
      <c r="H10" s="14">
        <v>1547</v>
      </c>
      <c r="I10" s="14">
        <v>956</v>
      </c>
      <c r="K10" s="29">
        <v>88.583333333333329</v>
      </c>
      <c r="L10" s="29">
        <v>883</v>
      </c>
      <c r="M10" s="14">
        <v>109.75</v>
      </c>
      <c r="N10" s="11">
        <v>66</v>
      </c>
      <c r="O10" s="11">
        <v>0</v>
      </c>
      <c r="P10" s="11">
        <v>20</v>
      </c>
      <c r="Q10" s="11">
        <v>0</v>
      </c>
      <c r="R10" s="11">
        <v>0</v>
      </c>
      <c r="S10" s="11">
        <v>7954.46</v>
      </c>
      <c r="T10" s="14">
        <v>68</v>
      </c>
      <c r="U10" s="14">
        <v>549</v>
      </c>
      <c r="V10" s="330"/>
      <c r="W10" s="11">
        <v>1.9494500000000001</v>
      </c>
      <c r="X10" s="64">
        <v>642</v>
      </c>
      <c r="Y10" s="64">
        <v>766</v>
      </c>
      <c r="Z10" s="331">
        <v>0.94760459512443529</v>
      </c>
      <c r="AA10" s="31">
        <v>0</v>
      </c>
      <c r="AB10" s="11">
        <v>1</v>
      </c>
      <c r="AC10" s="11">
        <v>183</v>
      </c>
      <c r="AE10" s="32">
        <v>-23854.27505</v>
      </c>
      <c r="AF10" s="65">
        <v>-34731.68</v>
      </c>
      <c r="AG10" s="13">
        <v>44772.299622023187</v>
      </c>
      <c r="AH10" s="13">
        <v>-68214.036983463666</v>
      </c>
      <c r="AI10" s="13">
        <v>9400.2260635144921</v>
      </c>
      <c r="AJ10" s="13">
        <v>173397</v>
      </c>
      <c r="AK10" s="13">
        <v>59946</v>
      </c>
      <c r="AL10" s="13">
        <v>172394.94870718927</v>
      </c>
      <c r="AM10" s="13">
        <v>9669.3629249829883</v>
      </c>
      <c r="AN10" s="13">
        <v>17796.731132926219</v>
      </c>
      <c r="AO10" s="13">
        <v>66470.258459410979</v>
      </c>
      <c r="AP10" s="13">
        <v>120347.25272450408</v>
      </c>
      <c r="AQ10" s="13">
        <v>149976.14331376436</v>
      </c>
      <c r="AR10" s="13">
        <v>66511.291980302587</v>
      </c>
      <c r="AS10" s="13">
        <v>106033.8413544209</v>
      </c>
      <c r="AT10" s="34"/>
      <c r="AU10" s="13"/>
      <c r="AV10" s="34"/>
      <c r="AW10" s="34"/>
      <c r="AX10" s="34"/>
      <c r="AY10" s="13">
        <v>134198.86573402371</v>
      </c>
      <c r="AZ10" s="13">
        <v>74342.400905223913</v>
      </c>
      <c r="BA10" s="13">
        <v>77409.016853123612</v>
      </c>
      <c r="BB10" s="32">
        <v>-127873.58371498143</v>
      </c>
      <c r="BC10" s="33">
        <v>513106.37581028906</v>
      </c>
      <c r="BD10" s="33">
        <v>-52507.6</v>
      </c>
      <c r="BE10" s="33">
        <v>-20122.04</v>
      </c>
      <c r="BF10" s="14"/>
      <c r="BG10" s="14">
        <v>278255.15477066359</v>
      </c>
      <c r="BH10" s="33">
        <v>415214.51225738524</v>
      </c>
      <c r="BI10" s="13">
        <v>-69577</v>
      </c>
      <c r="BJ10" s="13">
        <v>367</v>
      </c>
      <c r="BK10" s="33">
        <v>-68903.25</v>
      </c>
    </row>
    <row r="11" spans="1:63" ht="14.25" x14ac:dyDescent="0.2">
      <c r="A11" s="14">
        <v>49</v>
      </c>
      <c r="B11" s="14" t="s">
        <v>10</v>
      </c>
      <c r="C11" s="14">
        <v>320931</v>
      </c>
      <c r="D11" s="14">
        <v>20732</v>
      </c>
      <c r="E11" s="14">
        <v>3531</v>
      </c>
      <c r="F11" s="14">
        <v>23553</v>
      </c>
      <c r="G11" s="14">
        <v>12331</v>
      </c>
      <c r="H11" s="14">
        <v>260784</v>
      </c>
      <c r="I11" s="14">
        <v>204100</v>
      </c>
      <c r="K11" s="29">
        <v>15900.916666666666</v>
      </c>
      <c r="L11" s="29">
        <v>159621</v>
      </c>
      <c r="M11" s="14">
        <v>22208.416666666664</v>
      </c>
      <c r="N11" s="11">
        <v>80166</v>
      </c>
      <c r="O11" s="11">
        <v>1</v>
      </c>
      <c r="P11" s="11">
        <v>20246</v>
      </c>
      <c r="Q11" s="11">
        <v>3</v>
      </c>
      <c r="R11" s="11">
        <v>634</v>
      </c>
      <c r="S11" s="11">
        <v>312.88</v>
      </c>
      <c r="T11" s="14">
        <v>22585</v>
      </c>
      <c r="U11" s="14">
        <v>119936</v>
      </c>
      <c r="V11" s="330"/>
      <c r="W11" s="11">
        <v>0</v>
      </c>
      <c r="X11" s="64">
        <v>138103</v>
      </c>
      <c r="Y11" s="64">
        <v>149683</v>
      </c>
      <c r="Z11" s="331">
        <v>1.0252209229854659</v>
      </c>
      <c r="AA11" s="31">
        <v>2.6019957324882195</v>
      </c>
      <c r="AB11" s="11">
        <v>0</v>
      </c>
      <c r="AC11" s="11">
        <v>13</v>
      </c>
      <c r="AE11" s="32">
        <v>-26184153.306449998</v>
      </c>
      <c r="AF11" s="65">
        <v>-5624611.1600000001</v>
      </c>
      <c r="AG11" s="13">
        <v>9001638.3093743287</v>
      </c>
      <c r="AH11" s="13">
        <v>-9518834.9921381902</v>
      </c>
      <c r="AI11" s="13">
        <v>-474591.98216966167</v>
      </c>
      <c r="AJ11" s="13">
        <v>12227998</v>
      </c>
      <c r="AK11" s="13">
        <v>4741059</v>
      </c>
      <c r="AL11" s="13">
        <v>9930861.5407071169</v>
      </c>
      <c r="AM11" s="13">
        <v>158476.05074123334</v>
      </c>
      <c r="AN11" s="13">
        <v>-3216643.8105507209</v>
      </c>
      <c r="AO11" s="13">
        <v>3590217.8977544284</v>
      </c>
      <c r="AP11" s="13">
        <v>10354449.592781734</v>
      </c>
      <c r="AQ11" s="13">
        <v>14030211.993497528</v>
      </c>
      <c r="AR11" s="13">
        <v>5368588.6363894185</v>
      </c>
      <c r="AS11" s="13">
        <v>8687348.3061443325</v>
      </c>
      <c r="AT11" s="34"/>
      <c r="AU11" s="13"/>
      <c r="AV11" s="34"/>
      <c r="AW11" s="34"/>
      <c r="AX11" s="34"/>
      <c r="AY11" s="13">
        <v>12313128.11738625</v>
      </c>
      <c r="AZ11" s="13">
        <v>7930571.9403886963</v>
      </c>
      <c r="BA11" s="13">
        <v>7553945.7048655963</v>
      </c>
      <c r="BB11" s="32">
        <v>116403180.46761133</v>
      </c>
      <c r="BC11" s="33">
        <v>34766284.262598157</v>
      </c>
      <c r="BD11" s="33">
        <v>-9563743.8000000007</v>
      </c>
      <c r="BE11" s="33">
        <v>-3665032.02</v>
      </c>
      <c r="BF11" s="14"/>
      <c r="BG11" s="14">
        <v>21915044.87080311</v>
      </c>
      <c r="BH11" s="33">
        <v>-25136907.951851565</v>
      </c>
      <c r="BI11" s="13">
        <v>7629602</v>
      </c>
      <c r="BJ11" s="13">
        <v>112664</v>
      </c>
      <c r="BK11" s="33">
        <v>-19057101.877499998</v>
      </c>
    </row>
    <row r="12" spans="1:63" ht="14.25" x14ac:dyDescent="0.2">
      <c r="A12" s="14">
        <v>50</v>
      </c>
      <c r="B12" s="14" t="s">
        <v>284</v>
      </c>
      <c r="C12" s="14">
        <v>11084</v>
      </c>
      <c r="D12" s="14">
        <v>485</v>
      </c>
      <c r="E12" s="14">
        <v>88</v>
      </c>
      <c r="F12" s="14">
        <v>720</v>
      </c>
      <c r="G12" s="14">
        <v>415</v>
      </c>
      <c r="H12" s="14">
        <v>9376</v>
      </c>
      <c r="I12" s="14">
        <v>5826</v>
      </c>
      <c r="K12" s="29">
        <v>358</v>
      </c>
      <c r="L12" s="29">
        <v>5063</v>
      </c>
      <c r="M12" s="14">
        <v>486.25</v>
      </c>
      <c r="N12" s="11">
        <v>515</v>
      </c>
      <c r="O12" s="11">
        <v>0</v>
      </c>
      <c r="P12" s="11">
        <v>17</v>
      </c>
      <c r="Q12" s="11">
        <v>0</v>
      </c>
      <c r="R12" s="11">
        <v>0</v>
      </c>
      <c r="S12" s="11">
        <v>578.91</v>
      </c>
      <c r="T12" s="14">
        <v>491</v>
      </c>
      <c r="U12" s="14">
        <v>3172</v>
      </c>
      <c r="V12" s="330"/>
      <c r="W12" s="11">
        <v>0</v>
      </c>
      <c r="X12" s="64">
        <v>3951</v>
      </c>
      <c r="Y12" s="64">
        <v>4701</v>
      </c>
      <c r="Z12" s="331">
        <v>0.73243951793879014</v>
      </c>
      <c r="AA12" s="31">
        <v>0</v>
      </c>
      <c r="AB12" s="11">
        <v>0</v>
      </c>
      <c r="AC12" s="11">
        <v>0</v>
      </c>
      <c r="AE12" s="32">
        <v>-265834.45750000002</v>
      </c>
      <c r="AF12" s="65">
        <v>-220588.43000000002</v>
      </c>
      <c r="AG12" s="13">
        <v>295813.22828237887</v>
      </c>
      <c r="AH12" s="13">
        <v>-109537.03105236916</v>
      </c>
      <c r="AI12" s="13">
        <v>-38640.461504306499</v>
      </c>
      <c r="AJ12" s="13">
        <v>930471</v>
      </c>
      <c r="AK12" s="13">
        <v>326226</v>
      </c>
      <c r="AL12" s="13">
        <v>755979.69918184658</v>
      </c>
      <c r="AM12" s="13">
        <v>35805.378420700079</v>
      </c>
      <c r="AN12" s="13">
        <v>118088.13599981995</v>
      </c>
      <c r="AO12" s="13">
        <v>359583.83389071794</v>
      </c>
      <c r="AP12" s="13">
        <v>592840.14091513911</v>
      </c>
      <c r="AQ12" s="13">
        <v>1045132.1657653033</v>
      </c>
      <c r="AR12" s="13">
        <v>278567.27786175744</v>
      </c>
      <c r="AS12" s="13">
        <v>485946.37589173508</v>
      </c>
      <c r="AT12" s="34"/>
      <c r="AU12" s="13"/>
      <c r="AV12" s="34"/>
      <c r="AW12" s="34"/>
      <c r="AX12" s="34"/>
      <c r="AY12" s="13">
        <v>624197.38728321716</v>
      </c>
      <c r="AZ12" s="13">
        <v>381138.54144046252</v>
      </c>
      <c r="BA12" s="13">
        <v>380383.598102558</v>
      </c>
      <c r="BB12" s="32">
        <v>-901823.83140918578</v>
      </c>
      <c r="BC12" s="33">
        <v>-195265.51179233394</v>
      </c>
      <c r="BD12" s="33">
        <v>-330303.2</v>
      </c>
      <c r="BE12" s="33">
        <v>-126579.28</v>
      </c>
      <c r="BF12" s="14"/>
      <c r="BG12" s="14">
        <v>1107349.0259971689</v>
      </c>
      <c r="BH12" s="33">
        <v>3171299.7426062981</v>
      </c>
      <c r="BI12" s="13">
        <v>-1109278</v>
      </c>
      <c r="BJ12" s="13">
        <v>2890</v>
      </c>
      <c r="BK12" s="33">
        <v>273015.87750000006</v>
      </c>
    </row>
    <row r="13" spans="1:63" ht="14.25" x14ac:dyDescent="0.2">
      <c r="A13" s="14">
        <v>51</v>
      </c>
      <c r="B13" s="14" t="s">
        <v>285</v>
      </c>
      <c r="C13" s="14">
        <v>9052</v>
      </c>
      <c r="D13" s="14">
        <v>404</v>
      </c>
      <c r="E13" s="14">
        <v>93</v>
      </c>
      <c r="F13" s="14">
        <v>634</v>
      </c>
      <c r="G13" s="14">
        <v>375</v>
      </c>
      <c r="H13" s="14">
        <v>7546</v>
      </c>
      <c r="I13" s="14">
        <v>4804</v>
      </c>
      <c r="K13" s="29">
        <v>270.66666666666669</v>
      </c>
      <c r="L13" s="29">
        <v>4147</v>
      </c>
      <c r="M13" s="14">
        <v>368.91666666666669</v>
      </c>
      <c r="N13" s="11">
        <v>329</v>
      </c>
      <c r="O13" s="11">
        <v>0</v>
      </c>
      <c r="P13" s="11">
        <v>30</v>
      </c>
      <c r="Q13" s="11">
        <v>0</v>
      </c>
      <c r="R13" s="11">
        <v>0</v>
      </c>
      <c r="S13" s="11">
        <v>515.03</v>
      </c>
      <c r="T13" s="14">
        <v>352</v>
      </c>
      <c r="U13" s="14">
        <v>2768</v>
      </c>
      <c r="V13" s="330"/>
      <c r="W13" s="11">
        <v>0</v>
      </c>
      <c r="X13" s="64">
        <v>3757</v>
      </c>
      <c r="Y13" s="64">
        <v>3825</v>
      </c>
      <c r="Z13" s="331">
        <v>1.0286364371442143</v>
      </c>
      <c r="AA13" s="31">
        <v>0</v>
      </c>
      <c r="AB13" s="11">
        <v>0</v>
      </c>
      <c r="AC13" s="11">
        <v>0</v>
      </c>
      <c r="AE13" s="32">
        <v>-147897.033</v>
      </c>
      <c r="AF13" s="65">
        <v>-181572.92</v>
      </c>
      <c r="AG13" s="13">
        <v>263763.15918738878</v>
      </c>
      <c r="AH13" s="13">
        <v>0</v>
      </c>
      <c r="AI13" s="13">
        <v>-17289.883882659895</v>
      </c>
      <c r="AJ13" s="13">
        <v>825213</v>
      </c>
      <c r="AK13" s="13">
        <v>332930</v>
      </c>
      <c r="AL13" s="13">
        <v>852349.38387434487</v>
      </c>
      <c r="AM13" s="13">
        <v>38149.057097675279</v>
      </c>
      <c r="AN13" s="13">
        <v>81094.721681168565</v>
      </c>
      <c r="AO13" s="13">
        <v>261660.24010085664</v>
      </c>
      <c r="AP13" s="13">
        <v>497056.58265767223</v>
      </c>
      <c r="AQ13" s="13">
        <v>700972.90430789872</v>
      </c>
      <c r="AR13" s="13">
        <v>275408.68621278135</v>
      </c>
      <c r="AS13" s="13">
        <v>436241.25232088531</v>
      </c>
      <c r="AT13" s="34"/>
      <c r="AU13" s="13"/>
      <c r="AV13" s="34"/>
      <c r="AW13" s="34"/>
      <c r="AX13" s="34"/>
      <c r="AY13" s="13">
        <v>594485.72247653292</v>
      </c>
      <c r="AZ13" s="13">
        <v>300086.711958742</v>
      </c>
      <c r="BA13" s="13">
        <v>370571.31240835798</v>
      </c>
      <c r="BB13" s="32">
        <v>-4094168.4345235913</v>
      </c>
      <c r="BC13" s="32">
        <v>-4225839.7226943728</v>
      </c>
      <c r="BD13" s="32">
        <v>-269749.60000000003</v>
      </c>
      <c r="BE13" s="32">
        <v>-103373.84</v>
      </c>
      <c r="BF13" s="14"/>
      <c r="BG13" s="14">
        <v>1297288.0631006551</v>
      </c>
      <c r="BH13" s="33">
        <v>-341571.70342208637</v>
      </c>
      <c r="BI13" s="13">
        <v>-425295</v>
      </c>
      <c r="BJ13" s="13">
        <v>2443</v>
      </c>
      <c r="BK13" s="33">
        <v>-6978.6624999999767</v>
      </c>
    </row>
    <row r="14" spans="1:63" ht="14.25" x14ac:dyDescent="0.2">
      <c r="A14" s="14">
        <v>52</v>
      </c>
      <c r="B14" s="14" t="s">
        <v>286</v>
      </c>
      <c r="C14" s="14">
        <v>2272</v>
      </c>
      <c r="D14" s="14">
        <v>90</v>
      </c>
      <c r="E14" s="14">
        <v>26</v>
      </c>
      <c r="F14" s="14">
        <v>151</v>
      </c>
      <c r="G14" s="14">
        <v>101</v>
      </c>
      <c r="H14" s="14">
        <v>1904</v>
      </c>
      <c r="I14" s="14">
        <v>1149</v>
      </c>
      <c r="K14" s="29">
        <v>44.583333333333336</v>
      </c>
      <c r="L14" s="29">
        <v>996</v>
      </c>
      <c r="M14" s="14">
        <v>69.583333333333343</v>
      </c>
      <c r="N14" s="11">
        <v>109</v>
      </c>
      <c r="O14" s="11">
        <v>0</v>
      </c>
      <c r="P14" s="11">
        <v>48</v>
      </c>
      <c r="Q14" s="11">
        <v>0</v>
      </c>
      <c r="R14" s="11">
        <v>0</v>
      </c>
      <c r="S14" s="11">
        <v>354.27</v>
      </c>
      <c r="T14" s="14">
        <v>87</v>
      </c>
      <c r="U14" s="14">
        <v>636</v>
      </c>
      <c r="V14" s="330"/>
      <c r="W14" s="11">
        <v>0.77395000000000003</v>
      </c>
      <c r="X14" s="64">
        <v>853</v>
      </c>
      <c r="Y14" s="64">
        <v>901</v>
      </c>
      <c r="Z14" s="331">
        <v>0.78721782550753838</v>
      </c>
      <c r="AA14" s="31">
        <v>0</v>
      </c>
      <c r="AB14" s="11">
        <v>0</v>
      </c>
      <c r="AC14" s="11">
        <v>0</v>
      </c>
      <c r="AE14" s="32">
        <v>-36858.004999999997</v>
      </c>
      <c r="AF14" s="13">
        <v>-46257.68</v>
      </c>
      <c r="AG14" s="13">
        <v>65695.45264651801</v>
      </c>
      <c r="AH14" s="13">
        <v>-57629.447331598734</v>
      </c>
      <c r="AI14" s="13">
        <v>2849.5081230875294</v>
      </c>
      <c r="AJ14" s="13">
        <v>268330</v>
      </c>
      <c r="AK14" s="13">
        <v>90507</v>
      </c>
      <c r="AL14" s="13">
        <v>236019.70943163981</v>
      </c>
      <c r="AM14" s="13">
        <v>12785.587300546524</v>
      </c>
      <c r="AN14" s="13">
        <v>13972.667475937424</v>
      </c>
      <c r="AO14" s="13">
        <v>91029.97670731465</v>
      </c>
      <c r="AP14" s="13">
        <v>159125.99451754062</v>
      </c>
      <c r="AQ14" s="13">
        <v>262773.80227346922</v>
      </c>
      <c r="AR14" s="13">
        <v>75899.244029665453</v>
      </c>
      <c r="AS14" s="13">
        <v>127170.54683329606</v>
      </c>
      <c r="AT14" s="34"/>
      <c r="AU14" s="13"/>
      <c r="AV14" s="34"/>
      <c r="AW14" s="34"/>
      <c r="AX14" s="34"/>
      <c r="AY14" s="13">
        <v>179164.50400443864</v>
      </c>
      <c r="AZ14" s="13">
        <v>98257.606979727556</v>
      </c>
      <c r="BA14" s="13">
        <v>98230.694777270488</v>
      </c>
      <c r="BB14" s="32">
        <v>435938.46574912104</v>
      </c>
      <c r="BC14" s="33">
        <v>66323.658127562143</v>
      </c>
      <c r="BD14" s="33">
        <v>-67705.600000000006</v>
      </c>
      <c r="BE14" s="33">
        <v>-25946.240000000002</v>
      </c>
      <c r="BF14" s="14"/>
      <c r="BG14" s="14">
        <v>358789.11119871284</v>
      </c>
      <c r="BH14" s="33">
        <v>1079639.6897672745</v>
      </c>
      <c r="BI14" s="13">
        <v>250153</v>
      </c>
      <c r="BJ14" s="13">
        <v>576</v>
      </c>
      <c r="BK14" s="33">
        <v>12367.25</v>
      </c>
    </row>
    <row r="15" spans="1:63" ht="14.25" x14ac:dyDescent="0.2">
      <c r="A15" s="14">
        <v>61</v>
      </c>
      <c r="B15" s="14" t="s">
        <v>287</v>
      </c>
      <c r="C15" s="14">
        <v>16478</v>
      </c>
      <c r="D15" s="14">
        <v>573</v>
      </c>
      <c r="E15" s="14">
        <v>119</v>
      </c>
      <c r="F15" s="14">
        <v>789</v>
      </c>
      <c r="G15" s="14">
        <v>475</v>
      </c>
      <c r="H15" s="14">
        <v>14522</v>
      </c>
      <c r="I15" s="14">
        <v>8637</v>
      </c>
      <c r="K15" s="29">
        <v>926.08333333333337</v>
      </c>
      <c r="L15" s="29">
        <v>6981</v>
      </c>
      <c r="M15" s="14">
        <v>1396.3333333333335</v>
      </c>
      <c r="N15" s="11">
        <v>1559</v>
      </c>
      <c r="O15" s="11">
        <v>0</v>
      </c>
      <c r="P15" s="11">
        <v>44</v>
      </c>
      <c r="Q15" s="11">
        <v>0</v>
      </c>
      <c r="R15" s="11">
        <v>0</v>
      </c>
      <c r="S15" s="11">
        <v>248.87</v>
      </c>
      <c r="T15" s="14">
        <v>969</v>
      </c>
      <c r="U15" s="14">
        <v>4455</v>
      </c>
      <c r="V15" s="330"/>
      <c r="W15" s="11">
        <v>0</v>
      </c>
      <c r="X15" s="64">
        <v>7395</v>
      </c>
      <c r="Y15" s="64">
        <v>5984</v>
      </c>
      <c r="Z15" s="331">
        <v>0.88186458440266569</v>
      </c>
      <c r="AA15" s="31">
        <v>0</v>
      </c>
      <c r="AB15" s="11">
        <v>0</v>
      </c>
      <c r="AC15" s="11">
        <v>0</v>
      </c>
      <c r="AE15" s="32">
        <v>-1163563.71395</v>
      </c>
      <c r="AF15" s="13">
        <v>-322728</v>
      </c>
      <c r="AG15" s="13">
        <v>1310691.9463011723</v>
      </c>
      <c r="AH15" s="13">
        <v>-200983.90288761791</v>
      </c>
      <c r="AI15" s="13">
        <v>55293.840657317487</v>
      </c>
      <c r="AJ15" s="13">
        <v>1410670</v>
      </c>
      <c r="AK15" s="13">
        <v>454609</v>
      </c>
      <c r="AL15" s="13">
        <v>1074037.5054858311</v>
      </c>
      <c r="AM15" s="13">
        <v>51148.733290947057</v>
      </c>
      <c r="AN15" s="13">
        <v>150656.35952867911</v>
      </c>
      <c r="AO15" s="13">
        <v>556585.70542332984</v>
      </c>
      <c r="AP15" s="13">
        <v>915212.89595261158</v>
      </c>
      <c r="AQ15" s="13">
        <v>1382738.1902656096</v>
      </c>
      <c r="AR15" s="13">
        <v>451111.42767178488</v>
      </c>
      <c r="AS15" s="13">
        <v>771945.66948383301</v>
      </c>
      <c r="AT15" s="34"/>
      <c r="AU15" s="13"/>
      <c r="AV15" s="34"/>
      <c r="AW15" s="34"/>
      <c r="AX15" s="34"/>
      <c r="AY15" s="13">
        <v>964068.33568610845</v>
      </c>
      <c r="AZ15" s="13">
        <v>573716.44538628263</v>
      </c>
      <c r="BA15" s="13">
        <v>591028.18060480023</v>
      </c>
      <c r="BB15" s="32">
        <v>680225.8650918114</v>
      </c>
      <c r="BC15" s="33">
        <v>668634.16471422755</v>
      </c>
      <c r="BD15" s="33">
        <v>-491044.4</v>
      </c>
      <c r="BE15" s="33">
        <v>-188178.76</v>
      </c>
      <c r="BF15" s="14"/>
      <c r="BG15" s="14">
        <v>1909084.9994305235</v>
      </c>
      <c r="BH15" s="33">
        <v>6353607.2660083557</v>
      </c>
      <c r="BI15" s="13">
        <v>2616359</v>
      </c>
      <c r="BJ15" s="13">
        <v>4157</v>
      </c>
      <c r="BK15" s="33">
        <v>360417.00000000006</v>
      </c>
    </row>
    <row r="16" spans="1:63" ht="14.25" x14ac:dyDescent="0.2">
      <c r="A16" s="14">
        <v>69</v>
      </c>
      <c r="B16" s="14" t="s">
        <v>288</v>
      </c>
      <c r="C16" s="14">
        <v>6492</v>
      </c>
      <c r="D16" s="14">
        <v>352</v>
      </c>
      <c r="E16" s="14">
        <v>72</v>
      </c>
      <c r="F16" s="14">
        <v>473</v>
      </c>
      <c r="G16" s="14">
        <v>284</v>
      </c>
      <c r="H16" s="14">
        <v>5311</v>
      </c>
      <c r="I16" s="14">
        <v>3304</v>
      </c>
      <c r="K16" s="29">
        <v>272.41666666666669</v>
      </c>
      <c r="L16" s="29">
        <v>2870</v>
      </c>
      <c r="M16" s="14">
        <v>361.5</v>
      </c>
      <c r="N16" s="11">
        <v>136</v>
      </c>
      <c r="O16" s="11">
        <v>0</v>
      </c>
      <c r="P16" s="11">
        <v>2</v>
      </c>
      <c r="Q16" s="11">
        <v>0</v>
      </c>
      <c r="R16" s="11">
        <v>0</v>
      </c>
      <c r="S16" s="11">
        <v>767.08</v>
      </c>
      <c r="T16" s="14">
        <v>229</v>
      </c>
      <c r="U16" s="14">
        <v>1660</v>
      </c>
      <c r="V16" s="330"/>
      <c r="W16" s="11">
        <v>0.78915000000000002</v>
      </c>
      <c r="X16" s="64">
        <v>2615</v>
      </c>
      <c r="Y16" s="64">
        <v>2520</v>
      </c>
      <c r="Z16" s="331">
        <v>0.83099979113522182</v>
      </c>
      <c r="AA16" s="31">
        <v>0</v>
      </c>
      <c r="AB16" s="11">
        <v>0</v>
      </c>
      <c r="AC16" s="11">
        <v>0</v>
      </c>
      <c r="AE16" s="32">
        <v>-219726.198</v>
      </c>
      <c r="AF16" s="13">
        <v>-132472.16</v>
      </c>
      <c r="AG16" s="13">
        <v>225377.20761484338</v>
      </c>
      <c r="AH16" s="13">
        <v>-77844.184242762072</v>
      </c>
      <c r="AI16" s="13">
        <v>-25345.609765454617</v>
      </c>
      <c r="AJ16" s="13">
        <v>673244</v>
      </c>
      <c r="AK16" s="13">
        <v>206380</v>
      </c>
      <c r="AL16" s="13">
        <v>508460.57217527012</v>
      </c>
      <c r="AM16" s="13">
        <v>25606.347000850088</v>
      </c>
      <c r="AN16" s="13">
        <v>17551.090417277032</v>
      </c>
      <c r="AO16" s="13">
        <v>266734.25175784319</v>
      </c>
      <c r="AP16" s="13">
        <v>405559.0589041466</v>
      </c>
      <c r="AQ16" s="13">
        <v>652159.70367587113</v>
      </c>
      <c r="AR16" s="13">
        <v>173760.49404454909</v>
      </c>
      <c r="AS16" s="13">
        <v>335303.73636287078</v>
      </c>
      <c r="AT16" s="34"/>
      <c r="AU16" s="13"/>
      <c r="AV16" s="34"/>
      <c r="AW16" s="34"/>
      <c r="AX16" s="34"/>
      <c r="AY16" s="13">
        <v>468130.4467721238</v>
      </c>
      <c r="AZ16" s="13">
        <v>254387.78599422338</v>
      </c>
      <c r="BA16" s="13">
        <v>254131.6329499706</v>
      </c>
      <c r="BB16" s="32">
        <v>-1819379.0551378445</v>
      </c>
      <c r="BC16" s="33">
        <v>-1692938.6055470835</v>
      </c>
      <c r="BD16" s="33">
        <v>-193461.6</v>
      </c>
      <c r="BE16" s="33">
        <v>-74138.64</v>
      </c>
      <c r="BF16" s="14"/>
      <c r="BG16" s="14">
        <v>771249.30706963816</v>
      </c>
      <c r="BH16" s="33">
        <v>3078476.2316483487</v>
      </c>
      <c r="BI16" s="13">
        <v>683940</v>
      </c>
      <c r="BJ16" s="13">
        <v>1982</v>
      </c>
      <c r="BK16" s="33">
        <v>-23144.424999999988</v>
      </c>
    </row>
    <row r="17" spans="1:63" ht="14.25" x14ac:dyDescent="0.2">
      <c r="A17" s="14">
        <v>71</v>
      </c>
      <c r="B17" s="14" t="s">
        <v>289</v>
      </c>
      <c r="C17" s="14">
        <v>6365</v>
      </c>
      <c r="D17" s="14">
        <v>348</v>
      </c>
      <c r="E17" s="14">
        <v>64</v>
      </c>
      <c r="F17" s="14">
        <v>559</v>
      </c>
      <c r="G17" s="14">
        <v>288</v>
      </c>
      <c r="H17" s="14">
        <v>5106</v>
      </c>
      <c r="I17" s="14">
        <v>3223</v>
      </c>
      <c r="K17" s="29">
        <v>244.66666666666666</v>
      </c>
      <c r="L17" s="29">
        <v>2767</v>
      </c>
      <c r="M17" s="14">
        <v>329.83333333333331</v>
      </c>
      <c r="N17" s="11">
        <v>233</v>
      </c>
      <c r="O17" s="11">
        <v>0</v>
      </c>
      <c r="P17" s="11">
        <v>1</v>
      </c>
      <c r="Q17" s="11">
        <v>0</v>
      </c>
      <c r="R17" s="11">
        <v>0</v>
      </c>
      <c r="S17" s="11">
        <v>1050.69</v>
      </c>
      <c r="T17" s="14">
        <v>238</v>
      </c>
      <c r="U17" s="14">
        <v>1785</v>
      </c>
      <c r="V17" s="330"/>
      <c r="W17" s="11">
        <v>0.6731166666666667</v>
      </c>
      <c r="X17" s="64">
        <v>2511</v>
      </c>
      <c r="Y17" s="64">
        <v>2414</v>
      </c>
      <c r="Z17" s="331">
        <v>0.96484637759211522</v>
      </c>
      <c r="AA17" s="31">
        <v>0</v>
      </c>
      <c r="AB17" s="11">
        <v>0</v>
      </c>
      <c r="AC17" s="11">
        <v>2</v>
      </c>
      <c r="AE17" s="32">
        <v>-166791.67499999999</v>
      </c>
      <c r="AF17" s="13">
        <v>-128073.07</v>
      </c>
      <c r="AG17" s="13">
        <v>216053.06066545047</v>
      </c>
      <c r="AH17" s="13">
        <v>-177913.07979772071</v>
      </c>
      <c r="AI17" s="13">
        <v>-13730.500804176816</v>
      </c>
      <c r="AJ17" s="13">
        <v>634501</v>
      </c>
      <c r="AK17" s="13">
        <v>212191</v>
      </c>
      <c r="AL17" s="13">
        <v>544020.76422999613</v>
      </c>
      <c r="AM17" s="13">
        <v>27631.808707770178</v>
      </c>
      <c r="AN17" s="13">
        <v>55173.665135595591</v>
      </c>
      <c r="AO17" s="13">
        <v>266304.36825041671</v>
      </c>
      <c r="AP17" s="13">
        <v>385249.7227873716</v>
      </c>
      <c r="AQ17" s="13">
        <v>604374.39857710327</v>
      </c>
      <c r="AR17" s="13">
        <v>179116.97758029238</v>
      </c>
      <c r="AS17" s="13">
        <v>325294.08349442657</v>
      </c>
      <c r="AT17" s="34"/>
      <c r="AU17" s="13"/>
      <c r="AV17" s="34"/>
      <c r="AW17" s="34"/>
      <c r="AX17" s="34"/>
      <c r="AY17" s="13">
        <v>434772.68273360416</v>
      </c>
      <c r="AZ17" s="13">
        <v>245458.02541090563</v>
      </c>
      <c r="BA17" s="13">
        <v>257574.95154858736</v>
      </c>
      <c r="BB17" s="32">
        <v>-306682.04770555964</v>
      </c>
      <c r="BC17" s="33">
        <v>-614375.03382315312</v>
      </c>
      <c r="BD17" s="33">
        <v>-189677</v>
      </c>
      <c r="BE17" s="33">
        <v>-72688.3</v>
      </c>
      <c r="BF17" s="14"/>
      <c r="BG17" s="14">
        <v>922342.39424298739</v>
      </c>
      <c r="BH17" s="33">
        <v>4066597.5715756556</v>
      </c>
      <c r="BI17" s="13">
        <v>801070</v>
      </c>
      <c r="BJ17" s="13">
        <v>2061</v>
      </c>
      <c r="BK17" s="33">
        <v>31624.825000000012</v>
      </c>
    </row>
    <row r="18" spans="1:63" ht="14.25" x14ac:dyDescent="0.2">
      <c r="A18" s="14">
        <v>72</v>
      </c>
      <c r="B18" s="14" t="s">
        <v>290</v>
      </c>
      <c r="C18" s="14">
        <v>927</v>
      </c>
      <c r="D18" s="14">
        <v>18</v>
      </c>
      <c r="E18" s="14">
        <v>13</v>
      </c>
      <c r="F18" s="14">
        <v>52</v>
      </c>
      <c r="G18" s="14">
        <v>29</v>
      </c>
      <c r="H18" s="14">
        <v>815</v>
      </c>
      <c r="I18" s="14">
        <v>404</v>
      </c>
      <c r="K18" s="29">
        <v>36.416666666666664</v>
      </c>
      <c r="L18" s="29">
        <v>383</v>
      </c>
      <c r="M18" s="14">
        <v>45.833333333333329</v>
      </c>
      <c r="N18" s="11">
        <v>14</v>
      </c>
      <c r="O18" s="11">
        <v>0</v>
      </c>
      <c r="P18" s="11">
        <v>0</v>
      </c>
      <c r="Q18" s="11">
        <v>2</v>
      </c>
      <c r="R18" s="11">
        <v>0</v>
      </c>
      <c r="S18" s="11">
        <v>205.61</v>
      </c>
      <c r="T18" s="14">
        <v>18</v>
      </c>
      <c r="U18" s="14">
        <v>208</v>
      </c>
      <c r="V18" s="330"/>
      <c r="W18" s="11">
        <v>0.99881666666666669</v>
      </c>
      <c r="X18" s="64">
        <v>220</v>
      </c>
      <c r="Y18" s="64">
        <v>324</v>
      </c>
      <c r="Z18" s="331">
        <v>0.93496497498296227</v>
      </c>
      <c r="AA18" s="31">
        <v>0</v>
      </c>
      <c r="AB18" s="11">
        <v>0</v>
      </c>
      <c r="AC18" s="11">
        <v>0</v>
      </c>
      <c r="AE18" s="32">
        <v>-18757.084999999999</v>
      </c>
      <c r="AF18" s="13">
        <v>-18230.29</v>
      </c>
      <c r="AG18" s="13">
        <v>38544.153724807999</v>
      </c>
      <c r="AH18" s="13">
        <v>-31230.592619664312</v>
      </c>
      <c r="AI18" s="13">
        <v>-6586.2423316200802</v>
      </c>
      <c r="AJ18" s="13">
        <v>91944</v>
      </c>
      <c r="AK18" s="13">
        <v>29110</v>
      </c>
      <c r="AL18" s="13">
        <v>64666.662457567494</v>
      </c>
      <c r="AM18" s="13">
        <v>2692.481337280261</v>
      </c>
      <c r="AN18" s="13">
        <v>2749.036578336676</v>
      </c>
      <c r="AO18" s="13">
        <v>30690.449531896869</v>
      </c>
      <c r="AP18" s="13">
        <v>42842.845988063753</v>
      </c>
      <c r="AQ18" s="13">
        <v>82798.027355151367</v>
      </c>
      <c r="AR18" s="13">
        <v>22645.889351010537</v>
      </c>
      <c r="AS18" s="13">
        <v>41418.594941364499</v>
      </c>
      <c r="AT18" s="34"/>
      <c r="AU18" s="13"/>
      <c r="AV18" s="34"/>
      <c r="AW18" s="34"/>
      <c r="AX18" s="34"/>
      <c r="AY18" s="13">
        <v>52973.785680424393</v>
      </c>
      <c r="AZ18" s="13">
        <v>29630.671407607097</v>
      </c>
      <c r="BA18" s="13">
        <v>30540.788916576785</v>
      </c>
      <c r="BB18" s="32">
        <v>-171618.28273126914</v>
      </c>
      <c r="BC18" s="33">
        <v>-47123.012701797095</v>
      </c>
      <c r="BD18" s="33">
        <v>-27624.600000000002</v>
      </c>
      <c r="BE18" s="33">
        <v>-10586.34</v>
      </c>
      <c r="BF18" s="14"/>
      <c r="BG18" s="14">
        <v>106453.99312815123</v>
      </c>
      <c r="BH18" s="33">
        <v>354888.13864213345</v>
      </c>
      <c r="BI18" s="13">
        <v>-244162</v>
      </c>
      <c r="BJ18" s="13">
        <v>173</v>
      </c>
      <c r="BK18" s="33">
        <v>-28268</v>
      </c>
    </row>
    <row r="19" spans="1:63" ht="14.25" x14ac:dyDescent="0.2">
      <c r="A19" s="14">
        <v>74</v>
      </c>
      <c r="B19" s="14" t="s">
        <v>291</v>
      </c>
      <c r="C19" s="14">
        <v>985</v>
      </c>
      <c r="D19" s="14">
        <v>39</v>
      </c>
      <c r="E19" s="14">
        <v>5</v>
      </c>
      <c r="F19" s="14">
        <v>67</v>
      </c>
      <c r="G19" s="14">
        <v>33</v>
      </c>
      <c r="H19" s="14">
        <v>841</v>
      </c>
      <c r="I19" s="14">
        <v>451</v>
      </c>
      <c r="K19" s="29">
        <v>41</v>
      </c>
      <c r="L19" s="29">
        <v>426</v>
      </c>
      <c r="M19" s="14">
        <v>51.083333333333336</v>
      </c>
      <c r="N19" s="11">
        <v>45</v>
      </c>
      <c r="O19" s="11">
        <v>0</v>
      </c>
      <c r="P19" s="11">
        <v>5</v>
      </c>
      <c r="Q19" s="11">
        <v>0</v>
      </c>
      <c r="R19" s="11">
        <v>0</v>
      </c>
      <c r="S19" s="11">
        <v>412.99</v>
      </c>
      <c r="T19" s="14">
        <v>38</v>
      </c>
      <c r="U19" s="14">
        <v>236</v>
      </c>
      <c r="V19" s="330"/>
      <c r="W19" s="11">
        <v>1.4803000000000002</v>
      </c>
      <c r="X19" s="64">
        <v>325</v>
      </c>
      <c r="Y19" s="64">
        <v>369</v>
      </c>
      <c r="Z19" s="331">
        <v>0.70688458593193748</v>
      </c>
      <c r="AA19" s="31">
        <v>0</v>
      </c>
      <c r="AB19" s="11">
        <v>0</v>
      </c>
      <c r="AC19" s="11">
        <v>0</v>
      </c>
      <c r="AE19" s="32">
        <v>-21849.514999999999</v>
      </c>
      <c r="AF19" s="13">
        <v>-21188.63</v>
      </c>
      <c r="AG19" s="13">
        <v>13527.519571801931</v>
      </c>
      <c r="AH19" s="13">
        <v>-29691.326422966835</v>
      </c>
      <c r="AI19" s="13">
        <v>-3351.6223357184936</v>
      </c>
      <c r="AJ19" s="13">
        <v>134532</v>
      </c>
      <c r="AK19" s="13">
        <v>43901</v>
      </c>
      <c r="AL19" s="13">
        <v>113348.03837721006</v>
      </c>
      <c r="AM19" s="13">
        <v>6717.396987965677</v>
      </c>
      <c r="AN19" s="13">
        <v>-22207.792950525472</v>
      </c>
      <c r="AO19" s="13">
        <v>47988.048405878326</v>
      </c>
      <c r="AP19" s="13">
        <v>78960.370391012984</v>
      </c>
      <c r="AQ19" s="13">
        <v>126139.30799040805</v>
      </c>
      <c r="AR19" s="13">
        <v>43112.166293934511</v>
      </c>
      <c r="AS19" s="13">
        <v>69397.433189061107</v>
      </c>
      <c r="AT19" s="34"/>
      <c r="AU19" s="13"/>
      <c r="AV19" s="34"/>
      <c r="AW19" s="34"/>
      <c r="AX19" s="34"/>
      <c r="AY19" s="13">
        <v>98139.994782873342</v>
      </c>
      <c r="AZ19" s="13">
        <v>51502.066333405135</v>
      </c>
      <c r="BA19" s="13">
        <v>51166.238959678856</v>
      </c>
      <c r="BB19" s="32">
        <v>202287.86616323752</v>
      </c>
      <c r="BC19" s="33">
        <v>22994.161460518113</v>
      </c>
      <c r="BD19" s="33">
        <v>-29353</v>
      </c>
      <c r="BE19" s="33">
        <v>-11248.7</v>
      </c>
      <c r="BF19" s="14"/>
      <c r="BG19" s="14">
        <v>205485.92294043774</v>
      </c>
      <c r="BH19" s="33">
        <v>547160.88851544901</v>
      </c>
      <c r="BI19" s="13">
        <v>-288847</v>
      </c>
      <c r="BJ19" s="13">
        <v>224</v>
      </c>
      <c r="BK19" s="33">
        <v>72436.75</v>
      </c>
    </row>
    <row r="20" spans="1:63" ht="14.25" x14ac:dyDescent="0.2">
      <c r="A20" s="14">
        <v>75</v>
      </c>
      <c r="B20" s="14" t="s">
        <v>292</v>
      </c>
      <c r="C20" s="14">
        <v>19311</v>
      </c>
      <c r="D20" s="14">
        <v>670</v>
      </c>
      <c r="E20" s="14">
        <v>134</v>
      </c>
      <c r="F20" s="14">
        <v>1030</v>
      </c>
      <c r="G20" s="14">
        <v>641</v>
      </c>
      <c r="H20" s="14">
        <v>16836</v>
      </c>
      <c r="I20" s="14">
        <v>10263</v>
      </c>
      <c r="K20" s="29">
        <v>1060.8333333333333</v>
      </c>
      <c r="L20" s="29">
        <v>8546</v>
      </c>
      <c r="M20" s="14">
        <v>1386.5</v>
      </c>
      <c r="N20" s="11">
        <v>1642</v>
      </c>
      <c r="O20" s="11">
        <v>0</v>
      </c>
      <c r="P20" s="11">
        <v>56</v>
      </c>
      <c r="Q20" s="11">
        <v>0</v>
      </c>
      <c r="R20" s="11">
        <v>0</v>
      </c>
      <c r="S20" s="11">
        <v>609.89</v>
      </c>
      <c r="T20" s="14">
        <v>868</v>
      </c>
      <c r="U20" s="14">
        <v>5484</v>
      </c>
      <c r="V20" s="330"/>
      <c r="W20" s="11">
        <v>0</v>
      </c>
      <c r="X20" s="64">
        <v>6143</v>
      </c>
      <c r="Y20" s="64">
        <v>7442</v>
      </c>
      <c r="Z20" s="331">
        <v>0.8834227220914137</v>
      </c>
      <c r="AA20" s="31">
        <v>0</v>
      </c>
      <c r="AB20" s="11">
        <v>0</v>
      </c>
      <c r="AC20" s="11">
        <v>0</v>
      </c>
      <c r="AE20" s="32">
        <v>-729859.14445000002</v>
      </c>
      <c r="AF20" s="13">
        <v>-381837.17000000004</v>
      </c>
      <c r="AG20" s="13">
        <v>898453.91864475072</v>
      </c>
      <c r="AH20" s="13">
        <v>-33528.616523028591</v>
      </c>
      <c r="AI20" s="13">
        <v>-12622.44497690798</v>
      </c>
      <c r="AJ20" s="13">
        <v>1568738</v>
      </c>
      <c r="AK20" s="13">
        <v>487407</v>
      </c>
      <c r="AL20" s="13">
        <v>1128575.9968275034</v>
      </c>
      <c r="AM20" s="13">
        <v>45002.871815550367</v>
      </c>
      <c r="AN20" s="13">
        <v>86422.872236925497</v>
      </c>
      <c r="AO20" s="13">
        <v>566255.61063643033</v>
      </c>
      <c r="AP20" s="13">
        <v>942635.96400923165</v>
      </c>
      <c r="AQ20" s="13">
        <v>1584026.0242622562</v>
      </c>
      <c r="AR20" s="13">
        <v>445115.16092382168</v>
      </c>
      <c r="AS20" s="13">
        <v>809673.04183295241</v>
      </c>
      <c r="AT20" s="34"/>
      <c r="AU20" s="13"/>
      <c r="AV20" s="34"/>
      <c r="AW20" s="34"/>
      <c r="AX20" s="34"/>
      <c r="AY20" s="13">
        <v>1070608.4244448629</v>
      </c>
      <c r="AZ20" s="13">
        <v>628165.48406565958</v>
      </c>
      <c r="BA20" s="13">
        <v>610169.34424649051</v>
      </c>
      <c r="BB20" s="32">
        <v>-4035140.9718102282</v>
      </c>
      <c r="BC20" s="33">
        <v>-321292.63878445694</v>
      </c>
      <c r="BD20" s="33">
        <v>-575467.80000000005</v>
      </c>
      <c r="BE20" s="33">
        <v>-220531.62</v>
      </c>
      <c r="BF20" s="14"/>
      <c r="BG20" s="14">
        <v>1571283.6616073875</v>
      </c>
      <c r="BH20" s="33">
        <v>2598406.0087464023</v>
      </c>
      <c r="BI20" s="13">
        <v>-1622547</v>
      </c>
      <c r="BJ20" s="13">
        <v>4470</v>
      </c>
      <c r="BK20" s="33">
        <v>51960.117500000051</v>
      </c>
    </row>
    <row r="21" spans="1:63" ht="14.25" x14ac:dyDescent="0.2">
      <c r="A21" s="14">
        <v>77</v>
      </c>
      <c r="B21" s="14" t="s">
        <v>293</v>
      </c>
      <c r="C21" s="14">
        <v>4509</v>
      </c>
      <c r="D21" s="14">
        <v>155</v>
      </c>
      <c r="E21" s="14">
        <v>27</v>
      </c>
      <c r="F21" s="14">
        <v>273</v>
      </c>
      <c r="G21" s="14">
        <v>161</v>
      </c>
      <c r="H21" s="14">
        <v>3893</v>
      </c>
      <c r="I21" s="14">
        <v>2183</v>
      </c>
      <c r="K21" s="29">
        <v>208.83333333333334</v>
      </c>
      <c r="L21" s="29">
        <v>1861</v>
      </c>
      <c r="M21" s="14">
        <v>287.41666666666669</v>
      </c>
      <c r="N21" s="11">
        <v>115</v>
      </c>
      <c r="O21" s="11">
        <v>0</v>
      </c>
      <c r="P21" s="11">
        <v>12</v>
      </c>
      <c r="Q21" s="11">
        <v>0</v>
      </c>
      <c r="R21" s="11">
        <v>0</v>
      </c>
      <c r="S21" s="11">
        <v>571.69000000000005</v>
      </c>
      <c r="T21" s="14">
        <v>161</v>
      </c>
      <c r="U21" s="14">
        <v>1203</v>
      </c>
      <c r="V21" s="330"/>
      <c r="W21" s="11">
        <v>0.66818333333333335</v>
      </c>
      <c r="X21" s="64">
        <v>1280</v>
      </c>
      <c r="Y21" s="64">
        <v>1613</v>
      </c>
      <c r="Z21" s="331">
        <v>0.84679560571605617</v>
      </c>
      <c r="AA21" s="31">
        <v>0</v>
      </c>
      <c r="AB21" s="11">
        <v>0</v>
      </c>
      <c r="AC21" s="11">
        <v>0</v>
      </c>
      <c r="AE21" s="32">
        <v>-123815.5425</v>
      </c>
      <c r="AF21" s="13">
        <v>-91862.22</v>
      </c>
      <c r="AG21" s="13">
        <v>207058.29587333102</v>
      </c>
      <c r="AH21" s="13">
        <v>-60127.620570739527</v>
      </c>
      <c r="AI21" s="13">
        <v>12336.215756192571</v>
      </c>
      <c r="AJ21" s="13">
        <v>567639</v>
      </c>
      <c r="AK21" s="13">
        <v>165760</v>
      </c>
      <c r="AL21" s="13">
        <v>418313.4407374764</v>
      </c>
      <c r="AM21" s="13">
        <v>22899.471769744072</v>
      </c>
      <c r="AN21" s="13">
        <v>68329.264290983934</v>
      </c>
      <c r="AO21" s="13">
        <v>205003.42725285116</v>
      </c>
      <c r="AP21" s="13">
        <v>305523.60822933528</v>
      </c>
      <c r="AQ21" s="13">
        <v>467407.96175449586</v>
      </c>
      <c r="AR21" s="13">
        <v>130242.03157009084</v>
      </c>
      <c r="AS21" s="13">
        <v>244524.13581577002</v>
      </c>
      <c r="AT21" s="34"/>
      <c r="AU21" s="13"/>
      <c r="AV21" s="34"/>
      <c r="AW21" s="34"/>
      <c r="AX21" s="34"/>
      <c r="AY21" s="13">
        <v>341996.24236710666</v>
      </c>
      <c r="AZ21" s="13">
        <v>180970.83999240884</v>
      </c>
      <c r="BA21" s="13">
        <v>175690.10818550273</v>
      </c>
      <c r="BB21" s="32">
        <v>-411774.1259344237</v>
      </c>
      <c r="BC21" s="33">
        <v>-106120.50299592156</v>
      </c>
      <c r="BD21" s="33">
        <v>-134368.20000000001</v>
      </c>
      <c r="BE21" s="33">
        <v>-51492.78</v>
      </c>
      <c r="BF21" s="14"/>
      <c r="BG21" s="14">
        <v>733353.2949321596</v>
      </c>
      <c r="BH21" s="33">
        <v>2268421.0265234346</v>
      </c>
      <c r="BI21" s="13">
        <v>352696</v>
      </c>
      <c r="BJ21" s="13">
        <v>984</v>
      </c>
      <c r="BK21" s="33">
        <v>14664.024999999994</v>
      </c>
    </row>
    <row r="22" spans="1:63" ht="14.25" x14ac:dyDescent="0.2">
      <c r="A22" s="14">
        <v>78</v>
      </c>
      <c r="B22" s="14" t="s">
        <v>294</v>
      </c>
      <c r="C22" s="14">
        <v>7702</v>
      </c>
      <c r="D22" s="14">
        <v>225</v>
      </c>
      <c r="E22" s="14">
        <v>45</v>
      </c>
      <c r="F22" s="14">
        <v>368</v>
      </c>
      <c r="G22" s="14">
        <v>254</v>
      </c>
      <c r="H22" s="14">
        <v>6810</v>
      </c>
      <c r="I22" s="14">
        <v>3928</v>
      </c>
      <c r="K22" s="29">
        <v>322.33333333333331</v>
      </c>
      <c r="L22" s="29">
        <v>3464</v>
      </c>
      <c r="M22" s="14">
        <v>448.08333333333331</v>
      </c>
      <c r="N22" s="11">
        <v>484</v>
      </c>
      <c r="O22" s="11">
        <v>1</v>
      </c>
      <c r="P22" s="11">
        <v>3189</v>
      </c>
      <c r="Q22" s="11">
        <v>0</v>
      </c>
      <c r="R22" s="11">
        <v>0</v>
      </c>
      <c r="S22" s="11">
        <v>117.6</v>
      </c>
      <c r="T22" s="14">
        <v>474</v>
      </c>
      <c r="U22" s="14">
        <v>2085</v>
      </c>
      <c r="V22" s="330"/>
      <c r="W22" s="11">
        <v>0.99443333333333328</v>
      </c>
      <c r="X22" s="64">
        <v>3499</v>
      </c>
      <c r="Y22" s="64">
        <v>3064</v>
      </c>
      <c r="Z22" s="331">
        <v>0.84994263039339502</v>
      </c>
      <c r="AA22" s="31">
        <v>0</v>
      </c>
      <c r="AB22" s="11">
        <v>0</v>
      </c>
      <c r="AC22" s="11">
        <v>1</v>
      </c>
      <c r="AE22" s="32">
        <v>-364125.91499999998</v>
      </c>
      <c r="AF22" s="13">
        <v>-154486.82</v>
      </c>
      <c r="AG22" s="13">
        <v>329720.40269825689</v>
      </c>
      <c r="AH22" s="13">
        <v>0</v>
      </c>
      <c r="AI22" s="13">
        <v>-27361.073452853801</v>
      </c>
      <c r="AJ22" s="13">
        <v>656636</v>
      </c>
      <c r="AK22" s="13">
        <v>215300</v>
      </c>
      <c r="AL22" s="13">
        <v>400984.06915408489</v>
      </c>
      <c r="AM22" s="13">
        <v>7536.817691286501</v>
      </c>
      <c r="AN22" s="13">
        <v>13723.005639968009</v>
      </c>
      <c r="AO22" s="13">
        <v>240221.42672180056</v>
      </c>
      <c r="AP22" s="13">
        <v>317595.93887166877</v>
      </c>
      <c r="AQ22" s="13">
        <v>682918.9141502562</v>
      </c>
      <c r="AR22" s="13">
        <v>171481.58869629769</v>
      </c>
      <c r="AS22" s="13">
        <v>327290.64397453348</v>
      </c>
      <c r="AT22" s="34"/>
      <c r="AU22" s="13"/>
      <c r="AV22" s="34"/>
      <c r="AW22" s="34"/>
      <c r="AX22" s="34"/>
      <c r="AY22" s="13">
        <v>366094.69911858143</v>
      </c>
      <c r="AZ22" s="13">
        <v>237484.32543443629</v>
      </c>
      <c r="BA22" s="13">
        <v>239931.20157628579</v>
      </c>
      <c r="BB22" s="32">
        <v>-2245375.2181295166</v>
      </c>
      <c r="BC22" s="33">
        <v>-533049.49781966663</v>
      </c>
      <c r="BD22" s="33">
        <v>-229519.6</v>
      </c>
      <c r="BE22" s="33">
        <v>-87956.84</v>
      </c>
      <c r="BF22" s="14"/>
      <c r="BG22" s="14">
        <v>619099.6555028907</v>
      </c>
      <c r="BH22" s="33">
        <v>-62987.526190049772</v>
      </c>
      <c r="BI22" s="13">
        <v>-111844</v>
      </c>
      <c r="BJ22" s="13">
        <v>1598</v>
      </c>
      <c r="BK22" s="33">
        <v>37101.75</v>
      </c>
    </row>
    <row r="23" spans="1:63" ht="14.25" x14ac:dyDescent="0.2">
      <c r="A23" s="14">
        <v>79</v>
      </c>
      <c r="B23" s="14" t="s">
        <v>295</v>
      </c>
      <c r="C23" s="14">
        <v>6647</v>
      </c>
      <c r="D23" s="14">
        <v>263</v>
      </c>
      <c r="E23" s="14">
        <v>58</v>
      </c>
      <c r="F23" s="14">
        <v>399</v>
      </c>
      <c r="G23" s="14">
        <v>207</v>
      </c>
      <c r="H23" s="14">
        <v>5720</v>
      </c>
      <c r="I23" s="14">
        <v>3363</v>
      </c>
      <c r="K23" s="29">
        <v>313.33333333333331</v>
      </c>
      <c r="L23" s="29">
        <v>2783</v>
      </c>
      <c r="M23" s="14">
        <v>444.08333333333331</v>
      </c>
      <c r="N23" s="11">
        <v>361</v>
      </c>
      <c r="O23" s="11">
        <v>0</v>
      </c>
      <c r="P23" s="11">
        <v>13</v>
      </c>
      <c r="Q23" s="11">
        <v>0</v>
      </c>
      <c r="R23" s="11">
        <v>0</v>
      </c>
      <c r="S23" s="11">
        <v>123.48</v>
      </c>
      <c r="T23" s="14">
        <v>334</v>
      </c>
      <c r="U23" s="14">
        <v>1826</v>
      </c>
      <c r="V23" s="330"/>
      <c r="W23" s="11">
        <v>0</v>
      </c>
      <c r="X23" s="64">
        <v>3530</v>
      </c>
      <c r="Y23" s="64">
        <v>2476</v>
      </c>
      <c r="Z23" s="331">
        <v>0.86046135214711361</v>
      </c>
      <c r="AA23" s="31">
        <v>0</v>
      </c>
      <c r="AB23" s="11">
        <v>0</v>
      </c>
      <c r="AC23" s="11">
        <v>0</v>
      </c>
      <c r="AE23" s="32">
        <v>-329654.6225</v>
      </c>
      <c r="AF23" s="13">
        <v>-131953.49000000002</v>
      </c>
      <c r="AG23" s="13">
        <v>405339.7434121992</v>
      </c>
      <c r="AH23" s="13">
        <v>0</v>
      </c>
      <c r="AI23" s="13">
        <v>-15674.385424487176</v>
      </c>
      <c r="AJ23" s="13">
        <v>489725</v>
      </c>
      <c r="AK23" s="13">
        <v>169748</v>
      </c>
      <c r="AL23" s="13">
        <v>361767.99688373489</v>
      </c>
      <c r="AM23" s="13">
        <v>17405.703014667208</v>
      </c>
      <c r="AN23" s="13">
        <v>72742.07318975206</v>
      </c>
      <c r="AO23" s="13">
        <v>207561.9031788306</v>
      </c>
      <c r="AP23" s="13">
        <v>316837.43389339</v>
      </c>
      <c r="AQ23" s="13">
        <v>564778.05147175572</v>
      </c>
      <c r="AR23" s="13">
        <v>146060.94627804705</v>
      </c>
      <c r="AS23" s="13">
        <v>278126.9222357134</v>
      </c>
      <c r="AT23" s="34"/>
      <c r="AU23" s="13"/>
      <c r="AV23" s="34"/>
      <c r="AW23" s="34"/>
      <c r="AX23" s="34"/>
      <c r="AY23" s="13">
        <v>339018.68401967443</v>
      </c>
      <c r="AZ23" s="13">
        <v>216467.12512278371</v>
      </c>
      <c r="BA23" s="13">
        <v>205201.33587723473</v>
      </c>
      <c r="BB23" s="32">
        <v>-1053593.8958628413</v>
      </c>
      <c r="BC23" s="33">
        <v>-711728.63719219819</v>
      </c>
      <c r="BD23" s="33">
        <v>-198080.6</v>
      </c>
      <c r="BE23" s="33">
        <v>-75908.740000000005</v>
      </c>
      <c r="BF23" s="14"/>
      <c r="BG23" s="14">
        <v>582159.13361689472</v>
      </c>
      <c r="BH23" s="33">
        <v>-317898.58601216134</v>
      </c>
      <c r="BI23" s="13">
        <v>-55124</v>
      </c>
      <c r="BJ23" s="13">
        <v>1616</v>
      </c>
      <c r="BK23" s="33">
        <v>49557.337500000023</v>
      </c>
    </row>
    <row r="24" spans="1:63" ht="14.25" x14ac:dyDescent="0.2">
      <c r="A24" s="14">
        <v>81</v>
      </c>
      <c r="B24" s="14" t="s">
        <v>296</v>
      </c>
      <c r="C24" s="14">
        <v>2482</v>
      </c>
      <c r="D24" s="14">
        <v>87</v>
      </c>
      <c r="E24" s="14">
        <v>12</v>
      </c>
      <c r="F24" s="14">
        <v>102</v>
      </c>
      <c r="G24" s="14">
        <v>48</v>
      </c>
      <c r="H24" s="14">
        <v>2233</v>
      </c>
      <c r="I24" s="14">
        <v>1102</v>
      </c>
      <c r="K24" s="29">
        <v>122.08333333333333</v>
      </c>
      <c r="L24" s="29">
        <v>1005</v>
      </c>
      <c r="M24" s="14">
        <v>168.75</v>
      </c>
      <c r="N24" s="11">
        <v>91</v>
      </c>
      <c r="O24" s="11">
        <v>0</v>
      </c>
      <c r="P24" s="11">
        <v>2</v>
      </c>
      <c r="Q24" s="11">
        <v>0</v>
      </c>
      <c r="R24" s="11">
        <v>0</v>
      </c>
      <c r="S24" s="11">
        <v>542.97</v>
      </c>
      <c r="T24" s="14">
        <v>98</v>
      </c>
      <c r="U24" s="14">
        <v>516</v>
      </c>
      <c r="V24" s="330"/>
      <c r="W24" s="11">
        <v>1.0004999999999999</v>
      </c>
      <c r="X24" s="64">
        <v>823</v>
      </c>
      <c r="Y24" s="64">
        <v>828</v>
      </c>
      <c r="Z24" s="331">
        <v>0.91781890569236313</v>
      </c>
      <c r="AA24" s="31">
        <v>0</v>
      </c>
      <c r="AB24" s="11">
        <v>0</v>
      </c>
      <c r="AC24" s="11">
        <v>0</v>
      </c>
      <c r="AE24" s="32">
        <v>-86605.97</v>
      </c>
      <c r="AF24" s="13">
        <v>-51002.55</v>
      </c>
      <c r="AG24" s="13">
        <v>118360.59974001625</v>
      </c>
      <c r="AH24" s="13">
        <v>-7244.8875933428963</v>
      </c>
      <c r="AI24" s="13">
        <v>23086.252030702366</v>
      </c>
      <c r="AJ24" s="13">
        <v>382259</v>
      </c>
      <c r="AK24" s="13">
        <v>112706</v>
      </c>
      <c r="AL24" s="13">
        <v>280753.02524104732</v>
      </c>
      <c r="AM24" s="13">
        <v>16551.202542072944</v>
      </c>
      <c r="AN24" s="13">
        <v>-34065.640874922188</v>
      </c>
      <c r="AO24" s="13">
        <v>133220.72793783026</v>
      </c>
      <c r="AP24" s="13">
        <v>183270.36904974162</v>
      </c>
      <c r="AQ24" s="13">
        <v>273566.22968570556</v>
      </c>
      <c r="AR24" s="13">
        <v>94944.145394665335</v>
      </c>
      <c r="AS24" s="13">
        <v>153973.46332418438</v>
      </c>
      <c r="AT24" s="34"/>
      <c r="AU24" s="13"/>
      <c r="AV24" s="34"/>
      <c r="AW24" s="34"/>
      <c r="AX24" s="34"/>
      <c r="AY24" s="13">
        <v>215793.14930477855</v>
      </c>
      <c r="AZ24" s="13">
        <v>112894.19132592976</v>
      </c>
      <c r="BA24" s="13">
        <v>113695.02044041202</v>
      </c>
      <c r="BB24" s="32">
        <v>-140682.24961389371</v>
      </c>
      <c r="BC24" s="33">
        <v>-10879.554689744224</v>
      </c>
      <c r="BD24" s="33">
        <v>-73963.600000000006</v>
      </c>
      <c r="BE24" s="33">
        <v>-28344.44</v>
      </c>
      <c r="BF24" s="14"/>
      <c r="BG24" s="14">
        <v>456677.15282693121</v>
      </c>
      <c r="BH24" s="33">
        <v>398264.70643822732</v>
      </c>
      <c r="BI24" s="13">
        <v>-723321</v>
      </c>
      <c r="BJ24" s="13">
        <v>392</v>
      </c>
      <c r="BK24" s="33">
        <v>-171374.75</v>
      </c>
    </row>
    <row r="25" spans="1:63" ht="14.25" x14ac:dyDescent="0.2">
      <c r="A25" s="14">
        <v>82</v>
      </c>
      <c r="B25" s="14" t="s">
        <v>297</v>
      </c>
      <c r="C25" s="14">
        <v>9361</v>
      </c>
      <c r="D25" s="14">
        <v>451</v>
      </c>
      <c r="E25" s="14">
        <v>95</v>
      </c>
      <c r="F25" s="14">
        <v>674</v>
      </c>
      <c r="G25" s="14">
        <v>371</v>
      </c>
      <c r="H25" s="14">
        <v>7770</v>
      </c>
      <c r="I25" s="14">
        <v>5155</v>
      </c>
      <c r="K25" s="29">
        <v>298.33333333333331</v>
      </c>
      <c r="L25" s="29">
        <v>4447</v>
      </c>
      <c r="M25" s="14">
        <v>427.5</v>
      </c>
      <c r="N25" s="11">
        <v>249</v>
      </c>
      <c r="O25" s="11">
        <v>0</v>
      </c>
      <c r="P25" s="11">
        <v>36</v>
      </c>
      <c r="Q25" s="11">
        <v>0</v>
      </c>
      <c r="R25" s="11">
        <v>0</v>
      </c>
      <c r="S25" s="11">
        <v>357.8</v>
      </c>
      <c r="T25" s="14">
        <v>275</v>
      </c>
      <c r="U25" s="14">
        <v>2974</v>
      </c>
      <c r="V25" s="330"/>
      <c r="W25" s="11">
        <v>0</v>
      </c>
      <c r="X25" s="64">
        <v>2777</v>
      </c>
      <c r="Y25" s="64">
        <v>4151</v>
      </c>
      <c r="Z25" s="331">
        <v>1.0073929979911933</v>
      </c>
      <c r="AA25" s="31">
        <v>0</v>
      </c>
      <c r="AB25" s="11">
        <v>0</v>
      </c>
      <c r="AC25" s="11">
        <v>0</v>
      </c>
      <c r="AE25" s="32">
        <v>-190604.74</v>
      </c>
      <c r="AF25" s="13">
        <v>-180362.69</v>
      </c>
      <c r="AG25" s="13">
        <v>235899.34011272225</v>
      </c>
      <c r="AH25" s="13">
        <v>-87264.52203841944</v>
      </c>
      <c r="AI25" s="13">
        <v>2341.5256086401059</v>
      </c>
      <c r="AJ25" s="13">
        <v>676314</v>
      </c>
      <c r="AK25" s="13">
        <v>221366</v>
      </c>
      <c r="AL25" s="13">
        <v>445055.0591263313</v>
      </c>
      <c r="AM25" s="13">
        <v>6932.2159312707554</v>
      </c>
      <c r="AN25" s="13">
        <v>58409.760697824269</v>
      </c>
      <c r="AO25" s="13">
        <v>192372.52873674559</v>
      </c>
      <c r="AP25" s="13">
        <v>439754.50773878576</v>
      </c>
      <c r="AQ25" s="13">
        <v>739872.38132623909</v>
      </c>
      <c r="AR25" s="13">
        <v>197045.6477393645</v>
      </c>
      <c r="AS25" s="13">
        <v>346997.48782711948</v>
      </c>
      <c r="AT25" s="34"/>
      <c r="AU25" s="13"/>
      <c r="AV25" s="34"/>
      <c r="AW25" s="34"/>
      <c r="AX25" s="34"/>
      <c r="AY25" s="13">
        <v>452002.21428467357</v>
      </c>
      <c r="AZ25" s="13">
        <v>280987.14230088139</v>
      </c>
      <c r="BA25" s="13">
        <v>292637.98744567903</v>
      </c>
      <c r="BB25" s="32">
        <v>146175.49532770694</v>
      </c>
      <c r="BC25" s="33">
        <v>-39557.79034239168</v>
      </c>
      <c r="BD25" s="33">
        <v>-278957.8</v>
      </c>
      <c r="BE25" s="33">
        <v>-106902.62</v>
      </c>
      <c r="BF25" s="14"/>
      <c r="BG25" s="14">
        <v>670535.02833295893</v>
      </c>
      <c r="BH25" s="33">
        <v>523213.9228441983</v>
      </c>
      <c r="BI25" s="13">
        <v>-2034140</v>
      </c>
      <c r="BJ25" s="13">
        <v>2607</v>
      </c>
      <c r="BK25" s="33">
        <v>759.70250000001397</v>
      </c>
    </row>
    <row r="26" spans="1:63" ht="14.25" x14ac:dyDescent="0.2">
      <c r="A26" s="14">
        <v>86</v>
      </c>
      <c r="B26" s="14" t="s">
        <v>298</v>
      </c>
      <c r="C26" s="14">
        <v>7901</v>
      </c>
      <c r="D26" s="14">
        <v>359</v>
      </c>
      <c r="E26" s="14">
        <v>70</v>
      </c>
      <c r="F26" s="14">
        <v>552</v>
      </c>
      <c r="G26" s="14">
        <v>306</v>
      </c>
      <c r="H26" s="14">
        <v>6614</v>
      </c>
      <c r="I26" s="14">
        <v>4402</v>
      </c>
      <c r="K26" s="29">
        <v>275.25</v>
      </c>
      <c r="L26" s="29">
        <v>3857</v>
      </c>
      <c r="M26" s="14">
        <v>408.58333333333337</v>
      </c>
      <c r="N26" s="11">
        <v>291</v>
      </c>
      <c r="O26" s="11">
        <v>0</v>
      </c>
      <c r="P26" s="11">
        <v>32</v>
      </c>
      <c r="Q26" s="11">
        <v>0</v>
      </c>
      <c r="R26" s="11">
        <v>0</v>
      </c>
      <c r="S26" s="11">
        <v>389.52</v>
      </c>
      <c r="T26" s="14">
        <v>306</v>
      </c>
      <c r="U26" s="14">
        <v>2480</v>
      </c>
      <c r="V26" s="330"/>
      <c r="W26" s="11">
        <v>0</v>
      </c>
      <c r="X26" s="64">
        <v>1744</v>
      </c>
      <c r="Y26" s="64">
        <v>3537</v>
      </c>
      <c r="Z26" s="331">
        <v>1.0128696070875356</v>
      </c>
      <c r="AA26" s="31">
        <v>0</v>
      </c>
      <c r="AB26" s="11">
        <v>0</v>
      </c>
      <c r="AC26" s="11">
        <v>4</v>
      </c>
      <c r="AE26" s="32">
        <v>-225125.83249999999</v>
      </c>
      <c r="AF26" s="13">
        <v>-157041.75</v>
      </c>
      <c r="AG26" s="13">
        <v>429084.17827694298</v>
      </c>
      <c r="AH26" s="13">
        <v>-102526.05363247151</v>
      </c>
      <c r="AI26" s="13">
        <v>-5741.480320940027</v>
      </c>
      <c r="AJ26" s="13">
        <v>684929</v>
      </c>
      <c r="AK26" s="13">
        <v>219405</v>
      </c>
      <c r="AL26" s="13">
        <v>453618.33415046043</v>
      </c>
      <c r="AM26" s="13">
        <v>11746.726739898262</v>
      </c>
      <c r="AN26" s="13">
        <v>84479.084945310038</v>
      </c>
      <c r="AO26" s="13">
        <v>176088.1724966164</v>
      </c>
      <c r="AP26" s="13">
        <v>436966.13277363649</v>
      </c>
      <c r="AQ26" s="13">
        <v>725646.86964188644</v>
      </c>
      <c r="AR26" s="13">
        <v>189210.61735064804</v>
      </c>
      <c r="AS26" s="13">
        <v>336533.31482467405</v>
      </c>
      <c r="AT26" s="34"/>
      <c r="AU26" s="13"/>
      <c r="AV26" s="34"/>
      <c r="AW26" s="34"/>
      <c r="AX26" s="34"/>
      <c r="AY26" s="13">
        <v>442703.56986320257</v>
      </c>
      <c r="AZ26" s="13">
        <v>278593.25521584827</v>
      </c>
      <c r="BA26" s="13">
        <v>278937.71489269892</v>
      </c>
      <c r="BB26" s="32">
        <v>-402318.4142881424</v>
      </c>
      <c r="BC26" s="33">
        <v>-187817.12009260076</v>
      </c>
      <c r="BD26" s="33">
        <v>-235449.80000000002</v>
      </c>
      <c r="BE26" s="33">
        <v>-90229.42</v>
      </c>
      <c r="BF26" s="14"/>
      <c r="BG26" s="14">
        <v>713485.66106503946</v>
      </c>
      <c r="BH26" s="33">
        <v>2536218.7183283903</v>
      </c>
      <c r="BI26" s="13">
        <v>-1124940</v>
      </c>
      <c r="BJ26" s="13">
        <v>2091</v>
      </c>
      <c r="BK26" s="33">
        <v>23144.425000000047</v>
      </c>
    </row>
    <row r="27" spans="1:63" ht="14.25" x14ac:dyDescent="0.2">
      <c r="A27" s="14">
        <v>111</v>
      </c>
      <c r="B27" s="14" t="s">
        <v>310</v>
      </c>
      <c r="C27" s="14">
        <v>17829</v>
      </c>
      <c r="D27" s="14">
        <v>513</v>
      </c>
      <c r="E27" s="14">
        <v>107</v>
      </c>
      <c r="F27" s="14">
        <v>817</v>
      </c>
      <c r="G27" s="14">
        <v>489</v>
      </c>
      <c r="H27" s="14">
        <v>15903</v>
      </c>
      <c r="I27" s="14">
        <v>8781</v>
      </c>
      <c r="K27" s="29">
        <v>1082.5833333333333</v>
      </c>
      <c r="L27" s="29">
        <v>7460</v>
      </c>
      <c r="M27" s="14">
        <v>1413.6666666666665</v>
      </c>
      <c r="N27" s="11">
        <v>988</v>
      </c>
      <c r="O27" s="11">
        <v>0</v>
      </c>
      <c r="P27" s="11">
        <v>40</v>
      </c>
      <c r="Q27" s="11">
        <v>0</v>
      </c>
      <c r="R27" s="11">
        <v>0</v>
      </c>
      <c r="S27" s="11">
        <v>675.97</v>
      </c>
      <c r="T27" s="14">
        <v>855</v>
      </c>
      <c r="U27" s="14">
        <v>4363</v>
      </c>
      <c r="V27" s="330"/>
      <c r="W27" s="11">
        <v>0</v>
      </c>
      <c r="X27" s="64">
        <v>6076</v>
      </c>
      <c r="Y27" s="64">
        <v>6266</v>
      </c>
      <c r="Z27" s="331">
        <v>1.0421938585490094</v>
      </c>
      <c r="AA27" s="31">
        <v>0</v>
      </c>
      <c r="AB27" s="11">
        <v>0</v>
      </c>
      <c r="AC27" s="11">
        <v>1</v>
      </c>
      <c r="AE27" s="32">
        <v>-995523.20244999998</v>
      </c>
      <c r="AF27" s="13">
        <v>-355327.37</v>
      </c>
      <c r="AG27" s="13">
        <v>580310.68038950115</v>
      </c>
      <c r="AH27" s="13">
        <v>-190017.7533551415</v>
      </c>
      <c r="AI27" s="13">
        <v>133830.09111663356</v>
      </c>
      <c r="AJ27" s="13">
        <v>1456682</v>
      </c>
      <c r="AK27" s="13">
        <v>464204</v>
      </c>
      <c r="AL27" s="13">
        <v>1094866.502573506</v>
      </c>
      <c r="AM27" s="13">
        <v>51131.63424286549</v>
      </c>
      <c r="AN27" s="13">
        <v>176358.02767384014</v>
      </c>
      <c r="AO27" s="13">
        <v>602628.23120425513</v>
      </c>
      <c r="AP27" s="13">
        <v>940187.99114162312</v>
      </c>
      <c r="AQ27" s="13">
        <v>1578097.1405111526</v>
      </c>
      <c r="AR27" s="13">
        <v>472697.78597736609</v>
      </c>
      <c r="AS27" s="13">
        <v>815657.87243266194</v>
      </c>
      <c r="AT27" s="34"/>
      <c r="AU27" s="13"/>
      <c r="AV27" s="34"/>
      <c r="AW27" s="34"/>
      <c r="AX27" s="34"/>
      <c r="AY27" s="13">
        <v>1054434.0779268781</v>
      </c>
      <c r="AZ27" s="13">
        <v>611502.71016074962</v>
      </c>
      <c r="BA27" s="13">
        <v>608858.81233174924</v>
      </c>
      <c r="BB27" s="32">
        <v>3283324.5640364131</v>
      </c>
      <c r="BC27" s="33">
        <v>2913847.119219434</v>
      </c>
      <c r="BD27" s="33">
        <v>-531304.20000000007</v>
      </c>
      <c r="BE27" s="33">
        <v>-203607.18</v>
      </c>
      <c r="BF27" s="14"/>
      <c r="BG27" s="14">
        <v>1914641.9292216464</v>
      </c>
      <c r="BH27" s="33">
        <v>4234258.5979948901</v>
      </c>
      <c r="BI27" s="13">
        <v>-2282506</v>
      </c>
      <c r="BJ27" s="13">
        <v>3631</v>
      </c>
      <c r="BK27" s="33">
        <v>151021.78999999998</v>
      </c>
    </row>
    <row r="28" spans="1:63" ht="14.25" x14ac:dyDescent="0.2">
      <c r="A28" s="14">
        <v>90</v>
      </c>
      <c r="B28" s="14" t="s">
        <v>299</v>
      </c>
      <c r="C28" s="14">
        <v>2929</v>
      </c>
      <c r="D28" s="14">
        <v>65</v>
      </c>
      <c r="E28" s="14">
        <v>9</v>
      </c>
      <c r="F28" s="14">
        <v>116</v>
      </c>
      <c r="G28" s="14">
        <v>89</v>
      </c>
      <c r="H28" s="14">
        <v>2650</v>
      </c>
      <c r="I28" s="14">
        <v>1305</v>
      </c>
      <c r="K28" s="29">
        <v>127.91666666666667</v>
      </c>
      <c r="L28" s="29">
        <v>1139</v>
      </c>
      <c r="M28" s="14">
        <v>199.25</v>
      </c>
      <c r="N28" s="11">
        <v>128</v>
      </c>
      <c r="O28" s="11">
        <v>0</v>
      </c>
      <c r="P28" s="11">
        <v>10</v>
      </c>
      <c r="Q28" s="11">
        <v>0</v>
      </c>
      <c r="R28" s="11">
        <v>0</v>
      </c>
      <c r="S28" s="11">
        <v>1030</v>
      </c>
      <c r="T28" s="14">
        <v>128</v>
      </c>
      <c r="U28" s="14">
        <v>645</v>
      </c>
      <c r="V28" s="330"/>
      <c r="W28" s="11">
        <v>1.6935833333333332</v>
      </c>
      <c r="X28" s="64">
        <v>955</v>
      </c>
      <c r="Y28" s="64">
        <v>967</v>
      </c>
      <c r="Z28" s="331">
        <v>0.77216605914739467</v>
      </c>
      <c r="AA28" s="31">
        <v>0</v>
      </c>
      <c r="AB28" s="11">
        <v>0</v>
      </c>
      <c r="AC28" s="11">
        <v>0</v>
      </c>
      <c r="AE28" s="32">
        <v>-109418.53140000001</v>
      </c>
      <c r="AF28" s="13">
        <v>-61395.16</v>
      </c>
      <c r="AG28" s="13">
        <v>157682.6419541467</v>
      </c>
      <c r="AH28" s="13">
        <v>-12813.776853793199</v>
      </c>
      <c r="AI28" s="13">
        <v>44708.992405737248</v>
      </c>
      <c r="AJ28" s="13">
        <v>414960</v>
      </c>
      <c r="AK28" s="13">
        <v>115556</v>
      </c>
      <c r="AL28" s="13">
        <v>307791.14450007031</v>
      </c>
      <c r="AM28" s="13">
        <v>16925.364455990541</v>
      </c>
      <c r="AN28" s="13">
        <v>55473.379691860675</v>
      </c>
      <c r="AO28" s="13">
        <v>155595.83504072958</v>
      </c>
      <c r="AP28" s="13">
        <v>191991.19827667397</v>
      </c>
      <c r="AQ28" s="13">
        <v>291574.71041543433</v>
      </c>
      <c r="AR28" s="13">
        <v>90136.825124678668</v>
      </c>
      <c r="AS28" s="13">
        <v>169233.90248930658</v>
      </c>
      <c r="AT28" s="34"/>
      <c r="AU28" s="13"/>
      <c r="AV28" s="34"/>
      <c r="AW28" s="34"/>
      <c r="AX28" s="34"/>
      <c r="AY28" s="13">
        <v>235908.47120660375</v>
      </c>
      <c r="AZ28" s="13">
        <v>118060.74426738336</v>
      </c>
      <c r="BA28" s="13">
        <v>110069.00848010452</v>
      </c>
      <c r="BB28" s="32">
        <v>-485495.99844049948</v>
      </c>
      <c r="BC28" s="33">
        <v>-951279.8474813801</v>
      </c>
      <c r="BD28" s="33">
        <v>-87284.2</v>
      </c>
      <c r="BE28" s="33">
        <v>-33449.18</v>
      </c>
      <c r="BF28" s="14"/>
      <c r="BG28" s="14">
        <v>514859.88061162498</v>
      </c>
      <c r="BH28" s="33">
        <v>827417.58313926822</v>
      </c>
      <c r="BI28" s="13">
        <v>-377625</v>
      </c>
      <c r="BJ28" s="13">
        <v>458</v>
      </c>
      <c r="BK28" s="33">
        <v>-26501.25</v>
      </c>
    </row>
    <row r="29" spans="1:63" ht="14.25" x14ac:dyDescent="0.2">
      <c r="A29" s="14">
        <v>91</v>
      </c>
      <c r="B29" s="14" t="s">
        <v>300</v>
      </c>
      <c r="C29" s="14">
        <v>684018</v>
      </c>
      <c r="D29" s="14">
        <v>36903</v>
      </c>
      <c r="E29" s="14">
        <v>6019</v>
      </c>
      <c r="F29" s="14">
        <v>39655</v>
      </c>
      <c r="G29" s="14">
        <v>19643</v>
      </c>
      <c r="H29" s="14">
        <v>581798</v>
      </c>
      <c r="I29" s="14">
        <v>448558</v>
      </c>
      <c r="K29" s="29">
        <v>41743.75</v>
      </c>
      <c r="L29" s="29">
        <v>359047</v>
      </c>
      <c r="M29" s="14">
        <v>54675.75</v>
      </c>
      <c r="N29" s="11">
        <v>139832</v>
      </c>
      <c r="O29" s="11">
        <v>1</v>
      </c>
      <c r="P29" s="11">
        <v>36945</v>
      </c>
      <c r="Q29" s="11">
        <v>3</v>
      </c>
      <c r="R29" s="11">
        <v>974</v>
      </c>
      <c r="S29" s="11">
        <v>214.58</v>
      </c>
      <c r="T29" s="14">
        <v>44856</v>
      </c>
      <c r="U29" s="14">
        <v>256293</v>
      </c>
      <c r="V29" s="330"/>
      <c r="W29" s="11">
        <v>0</v>
      </c>
      <c r="X29" s="64">
        <v>430886</v>
      </c>
      <c r="Y29" s="64">
        <v>324589</v>
      </c>
      <c r="Z29" s="331">
        <v>1.075009189226507</v>
      </c>
      <c r="AA29" s="31">
        <v>1.2780767317645287</v>
      </c>
      <c r="AB29" s="11">
        <v>0</v>
      </c>
      <c r="AC29" s="11">
        <v>69</v>
      </c>
      <c r="AE29" s="32">
        <v>-68230411.420550004</v>
      </c>
      <c r="AF29" s="13">
        <v>-12619433.200000001</v>
      </c>
      <c r="AG29" s="13">
        <v>17349434.160264015</v>
      </c>
      <c r="AH29" s="13">
        <v>-7512374.4958210057</v>
      </c>
      <c r="AI29" s="13">
        <v>-2549922.9165376537</v>
      </c>
      <c r="AJ29" s="13">
        <v>33023199</v>
      </c>
      <c r="AK29" s="13">
        <v>13663332</v>
      </c>
      <c r="AL29" s="13">
        <v>32140867.169646222</v>
      </c>
      <c r="AM29" s="13">
        <v>1308957.2843008279</v>
      </c>
      <c r="AN29" s="13">
        <v>-4477969.0558731928</v>
      </c>
      <c r="AO29" s="13">
        <v>10724768.730212379</v>
      </c>
      <c r="AP29" s="13">
        <v>29262801.231433734</v>
      </c>
      <c r="AQ29" s="13">
        <v>38415270.925148882</v>
      </c>
      <c r="AR29" s="13">
        <v>16686708.26220784</v>
      </c>
      <c r="AS29" s="13">
        <v>24888950.392245889</v>
      </c>
      <c r="AT29" s="34"/>
      <c r="AU29" s="13"/>
      <c r="AV29" s="34"/>
      <c r="AW29" s="34"/>
      <c r="AX29" s="34"/>
      <c r="AY29" s="13">
        <v>40187533.043038309</v>
      </c>
      <c r="AZ29" s="13">
        <v>21222019.270415824</v>
      </c>
      <c r="BA29" s="13">
        <v>21073375.173252627</v>
      </c>
      <c r="BB29" s="32">
        <v>55076117.060363501</v>
      </c>
      <c r="BC29" s="33">
        <v>-11270173.688024743</v>
      </c>
      <c r="BD29" s="33">
        <v>-20383736.400000002</v>
      </c>
      <c r="BE29" s="33">
        <v>-7811485.5599999996</v>
      </c>
      <c r="BF29" s="14"/>
      <c r="BG29" s="14">
        <v>70011189.737893701</v>
      </c>
      <c r="BH29" s="33">
        <v>-57146063.111426309</v>
      </c>
      <c r="BI29" s="13">
        <v>55938847</v>
      </c>
      <c r="BJ29" s="13">
        <v>217760</v>
      </c>
      <c r="BK29" s="33">
        <v>-120431208.08275005</v>
      </c>
    </row>
    <row r="30" spans="1:63" ht="14.25" x14ac:dyDescent="0.2">
      <c r="A30" s="14">
        <v>97</v>
      </c>
      <c r="B30" s="14" t="s">
        <v>302</v>
      </c>
      <c r="C30" s="14">
        <v>2059</v>
      </c>
      <c r="D30" s="14">
        <v>76</v>
      </c>
      <c r="E30" s="14">
        <v>11</v>
      </c>
      <c r="F30" s="14">
        <v>91</v>
      </c>
      <c r="G30" s="14">
        <v>49</v>
      </c>
      <c r="H30" s="14">
        <v>1832</v>
      </c>
      <c r="I30" s="14">
        <v>966</v>
      </c>
      <c r="K30" s="29">
        <v>83.416666666666671</v>
      </c>
      <c r="L30" s="29">
        <v>842</v>
      </c>
      <c r="M30" s="14">
        <v>116.08333333333334</v>
      </c>
      <c r="N30" s="11">
        <v>61</v>
      </c>
      <c r="O30" s="11">
        <v>0</v>
      </c>
      <c r="P30" s="11">
        <v>8</v>
      </c>
      <c r="Q30" s="11">
        <v>3</v>
      </c>
      <c r="R30" s="11">
        <v>1590</v>
      </c>
      <c r="S30" s="11">
        <v>465.19</v>
      </c>
      <c r="T30" s="14">
        <v>63</v>
      </c>
      <c r="U30" s="14">
        <v>471</v>
      </c>
      <c r="V30" s="330"/>
      <c r="W30" s="11">
        <v>0.77800000000000002</v>
      </c>
      <c r="X30" s="64">
        <v>497</v>
      </c>
      <c r="Y30" s="64">
        <v>720</v>
      </c>
      <c r="Z30" s="331">
        <v>0.91904572786789274</v>
      </c>
      <c r="AA30" s="31">
        <v>0</v>
      </c>
      <c r="AB30" s="11">
        <v>0</v>
      </c>
      <c r="AC30" s="11">
        <v>0</v>
      </c>
      <c r="AE30" s="32">
        <v>-55917.8125</v>
      </c>
      <c r="AF30" s="13">
        <v>-41416.76</v>
      </c>
      <c r="AG30" s="13">
        <v>71137.816863066037</v>
      </c>
      <c r="AH30" s="13">
        <v>-10624.723442670676</v>
      </c>
      <c r="AI30" s="13">
        <v>19614.620902299779</v>
      </c>
      <c r="AJ30" s="13">
        <v>269011</v>
      </c>
      <c r="AK30" s="13">
        <v>77732</v>
      </c>
      <c r="AL30" s="13">
        <v>190041.25671568306</v>
      </c>
      <c r="AM30" s="13">
        <v>10897.256558483559</v>
      </c>
      <c r="AN30" s="13">
        <v>25535.254371790128</v>
      </c>
      <c r="AO30" s="13">
        <v>85775.731709498097</v>
      </c>
      <c r="AP30" s="13">
        <v>128813.02749965513</v>
      </c>
      <c r="AQ30" s="13">
        <v>190256.91296283979</v>
      </c>
      <c r="AR30" s="13">
        <v>60157.407084633342</v>
      </c>
      <c r="AS30" s="13">
        <v>104659.81900820851</v>
      </c>
      <c r="AT30" s="34"/>
      <c r="AU30" s="13"/>
      <c r="AV30" s="34"/>
      <c r="AW30" s="34"/>
      <c r="AX30" s="34"/>
      <c r="AY30" s="13">
        <v>146024.33641927896</v>
      </c>
      <c r="AZ30" s="13">
        <v>77665.859780905463</v>
      </c>
      <c r="BA30" s="13">
        <v>76438.731557763953</v>
      </c>
      <c r="BB30" s="32">
        <v>-405409.91501179541</v>
      </c>
      <c r="BC30" s="33">
        <v>99775.455091083597</v>
      </c>
      <c r="BD30" s="33">
        <v>-61358.200000000004</v>
      </c>
      <c r="BE30" s="33">
        <v>-23513.78</v>
      </c>
      <c r="BF30" s="14"/>
      <c r="BG30" s="14">
        <v>349150.21440371079</v>
      </c>
      <c r="BH30" s="33">
        <v>198554.79615271909</v>
      </c>
      <c r="BI30" s="13">
        <v>-539473</v>
      </c>
      <c r="BJ30" s="13">
        <v>375</v>
      </c>
      <c r="BK30" s="33">
        <v>13745.315000000002</v>
      </c>
    </row>
    <row r="31" spans="1:63" ht="14.25" x14ac:dyDescent="0.2">
      <c r="A31" s="14">
        <v>98</v>
      </c>
      <c r="B31" s="14" t="s">
        <v>303</v>
      </c>
      <c r="C31" s="14">
        <v>22849</v>
      </c>
      <c r="D31" s="14">
        <v>1137</v>
      </c>
      <c r="E31" s="14">
        <v>207</v>
      </c>
      <c r="F31" s="14">
        <v>1674</v>
      </c>
      <c r="G31" s="14">
        <v>877</v>
      </c>
      <c r="H31" s="14">
        <v>18954</v>
      </c>
      <c r="I31" s="14">
        <v>12104</v>
      </c>
      <c r="K31" s="29">
        <v>812</v>
      </c>
      <c r="L31" s="29">
        <v>10464</v>
      </c>
      <c r="M31" s="14">
        <v>1127.1666666666667</v>
      </c>
      <c r="N31" s="11">
        <v>802</v>
      </c>
      <c r="O31" s="11">
        <v>0</v>
      </c>
      <c r="P31" s="11">
        <v>80</v>
      </c>
      <c r="Q31" s="11">
        <v>0</v>
      </c>
      <c r="R31" s="11">
        <v>0</v>
      </c>
      <c r="S31" s="11">
        <v>651.94000000000005</v>
      </c>
      <c r="T31" s="14">
        <v>793</v>
      </c>
      <c r="U31" s="14">
        <v>6914</v>
      </c>
      <c r="V31" s="330"/>
      <c r="W31" s="11">
        <v>0</v>
      </c>
      <c r="X31" s="64">
        <v>5808</v>
      </c>
      <c r="Y31" s="64">
        <v>9470</v>
      </c>
      <c r="Z31" s="331">
        <v>0.97765692742361598</v>
      </c>
      <c r="AA31" s="31">
        <v>0</v>
      </c>
      <c r="AB31" s="11">
        <v>0</v>
      </c>
      <c r="AC31" s="11">
        <v>3</v>
      </c>
      <c r="AE31" s="32">
        <v>-815141.73499999999</v>
      </c>
      <c r="AF31" s="13">
        <v>-446651.71</v>
      </c>
      <c r="AG31" s="13">
        <v>721277.40261503099</v>
      </c>
      <c r="AH31" s="13">
        <v>-447017.1115949931</v>
      </c>
      <c r="AI31" s="13">
        <v>76156.771974823321</v>
      </c>
      <c r="AJ31" s="13">
        <v>1736483</v>
      </c>
      <c r="AK31" s="13">
        <v>558359</v>
      </c>
      <c r="AL31" s="13">
        <v>1223351.0324556248</v>
      </c>
      <c r="AM31" s="13">
        <v>36326.026434510357</v>
      </c>
      <c r="AN31" s="13">
        <v>-13553.016595419416</v>
      </c>
      <c r="AO31" s="13">
        <v>554073.51284309255</v>
      </c>
      <c r="AP31" s="13">
        <v>1083021.0232353462</v>
      </c>
      <c r="AQ31" s="13">
        <v>1830343.4831230547</v>
      </c>
      <c r="AR31" s="13">
        <v>480880.24455101008</v>
      </c>
      <c r="AS31" s="13">
        <v>881083.62266663776</v>
      </c>
      <c r="AT31" s="34"/>
      <c r="AU31" s="13"/>
      <c r="AV31" s="34"/>
      <c r="AW31" s="34"/>
      <c r="AX31" s="34"/>
      <c r="AY31" s="13">
        <v>1130665.4157508614</v>
      </c>
      <c r="AZ31" s="13">
        <v>692413.03605301993</v>
      </c>
      <c r="BA31" s="13">
        <v>695894.09732116992</v>
      </c>
      <c r="BB31" s="32">
        <v>4495154.9679005193</v>
      </c>
      <c r="BC31" s="32">
        <v>1899914.2081101683</v>
      </c>
      <c r="BD31" s="32">
        <v>-680900.20000000007</v>
      </c>
      <c r="BE31" s="32">
        <v>-260935.58</v>
      </c>
      <c r="BF31" s="14"/>
      <c r="BG31" s="14">
        <v>1831010.46366662</v>
      </c>
      <c r="BH31" s="33">
        <v>6071419.2405670211</v>
      </c>
      <c r="BI31" s="13">
        <v>-5195002</v>
      </c>
      <c r="BJ31" s="13">
        <v>6153</v>
      </c>
      <c r="BK31" s="33">
        <v>-2635231.2974999999</v>
      </c>
    </row>
    <row r="32" spans="1:63" ht="14.25" x14ac:dyDescent="0.2">
      <c r="A32" s="14">
        <v>102</v>
      </c>
      <c r="B32" s="14" t="s">
        <v>304</v>
      </c>
      <c r="C32" s="14">
        <v>9555</v>
      </c>
      <c r="D32" s="14">
        <v>397</v>
      </c>
      <c r="E32" s="14">
        <v>66</v>
      </c>
      <c r="F32" s="14">
        <v>562</v>
      </c>
      <c r="G32" s="14">
        <v>320</v>
      </c>
      <c r="H32" s="14">
        <v>8210</v>
      </c>
      <c r="I32" s="14">
        <v>4997</v>
      </c>
      <c r="K32" s="29">
        <v>339.75</v>
      </c>
      <c r="L32" s="29">
        <v>4303</v>
      </c>
      <c r="M32" s="14">
        <v>470.16666666666663</v>
      </c>
      <c r="N32" s="11">
        <v>552</v>
      </c>
      <c r="O32" s="11">
        <v>0</v>
      </c>
      <c r="P32" s="11">
        <v>20</v>
      </c>
      <c r="Q32" s="11">
        <v>0</v>
      </c>
      <c r="R32" s="11">
        <v>0</v>
      </c>
      <c r="S32" s="11">
        <v>532.65</v>
      </c>
      <c r="T32" s="14">
        <v>413</v>
      </c>
      <c r="U32" s="14">
        <v>2643</v>
      </c>
      <c r="V32" s="330"/>
      <c r="W32" s="11">
        <v>0</v>
      </c>
      <c r="X32" s="64">
        <v>3962</v>
      </c>
      <c r="Y32" s="64">
        <v>3906</v>
      </c>
      <c r="Z32" s="331">
        <v>0.85847637752208505</v>
      </c>
      <c r="AA32" s="31">
        <v>0</v>
      </c>
      <c r="AB32" s="11">
        <v>0</v>
      </c>
      <c r="AC32" s="11">
        <v>0</v>
      </c>
      <c r="AE32" s="32">
        <v>-254979.133</v>
      </c>
      <c r="AF32" s="13">
        <v>-190889.77000000002</v>
      </c>
      <c r="AG32" s="13">
        <v>541626.13667940395</v>
      </c>
      <c r="AH32" s="13">
        <v>-130808.5873508996</v>
      </c>
      <c r="AI32" s="13">
        <v>-36743.137213272217</v>
      </c>
      <c r="AJ32" s="13">
        <v>957097</v>
      </c>
      <c r="AK32" s="13">
        <v>307625</v>
      </c>
      <c r="AL32" s="13">
        <v>775785.65017119201</v>
      </c>
      <c r="AM32" s="13">
        <v>36395.601393886747</v>
      </c>
      <c r="AN32" s="13">
        <v>60999.028802497414</v>
      </c>
      <c r="AO32" s="13">
        <v>342628.85533858417</v>
      </c>
      <c r="AP32" s="13">
        <v>602833.9381420163</v>
      </c>
      <c r="AQ32" s="13">
        <v>951555.92533722846</v>
      </c>
      <c r="AR32" s="13">
        <v>298048.6815636204</v>
      </c>
      <c r="AS32" s="13">
        <v>488371.1271958896</v>
      </c>
      <c r="AT32" s="34"/>
      <c r="AU32" s="13"/>
      <c r="AV32" s="34"/>
      <c r="AW32" s="34"/>
      <c r="AX32" s="34"/>
      <c r="AY32" s="13">
        <v>660127.54033724486</v>
      </c>
      <c r="AZ32" s="13">
        <v>374531.5869574559</v>
      </c>
      <c r="BA32" s="13">
        <v>387970.93960708322</v>
      </c>
      <c r="BB32" s="32">
        <v>310285.04827605054</v>
      </c>
      <c r="BC32" s="33">
        <v>-41189.30087473095</v>
      </c>
      <c r="BD32" s="33">
        <v>-284739</v>
      </c>
      <c r="BE32" s="33">
        <v>-109118.1</v>
      </c>
      <c r="BF32" s="14"/>
      <c r="BG32" s="14">
        <v>1424260.9195154749</v>
      </c>
      <c r="BH32" s="33">
        <v>3890123.322890617</v>
      </c>
      <c r="BI32" s="13">
        <v>1074556</v>
      </c>
      <c r="BJ32" s="13">
        <v>2454</v>
      </c>
      <c r="BK32" s="33">
        <v>191074.01249999995</v>
      </c>
    </row>
    <row r="33" spans="1:63" ht="14.25" x14ac:dyDescent="0.2">
      <c r="A33" s="14">
        <v>103</v>
      </c>
      <c r="B33" s="14" t="s">
        <v>305</v>
      </c>
      <c r="C33" s="14">
        <v>2094</v>
      </c>
      <c r="D33" s="14">
        <v>94</v>
      </c>
      <c r="E33" s="14">
        <v>13</v>
      </c>
      <c r="F33" s="14">
        <v>105</v>
      </c>
      <c r="G33" s="14">
        <v>63</v>
      </c>
      <c r="H33" s="14">
        <v>1819</v>
      </c>
      <c r="I33" s="14">
        <v>1081</v>
      </c>
      <c r="K33" s="29">
        <v>89.75</v>
      </c>
      <c r="L33" s="29">
        <v>958</v>
      </c>
      <c r="M33" s="14">
        <v>125.91666666666666</v>
      </c>
      <c r="N33" s="11">
        <v>61</v>
      </c>
      <c r="O33" s="11">
        <v>0</v>
      </c>
      <c r="P33" s="11">
        <v>5</v>
      </c>
      <c r="Q33" s="11">
        <v>0</v>
      </c>
      <c r="R33" s="11">
        <v>0</v>
      </c>
      <c r="S33" s="11">
        <v>147.96</v>
      </c>
      <c r="T33" s="14">
        <v>88</v>
      </c>
      <c r="U33" s="14">
        <v>560</v>
      </c>
      <c r="V33" s="330"/>
      <c r="W33" s="11">
        <v>0</v>
      </c>
      <c r="X33" s="64">
        <v>497</v>
      </c>
      <c r="Y33" s="64">
        <v>821</v>
      </c>
      <c r="Z33" s="331">
        <v>0.91304634936612195</v>
      </c>
      <c r="AA33" s="31">
        <v>0</v>
      </c>
      <c r="AB33" s="11">
        <v>0</v>
      </c>
      <c r="AC33" s="11">
        <v>0</v>
      </c>
      <c r="AE33" s="32">
        <v>-74576.074999999997</v>
      </c>
      <c r="AF33" s="13">
        <v>-41762.54</v>
      </c>
      <c r="AG33" s="13">
        <v>120371.25168263924</v>
      </c>
      <c r="AH33" s="13">
        <v>-29684.575799702354</v>
      </c>
      <c r="AI33" s="13">
        <v>-3501.0902898531931</v>
      </c>
      <c r="AJ33" s="13">
        <v>237213</v>
      </c>
      <c r="AK33" s="13">
        <v>76959</v>
      </c>
      <c r="AL33" s="13">
        <v>185381.41894099</v>
      </c>
      <c r="AM33" s="13">
        <v>8896.7136972125118</v>
      </c>
      <c r="AN33" s="13">
        <v>23020.654666398081</v>
      </c>
      <c r="AO33" s="13">
        <v>81482.308758963845</v>
      </c>
      <c r="AP33" s="13">
        <v>137785.34401540196</v>
      </c>
      <c r="AQ33" s="13">
        <v>228247.47389965283</v>
      </c>
      <c r="AR33" s="13">
        <v>63114.290344115077</v>
      </c>
      <c r="AS33" s="13">
        <v>116107.3790465076</v>
      </c>
      <c r="AT33" s="34"/>
      <c r="AU33" s="13"/>
      <c r="AV33" s="34"/>
      <c r="AW33" s="34"/>
      <c r="AX33" s="34"/>
      <c r="AY33" s="13">
        <v>161350.57343617201</v>
      </c>
      <c r="AZ33" s="13">
        <v>88098.615927090214</v>
      </c>
      <c r="BA33" s="13">
        <v>85151.131473223213</v>
      </c>
      <c r="BB33" s="32">
        <v>142099.67890654004</v>
      </c>
      <c r="BC33" s="33">
        <v>-9133.9229543656838</v>
      </c>
      <c r="BD33" s="33">
        <v>-62401.200000000004</v>
      </c>
      <c r="BE33" s="33">
        <v>-23913.48</v>
      </c>
      <c r="BF33" s="14"/>
      <c r="BG33" s="14">
        <v>344837.57470663637</v>
      </c>
      <c r="BH33" s="33">
        <v>1101989.9896684526</v>
      </c>
      <c r="BI33" s="13">
        <v>-547163</v>
      </c>
      <c r="BJ33" s="13">
        <v>505</v>
      </c>
      <c r="BK33" s="33">
        <v>47702.25</v>
      </c>
    </row>
    <row r="34" spans="1:63" ht="14.25" x14ac:dyDescent="0.2">
      <c r="A34" s="14">
        <v>105</v>
      </c>
      <c r="B34" s="14" t="s">
        <v>306</v>
      </c>
      <c r="C34" s="14">
        <v>2002</v>
      </c>
      <c r="D34" s="14">
        <v>60</v>
      </c>
      <c r="E34" s="14">
        <v>12</v>
      </c>
      <c r="F34" s="14">
        <v>76</v>
      </c>
      <c r="G34" s="14">
        <v>42</v>
      </c>
      <c r="H34" s="14">
        <v>1812</v>
      </c>
      <c r="I34" s="14">
        <v>859</v>
      </c>
      <c r="K34" s="29">
        <v>87.416666666666671</v>
      </c>
      <c r="L34" s="29">
        <v>720</v>
      </c>
      <c r="M34" s="14">
        <v>116.25</v>
      </c>
      <c r="N34" s="11">
        <v>43</v>
      </c>
      <c r="O34" s="11">
        <v>0</v>
      </c>
      <c r="P34" s="11">
        <v>2</v>
      </c>
      <c r="Q34" s="11">
        <v>0</v>
      </c>
      <c r="R34" s="11">
        <v>0</v>
      </c>
      <c r="S34" s="11">
        <v>1421.45</v>
      </c>
      <c r="T34" s="14">
        <v>55</v>
      </c>
      <c r="U34" s="14">
        <v>388</v>
      </c>
      <c r="V34" s="330"/>
      <c r="W34" s="11">
        <v>1.7368999999999999</v>
      </c>
      <c r="X34" s="64">
        <v>509</v>
      </c>
      <c r="Y34" s="64">
        <v>602</v>
      </c>
      <c r="Z34" s="331">
        <v>0.82721493996269413</v>
      </c>
      <c r="AA34" s="31">
        <v>0</v>
      </c>
      <c r="AB34" s="11">
        <v>0</v>
      </c>
      <c r="AC34" s="11">
        <v>0</v>
      </c>
      <c r="AE34" s="32">
        <v>-52490.89</v>
      </c>
      <c r="AF34" s="13">
        <v>-42242.79</v>
      </c>
      <c r="AG34" s="13">
        <v>112731.41746281052</v>
      </c>
      <c r="AH34" s="13">
        <v>-62946.748257881925</v>
      </c>
      <c r="AI34" s="13">
        <v>8235.1988766953946</v>
      </c>
      <c r="AJ34" s="13">
        <v>279305</v>
      </c>
      <c r="AK34" s="13">
        <v>81640</v>
      </c>
      <c r="AL34" s="13">
        <v>204901.33930158522</v>
      </c>
      <c r="AM34" s="13">
        <v>13280.894779769194</v>
      </c>
      <c r="AN34" s="13">
        <v>45938.392715675531</v>
      </c>
      <c r="AO34" s="13">
        <v>110928.5401283251</v>
      </c>
      <c r="AP34" s="13">
        <v>130583.63289368991</v>
      </c>
      <c r="AQ34" s="13">
        <v>213796.88144553293</v>
      </c>
      <c r="AR34" s="13">
        <v>64702.380567669832</v>
      </c>
      <c r="AS34" s="13">
        <v>116775.48090499833</v>
      </c>
      <c r="AT34" s="34"/>
      <c r="AU34" s="13"/>
      <c r="AV34" s="34"/>
      <c r="AW34" s="34"/>
      <c r="AX34" s="34"/>
      <c r="AY34" s="13">
        <v>151211.7921405517</v>
      </c>
      <c r="AZ34" s="13">
        <v>78460.893238169447</v>
      </c>
      <c r="BA34" s="13">
        <v>77379.042518517308</v>
      </c>
      <c r="BB34" s="32">
        <v>416536.76124356815</v>
      </c>
      <c r="BC34" s="33">
        <v>292470.46846130467</v>
      </c>
      <c r="BD34" s="33">
        <v>-59659.6</v>
      </c>
      <c r="BE34" s="33">
        <v>-22862.84</v>
      </c>
      <c r="BF34" s="14"/>
      <c r="BG34" s="14">
        <v>358495.67658227403</v>
      </c>
      <c r="BH34" s="33">
        <v>1049361.4141071348</v>
      </c>
      <c r="BI34" s="13">
        <v>-485611</v>
      </c>
      <c r="BJ34" s="13">
        <v>302</v>
      </c>
      <c r="BK34" s="33">
        <v>-19434.25</v>
      </c>
    </row>
    <row r="35" spans="1:63" ht="14.25" x14ac:dyDescent="0.2">
      <c r="A35" s="14">
        <v>106</v>
      </c>
      <c r="B35" s="14" t="s">
        <v>307</v>
      </c>
      <c r="C35" s="14">
        <v>47031</v>
      </c>
      <c r="D35" s="14">
        <v>2201</v>
      </c>
      <c r="E35" s="14">
        <v>418</v>
      </c>
      <c r="F35" s="14">
        <v>2917</v>
      </c>
      <c r="G35" s="14">
        <v>1626</v>
      </c>
      <c r="H35" s="14">
        <v>39869</v>
      </c>
      <c r="I35" s="14">
        <v>27213</v>
      </c>
      <c r="K35" s="29">
        <v>2484.5</v>
      </c>
      <c r="L35" s="29">
        <v>23109</v>
      </c>
      <c r="M35" s="14">
        <v>3429.8333333333335</v>
      </c>
      <c r="N35" s="11">
        <v>4079</v>
      </c>
      <c r="O35" s="11">
        <v>0</v>
      </c>
      <c r="P35" s="11">
        <v>435</v>
      </c>
      <c r="Q35" s="11">
        <v>0</v>
      </c>
      <c r="R35" s="11">
        <v>0</v>
      </c>
      <c r="S35" s="11">
        <v>322.70999999999998</v>
      </c>
      <c r="T35" s="14">
        <v>2284</v>
      </c>
      <c r="U35" s="14">
        <v>15091</v>
      </c>
      <c r="V35" s="330"/>
      <c r="W35" s="11">
        <v>0</v>
      </c>
      <c r="X35" s="64">
        <v>19649</v>
      </c>
      <c r="Y35" s="64">
        <v>20810</v>
      </c>
      <c r="Z35" s="331">
        <v>0.96806363779600602</v>
      </c>
      <c r="AA35" s="31">
        <v>0.10745609254440014</v>
      </c>
      <c r="AB35" s="11">
        <v>0</v>
      </c>
      <c r="AC35" s="11">
        <v>2</v>
      </c>
      <c r="AE35" s="32">
        <v>-3393573.8969000001</v>
      </c>
      <c r="AF35" s="13">
        <v>-894724.96000000008</v>
      </c>
      <c r="AG35" s="13">
        <v>2167594.440275576</v>
      </c>
      <c r="AH35" s="13">
        <v>-301101.7088124138</v>
      </c>
      <c r="AI35" s="13">
        <v>-154236.18180318736</v>
      </c>
      <c r="AJ35" s="13">
        <v>2890456</v>
      </c>
      <c r="AK35" s="13">
        <v>981270</v>
      </c>
      <c r="AL35" s="13">
        <v>2082748.6046677604</v>
      </c>
      <c r="AM35" s="13">
        <v>51781.001304332858</v>
      </c>
      <c r="AN35" s="13">
        <v>167661.50023022399</v>
      </c>
      <c r="AO35" s="13">
        <v>857276.2194981568</v>
      </c>
      <c r="AP35" s="13">
        <v>2081020.0263854051</v>
      </c>
      <c r="AQ35" s="13">
        <v>3226311.8016826194</v>
      </c>
      <c r="AR35" s="13">
        <v>990830.64477784024</v>
      </c>
      <c r="AS35" s="13">
        <v>1709097.3955632143</v>
      </c>
      <c r="AT35" s="34"/>
      <c r="AU35" s="13"/>
      <c r="AV35" s="34"/>
      <c r="AW35" s="34"/>
      <c r="AX35" s="34"/>
      <c r="AY35" s="13">
        <v>2111931.5495272432</v>
      </c>
      <c r="AZ35" s="13">
        <v>1401558.3195883811</v>
      </c>
      <c r="BA35" s="13">
        <v>1400462.4174259233</v>
      </c>
      <c r="BB35" s="32">
        <v>-1346101.2265264208</v>
      </c>
      <c r="BC35" s="33">
        <v>-197797.40513440577</v>
      </c>
      <c r="BD35" s="33">
        <v>-1401523.8</v>
      </c>
      <c r="BE35" s="33">
        <v>-537094.02</v>
      </c>
      <c r="BF35" s="14"/>
      <c r="BG35" s="14">
        <v>3582538.0723607126</v>
      </c>
      <c r="BH35" s="33">
        <v>367626.20205887366</v>
      </c>
      <c r="BI35" s="13">
        <v>-438732</v>
      </c>
      <c r="BJ35" s="13">
        <v>13404</v>
      </c>
      <c r="BK35" s="33">
        <v>-225454.9674999998</v>
      </c>
    </row>
    <row r="36" spans="1:63" ht="14.25" x14ac:dyDescent="0.2">
      <c r="A36" s="14">
        <v>108</v>
      </c>
      <c r="B36" s="14" t="s">
        <v>308</v>
      </c>
      <c r="C36" s="14">
        <v>10348</v>
      </c>
      <c r="D36" s="14">
        <v>540</v>
      </c>
      <c r="E36" s="14">
        <v>88</v>
      </c>
      <c r="F36" s="14">
        <v>782</v>
      </c>
      <c r="G36" s="14">
        <v>389</v>
      </c>
      <c r="H36" s="14">
        <v>8549</v>
      </c>
      <c r="I36" s="14">
        <v>5643</v>
      </c>
      <c r="K36" s="29">
        <v>493.33333333333331</v>
      </c>
      <c r="L36" s="29">
        <v>4728</v>
      </c>
      <c r="M36" s="14">
        <v>677.5</v>
      </c>
      <c r="N36" s="11">
        <v>223</v>
      </c>
      <c r="O36" s="11">
        <v>0</v>
      </c>
      <c r="P36" s="11">
        <v>17</v>
      </c>
      <c r="Q36" s="11">
        <v>0</v>
      </c>
      <c r="R36" s="11">
        <v>0</v>
      </c>
      <c r="S36" s="11">
        <v>464.04</v>
      </c>
      <c r="T36" s="14">
        <v>350</v>
      </c>
      <c r="U36" s="14">
        <v>3176</v>
      </c>
      <c r="V36" s="330"/>
      <c r="W36" s="11">
        <v>0</v>
      </c>
      <c r="X36" s="64">
        <v>2791</v>
      </c>
      <c r="Y36" s="64">
        <v>4253</v>
      </c>
      <c r="Z36" s="331">
        <v>0.94327049464356161</v>
      </c>
      <c r="AA36" s="31">
        <v>3.7193765088905373E-2</v>
      </c>
      <c r="AB36" s="11">
        <v>0</v>
      </c>
      <c r="AC36" s="11">
        <v>3</v>
      </c>
      <c r="AE36" s="32">
        <v>-366104.76750000002</v>
      </c>
      <c r="AF36" s="13">
        <v>-198708.24000000002</v>
      </c>
      <c r="AG36" s="13">
        <v>386967.165501957</v>
      </c>
      <c r="AH36" s="13">
        <v>-205050.36552337653</v>
      </c>
      <c r="AI36" s="13">
        <v>-27684.337346409069</v>
      </c>
      <c r="AJ36" s="13">
        <v>826508</v>
      </c>
      <c r="AK36" s="13">
        <v>260391</v>
      </c>
      <c r="AL36" s="13">
        <v>579739.51677479001</v>
      </c>
      <c r="AM36" s="13">
        <v>24385.922358569595</v>
      </c>
      <c r="AN36" s="13">
        <v>9854.6739827850834</v>
      </c>
      <c r="AO36" s="13">
        <v>253279.33482305901</v>
      </c>
      <c r="AP36" s="13">
        <v>538688.74485541612</v>
      </c>
      <c r="AQ36" s="13">
        <v>854332.19914349238</v>
      </c>
      <c r="AR36" s="13">
        <v>253482.71560903557</v>
      </c>
      <c r="AS36" s="13">
        <v>467947.89639310091</v>
      </c>
      <c r="AT36" s="34"/>
      <c r="AU36" s="13"/>
      <c r="AV36" s="34"/>
      <c r="AW36" s="34"/>
      <c r="AX36" s="34"/>
      <c r="AY36" s="13">
        <v>600179.84041248099</v>
      </c>
      <c r="AZ36" s="13">
        <v>367605.26964813285</v>
      </c>
      <c r="BA36" s="13">
        <v>361399.09797963384</v>
      </c>
      <c r="BB36" s="32">
        <v>874673.67666952522</v>
      </c>
      <c r="BC36" s="33">
        <v>-43353.377021253502</v>
      </c>
      <c r="BD36" s="33">
        <v>-308370.40000000002</v>
      </c>
      <c r="BE36" s="33">
        <v>-118174.16</v>
      </c>
      <c r="BF36" s="14"/>
      <c r="BG36" s="14">
        <v>900444.4787288704</v>
      </c>
      <c r="BH36" s="33">
        <v>4499072.0628661672</v>
      </c>
      <c r="BI36" s="13">
        <v>-1268321</v>
      </c>
      <c r="BJ36" s="13">
        <v>2859</v>
      </c>
      <c r="BK36" s="33">
        <v>40546.912499999977</v>
      </c>
    </row>
    <row r="37" spans="1:63" ht="14.25" x14ac:dyDescent="0.2">
      <c r="A37" s="14">
        <v>109</v>
      </c>
      <c r="B37" s="14" t="s">
        <v>309</v>
      </c>
      <c r="C37" s="14">
        <v>68433</v>
      </c>
      <c r="D37" s="14">
        <v>3147</v>
      </c>
      <c r="E37" s="14">
        <v>546</v>
      </c>
      <c r="F37" s="14">
        <v>4112</v>
      </c>
      <c r="G37" s="14">
        <v>2237</v>
      </c>
      <c r="H37" s="14">
        <v>58391</v>
      </c>
      <c r="I37" s="14">
        <v>38126</v>
      </c>
      <c r="K37" s="29">
        <v>3368</v>
      </c>
      <c r="L37" s="29">
        <v>31474</v>
      </c>
      <c r="M37" s="14">
        <v>4681.333333333333</v>
      </c>
      <c r="N37" s="11">
        <v>5275</v>
      </c>
      <c r="O37" s="11">
        <v>0</v>
      </c>
      <c r="P37" s="11">
        <v>272</v>
      </c>
      <c r="Q37" s="11">
        <v>0</v>
      </c>
      <c r="R37" s="11">
        <v>0</v>
      </c>
      <c r="S37" s="11">
        <v>1785.57</v>
      </c>
      <c r="T37" s="14">
        <v>2932</v>
      </c>
      <c r="U37" s="14">
        <v>20306</v>
      </c>
      <c r="V37" s="330"/>
      <c r="W37" s="11">
        <v>0</v>
      </c>
      <c r="X37" s="64">
        <v>28758</v>
      </c>
      <c r="Y37" s="64">
        <v>28097</v>
      </c>
      <c r="Z37" s="331">
        <v>1.0027788305555427</v>
      </c>
      <c r="AA37" s="31">
        <v>0.22613921708204052</v>
      </c>
      <c r="AB37" s="11">
        <v>0</v>
      </c>
      <c r="AC37" s="11">
        <v>6</v>
      </c>
      <c r="AE37" s="32">
        <v>-4823025.0991000002</v>
      </c>
      <c r="AF37" s="13">
        <v>-1303360.08</v>
      </c>
      <c r="AG37" s="13">
        <v>2513980.6113185212</v>
      </c>
      <c r="AH37" s="13">
        <v>-469405.68471083773</v>
      </c>
      <c r="AI37" s="13">
        <v>-133260.17363273515</v>
      </c>
      <c r="AJ37" s="13">
        <v>4556748</v>
      </c>
      <c r="AK37" s="13">
        <v>1570984</v>
      </c>
      <c r="AL37" s="13">
        <v>3432285.8347071824</v>
      </c>
      <c r="AM37" s="13">
        <v>116664.23442693883</v>
      </c>
      <c r="AN37" s="13">
        <v>300048.30933460762</v>
      </c>
      <c r="AO37" s="13">
        <v>1539308.2060349199</v>
      </c>
      <c r="AP37" s="13">
        <v>3208859.7465083851</v>
      </c>
      <c r="AQ37" s="13">
        <v>5144768.0498811621</v>
      </c>
      <c r="AR37" s="13">
        <v>1560633.0035080516</v>
      </c>
      <c r="AS37" s="13">
        <v>2716617.6287746038</v>
      </c>
      <c r="AT37" s="34"/>
      <c r="AU37" s="13"/>
      <c r="AV37" s="34"/>
      <c r="AW37" s="34"/>
      <c r="AX37" s="34"/>
      <c r="AY37" s="13">
        <v>3469698.131084118</v>
      </c>
      <c r="AZ37" s="13">
        <v>2167871.8074552515</v>
      </c>
      <c r="BA37" s="13">
        <v>2131092.6034032255</v>
      </c>
      <c r="BB37" s="32">
        <v>804310.22624768852</v>
      </c>
      <c r="BC37" s="33">
        <v>-170457.06449358672</v>
      </c>
      <c r="BD37" s="33">
        <v>-2039303.4000000001</v>
      </c>
      <c r="BE37" s="33">
        <v>-781504.86</v>
      </c>
      <c r="BF37" s="14"/>
      <c r="BG37" s="14">
        <v>5951431.5819149949</v>
      </c>
      <c r="BH37" s="33">
        <v>3999066.8663363308</v>
      </c>
      <c r="BI37" s="13">
        <v>-12751843</v>
      </c>
      <c r="BJ37" s="13">
        <v>19420</v>
      </c>
      <c r="BK37" s="33">
        <v>137788.83250000002</v>
      </c>
    </row>
    <row r="38" spans="1:63" ht="14.25" x14ac:dyDescent="0.2">
      <c r="A38" s="14">
        <v>139</v>
      </c>
      <c r="B38" s="14" t="s">
        <v>311</v>
      </c>
      <c r="C38" s="14">
        <v>9806</v>
      </c>
      <c r="D38" s="14">
        <v>668</v>
      </c>
      <c r="E38" s="14">
        <v>123</v>
      </c>
      <c r="F38" s="14">
        <v>905</v>
      </c>
      <c r="G38" s="14">
        <v>475</v>
      </c>
      <c r="H38" s="14">
        <v>7635</v>
      </c>
      <c r="I38" s="14">
        <v>5071</v>
      </c>
      <c r="K38" s="29">
        <v>568.33333333333337</v>
      </c>
      <c r="L38" s="29">
        <v>4213</v>
      </c>
      <c r="M38" s="14">
        <v>714.91666666666674</v>
      </c>
      <c r="N38" s="11">
        <v>98</v>
      </c>
      <c r="O38" s="11">
        <v>0</v>
      </c>
      <c r="P38" s="11">
        <v>17</v>
      </c>
      <c r="Q38" s="11">
        <v>0</v>
      </c>
      <c r="R38" s="11">
        <v>0</v>
      </c>
      <c r="S38" s="11">
        <v>1615.75</v>
      </c>
      <c r="T38" s="14">
        <v>254</v>
      </c>
      <c r="U38" s="14">
        <v>2747</v>
      </c>
      <c r="V38" s="330"/>
      <c r="W38" s="11">
        <v>0</v>
      </c>
      <c r="X38" s="64">
        <v>2391</v>
      </c>
      <c r="Y38" s="64">
        <v>3618</v>
      </c>
      <c r="Z38" s="331">
        <v>0.90679748674529725</v>
      </c>
      <c r="AA38" s="31">
        <v>0</v>
      </c>
      <c r="AB38" s="11">
        <v>0</v>
      </c>
      <c r="AC38" s="11">
        <v>1</v>
      </c>
      <c r="AE38" s="32">
        <v>-240113.73850000001</v>
      </c>
      <c r="AF38" s="13">
        <v>-189180.08000000002</v>
      </c>
      <c r="AG38" s="13">
        <v>551606.1976680411</v>
      </c>
      <c r="AH38" s="13">
        <v>-291289.29688874754</v>
      </c>
      <c r="AI38" s="13">
        <v>-21958.956004720065</v>
      </c>
      <c r="AJ38" s="13">
        <v>723887</v>
      </c>
      <c r="AK38" s="13">
        <v>216091</v>
      </c>
      <c r="AL38" s="13">
        <v>530323.51747874089</v>
      </c>
      <c r="AM38" s="13">
        <v>16076.989392230093</v>
      </c>
      <c r="AN38" s="13">
        <v>9193.4387469106223</v>
      </c>
      <c r="AO38" s="13">
        <v>255264.1904055092</v>
      </c>
      <c r="AP38" s="13">
        <v>465197.09824793745</v>
      </c>
      <c r="AQ38" s="13">
        <v>685611.40682283253</v>
      </c>
      <c r="AR38" s="13">
        <v>169137.61590244822</v>
      </c>
      <c r="AS38" s="13">
        <v>374548.38230552268</v>
      </c>
      <c r="AT38" s="34"/>
      <c r="AU38" s="13"/>
      <c r="AV38" s="34"/>
      <c r="AW38" s="34"/>
      <c r="AX38" s="34"/>
      <c r="AY38" s="13">
        <v>501255.53598157165</v>
      </c>
      <c r="AZ38" s="13">
        <v>310814.96274194377</v>
      </c>
      <c r="BA38" s="13">
        <v>300394.79710153828</v>
      </c>
      <c r="BB38" s="32">
        <v>-910061.4245212822</v>
      </c>
      <c r="BC38" s="33">
        <v>-849704.6213589015</v>
      </c>
      <c r="BD38" s="33">
        <v>-292218.8</v>
      </c>
      <c r="BE38" s="33">
        <v>-111984.52</v>
      </c>
      <c r="BF38" s="14"/>
      <c r="BG38" s="14">
        <v>702331.15733198368</v>
      </c>
      <c r="BH38" s="33">
        <v>5631429.3875265978</v>
      </c>
      <c r="BI38" s="13">
        <v>116217</v>
      </c>
      <c r="BJ38" s="13">
        <v>3397</v>
      </c>
      <c r="BK38" s="33">
        <v>148407.00000000003</v>
      </c>
    </row>
    <row r="39" spans="1:63" ht="14.25" x14ac:dyDescent="0.2">
      <c r="A39" s="14">
        <v>140</v>
      </c>
      <c r="B39" s="14" t="s">
        <v>312</v>
      </c>
      <c r="C39" s="14">
        <v>20463</v>
      </c>
      <c r="D39" s="14">
        <v>831</v>
      </c>
      <c r="E39" s="14">
        <v>167</v>
      </c>
      <c r="F39" s="14">
        <v>1301</v>
      </c>
      <c r="G39" s="14">
        <v>751</v>
      </c>
      <c r="H39" s="14">
        <v>17413</v>
      </c>
      <c r="I39" s="14">
        <v>10800</v>
      </c>
      <c r="K39" s="29">
        <v>1122.9166666666667</v>
      </c>
      <c r="L39" s="29">
        <v>9172</v>
      </c>
      <c r="M39" s="14">
        <v>1514.5833333333335</v>
      </c>
      <c r="N39" s="11">
        <v>933</v>
      </c>
      <c r="O39" s="11">
        <v>0</v>
      </c>
      <c r="P39" s="11">
        <v>7</v>
      </c>
      <c r="Q39" s="11">
        <v>0</v>
      </c>
      <c r="R39" s="11">
        <v>0</v>
      </c>
      <c r="S39" s="11">
        <v>763.01</v>
      </c>
      <c r="T39" s="14">
        <v>762</v>
      </c>
      <c r="U39" s="14">
        <v>5716</v>
      </c>
      <c r="V39" s="330"/>
      <c r="W39" s="11">
        <v>0.25613333333333332</v>
      </c>
      <c r="X39" s="64">
        <v>8667</v>
      </c>
      <c r="Y39" s="64">
        <v>7893</v>
      </c>
      <c r="Z39" s="331">
        <v>0.97652798414833042</v>
      </c>
      <c r="AA39" s="31">
        <v>0</v>
      </c>
      <c r="AB39" s="11">
        <v>0</v>
      </c>
      <c r="AC39" s="11">
        <v>1</v>
      </c>
      <c r="AE39" s="32">
        <v>-1056652.4929</v>
      </c>
      <c r="AF39" s="13">
        <v>-405792.04000000004</v>
      </c>
      <c r="AG39" s="13">
        <v>778185.43467979413</v>
      </c>
      <c r="AH39" s="13">
        <v>-449360.12719338265</v>
      </c>
      <c r="AI39" s="13">
        <v>97474.273143319471</v>
      </c>
      <c r="AJ39" s="13">
        <v>1719855</v>
      </c>
      <c r="AK39" s="13">
        <v>554062</v>
      </c>
      <c r="AL39" s="13">
        <v>1309102.96830591</v>
      </c>
      <c r="AM39" s="13">
        <v>55085.894973506882</v>
      </c>
      <c r="AN39" s="13">
        <v>227371.5223683299</v>
      </c>
      <c r="AO39" s="13">
        <v>674080.99641225301</v>
      </c>
      <c r="AP39" s="13">
        <v>1126700.6565302126</v>
      </c>
      <c r="AQ39" s="13">
        <v>1783562.8830082873</v>
      </c>
      <c r="AR39" s="13">
        <v>510782.16273364605</v>
      </c>
      <c r="AS39" s="13">
        <v>934420.57167074608</v>
      </c>
      <c r="AT39" s="34"/>
      <c r="AU39" s="13"/>
      <c r="AV39" s="34"/>
      <c r="AW39" s="34"/>
      <c r="AX39" s="34"/>
      <c r="AY39" s="13">
        <v>1235442.3751460991</v>
      </c>
      <c r="AZ39" s="13">
        <v>713421.67775171972</v>
      </c>
      <c r="BA39" s="13">
        <v>711116.14193713199</v>
      </c>
      <c r="BB39" s="32">
        <v>5687944.3897173535</v>
      </c>
      <c r="BC39" s="33">
        <v>2239328.8329352606</v>
      </c>
      <c r="BD39" s="33">
        <v>-609797.4</v>
      </c>
      <c r="BE39" s="33">
        <v>-233687.46</v>
      </c>
      <c r="BF39" s="14"/>
      <c r="BG39" s="14">
        <v>2264476.327033699</v>
      </c>
      <c r="BH39" s="33">
        <v>7494006.2442667149</v>
      </c>
      <c r="BI39" s="13">
        <v>-1016332</v>
      </c>
      <c r="BJ39" s="13">
        <v>5645</v>
      </c>
      <c r="BK39" s="33">
        <v>-91111.297499999986</v>
      </c>
    </row>
    <row r="40" spans="1:63" ht="14.25" x14ac:dyDescent="0.2">
      <c r="A40" s="14">
        <v>142</v>
      </c>
      <c r="B40" s="14" t="s">
        <v>313</v>
      </c>
      <c r="C40" s="14">
        <v>6401</v>
      </c>
      <c r="D40" s="14">
        <v>276</v>
      </c>
      <c r="E40" s="14">
        <v>56</v>
      </c>
      <c r="F40" s="14">
        <v>379</v>
      </c>
      <c r="G40" s="14">
        <v>196</v>
      </c>
      <c r="H40" s="14">
        <v>5494</v>
      </c>
      <c r="I40" s="14">
        <v>3189</v>
      </c>
      <c r="K40" s="29">
        <v>290.33333333333331</v>
      </c>
      <c r="L40" s="29">
        <v>2729</v>
      </c>
      <c r="M40" s="14">
        <v>398.91666666666663</v>
      </c>
      <c r="N40" s="11">
        <v>158</v>
      </c>
      <c r="O40" s="11">
        <v>0</v>
      </c>
      <c r="P40" s="11">
        <v>15</v>
      </c>
      <c r="Q40" s="11">
        <v>0</v>
      </c>
      <c r="R40" s="11">
        <v>0</v>
      </c>
      <c r="S40" s="11">
        <v>589.87</v>
      </c>
      <c r="T40" s="14">
        <v>218</v>
      </c>
      <c r="U40" s="14">
        <v>1667</v>
      </c>
      <c r="V40" s="330"/>
      <c r="W40" s="11">
        <v>0</v>
      </c>
      <c r="X40" s="64">
        <v>1878</v>
      </c>
      <c r="Y40" s="64">
        <v>2394</v>
      </c>
      <c r="Z40" s="331">
        <v>0.9052410093891825</v>
      </c>
      <c r="AA40" s="31">
        <v>0</v>
      </c>
      <c r="AB40" s="11">
        <v>0</v>
      </c>
      <c r="AC40" s="11">
        <v>0</v>
      </c>
      <c r="AE40" s="32">
        <v>-241285.59</v>
      </c>
      <c r="AF40" s="13">
        <v>-127266.25</v>
      </c>
      <c r="AG40" s="13">
        <v>182776.87291591475</v>
      </c>
      <c r="AH40" s="13">
        <v>-84026.990984866803</v>
      </c>
      <c r="AI40" s="13">
        <v>30310.495273311448</v>
      </c>
      <c r="AJ40" s="13">
        <v>561007</v>
      </c>
      <c r="AK40" s="13">
        <v>186515</v>
      </c>
      <c r="AL40" s="13">
        <v>430490.72209921485</v>
      </c>
      <c r="AM40" s="13">
        <v>23482.037625590612</v>
      </c>
      <c r="AN40" s="13">
        <v>26031.39221942881</v>
      </c>
      <c r="AO40" s="13">
        <v>198577.07449350462</v>
      </c>
      <c r="AP40" s="13">
        <v>350563.55389843992</v>
      </c>
      <c r="AQ40" s="13">
        <v>587899.073939636</v>
      </c>
      <c r="AR40" s="13">
        <v>170386.28145441186</v>
      </c>
      <c r="AS40" s="13">
        <v>310652.33295275329</v>
      </c>
      <c r="AT40" s="34"/>
      <c r="AU40" s="13"/>
      <c r="AV40" s="34"/>
      <c r="AW40" s="34"/>
      <c r="AX40" s="34"/>
      <c r="AY40" s="13">
        <v>411168.99369095883</v>
      </c>
      <c r="AZ40" s="13">
        <v>234745.2100338485</v>
      </c>
      <c r="BA40" s="13">
        <v>222252.0828392262</v>
      </c>
      <c r="BB40" s="32">
        <v>302401.4120114441</v>
      </c>
      <c r="BC40" s="33">
        <v>39864.378232293006</v>
      </c>
      <c r="BD40" s="33">
        <v>-190749.80000000002</v>
      </c>
      <c r="BE40" s="33">
        <v>-73099.42</v>
      </c>
      <c r="BF40" s="14"/>
      <c r="BG40" s="14">
        <v>786495.04089405225</v>
      </c>
      <c r="BH40" s="33">
        <v>2602144.279742917</v>
      </c>
      <c r="BI40" s="13">
        <v>-642496</v>
      </c>
      <c r="BJ40" s="13">
        <v>1504</v>
      </c>
      <c r="BK40" s="33">
        <v>587497.37750000006</v>
      </c>
    </row>
    <row r="41" spans="1:63" ht="14.25" x14ac:dyDescent="0.2">
      <c r="A41" s="14">
        <v>143</v>
      </c>
      <c r="B41" s="14" t="s">
        <v>314</v>
      </c>
      <c r="C41" s="14">
        <v>6758</v>
      </c>
      <c r="D41" s="14">
        <v>224</v>
      </c>
      <c r="E41" s="14">
        <v>49</v>
      </c>
      <c r="F41" s="14">
        <v>443</v>
      </c>
      <c r="G41" s="14">
        <v>233</v>
      </c>
      <c r="H41" s="14">
        <v>5809</v>
      </c>
      <c r="I41" s="14">
        <v>3386</v>
      </c>
      <c r="K41" s="29">
        <v>302.25</v>
      </c>
      <c r="L41" s="29">
        <v>2730</v>
      </c>
      <c r="M41" s="14">
        <v>423.25</v>
      </c>
      <c r="N41" s="11">
        <v>322</v>
      </c>
      <c r="O41" s="11">
        <v>0</v>
      </c>
      <c r="P41" s="11">
        <v>9</v>
      </c>
      <c r="Q41" s="11">
        <v>0</v>
      </c>
      <c r="R41" s="11">
        <v>0</v>
      </c>
      <c r="S41" s="11">
        <v>750.48</v>
      </c>
      <c r="T41" s="14">
        <v>290</v>
      </c>
      <c r="U41" s="14">
        <v>1770</v>
      </c>
      <c r="V41" s="330"/>
      <c r="W41" s="11">
        <v>8.2533333333333334E-2</v>
      </c>
      <c r="X41" s="64">
        <v>2164</v>
      </c>
      <c r="Y41" s="64">
        <v>2437</v>
      </c>
      <c r="Z41" s="331">
        <v>0.93817949936349354</v>
      </c>
      <c r="AA41" s="31">
        <v>0</v>
      </c>
      <c r="AB41" s="11">
        <v>0</v>
      </c>
      <c r="AC41" s="11">
        <v>0</v>
      </c>
      <c r="AE41" s="32">
        <v>-310764.88130000001</v>
      </c>
      <c r="AF41" s="13">
        <v>-131895.86000000002</v>
      </c>
      <c r="AG41" s="13">
        <v>334277.64786337712</v>
      </c>
      <c r="AH41" s="13">
        <v>-80856.292081696869</v>
      </c>
      <c r="AI41" s="13">
        <v>-18802.270388267731</v>
      </c>
      <c r="AJ41" s="13">
        <v>680777</v>
      </c>
      <c r="AK41" s="13">
        <v>207953</v>
      </c>
      <c r="AL41" s="13">
        <v>496189.18011094985</v>
      </c>
      <c r="AM41" s="13">
        <v>24908.36419060258</v>
      </c>
      <c r="AN41" s="13">
        <v>82317.768925386321</v>
      </c>
      <c r="AO41" s="13">
        <v>232829.75872488532</v>
      </c>
      <c r="AP41" s="13">
        <v>404587.17992137617</v>
      </c>
      <c r="AQ41" s="13">
        <v>614150.25339673494</v>
      </c>
      <c r="AR41" s="13">
        <v>175764.46567039963</v>
      </c>
      <c r="AS41" s="13">
        <v>323874.86932508793</v>
      </c>
      <c r="AT41" s="34"/>
      <c r="AU41" s="13"/>
      <c r="AV41" s="34"/>
      <c r="AW41" s="34"/>
      <c r="AX41" s="34"/>
      <c r="AY41" s="13">
        <v>436883.2520564936</v>
      </c>
      <c r="AZ41" s="13">
        <v>248723.83894881452</v>
      </c>
      <c r="BA41" s="13">
        <v>235416.17791009022</v>
      </c>
      <c r="BB41" s="32">
        <v>-569157.69478586689</v>
      </c>
      <c r="BC41" s="33">
        <v>-28758.543165897321</v>
      </c>
      <c r="BD41" s="33">
        <v>-201388.4</v>
      </c>
      <c r="BE41" s="33">
        <v>-77176.36</v>
      </c>
      <c r="BF41" s="14"/>
      <c r="BG41" s="14">
        <v>839937.95080650412</v>
      </c>
      <c r="BH41" s="33">
        <v>2744908.9381804885</v>
      </c>
      <c r="BI41" s="13">
        <v>-875471</v>
      </c>
      <c r="BJ41" s="13">
        <v>1679</v>
      </c>
      <c r="BK41" s="33">
        <v>159767.20250000004</v>
      </c>
    </row>
    <row r="42" spans="1:63" ht="14.25" x14ac:dyDescent="0.2">
      <c r="A42" s="14">
        <v>145</v>
      </c>
      <c r="B42" s="14" t="s">
        <v>315</v>
      </c>
      <c r="C42" s="14">
        <v>12429</v>
      </c>
      <c r="D42" s="14">
        <v>848</v>
      </c>
      <c r="E42" s="14">
        <v>148</v>
      </c>
      <c r="F42" s="14">
        <v>984</v>
      </c>
      <c r="G42" s="14">
        <v>505</v>
      </c>
      <c r="H42" s="14">
        <v>9944</v>
      </c>
      <c r="I42" s="14">
        <v>6750</v>
      </c>
      <c r="K42" s="29">
        <v>352</v>
      </c>
      <c r="L42" s="29">
        <v>5815</v>
      </c>
      <c r="M42" s="14">
        <v>513.33333333333337</v>
      </c>
      <c r="N42" s="11">
        <v>258</v>
      </c>
      <c r="O42" s="11">
        <v>0</v>
      </c>
      <c r="P42" s="11">
        <v>27</v>
      </c>
      <c r="Q42" s="11">
        <v>0</v>
      </c>
      <c r="R42" s="11">
        <v>0</v>
      </c>
      <c r="S42" s="11">
        <v>576.74</v>
      </c>
      <c r="T42" s="14">
        <v>299</v>
      </c>
      <c r="U42" s="14">
        <v>3863</v>
      </c>
      <c r="V42" s="330"/>
      <c r="W42" s="11">
        <v>0</v>
      </c>
      <c r="X42" s="64">
        <v>3381</v>
      </c>
      <c r="Y42" s="64">
        <v>5418</v>
      </c>
      <c r="Z42" s="331">
        <v>0.91117977932595506</v>
      </c>
      <c r="AA42" s="31">
        <v>0.17026944542199626</v>
      </c>
      <c r="AB42" s="11">
        <v>0</v>
      </c>
      <c r="AC42" s="11">
        <v>0</v>
      </c>
      <c r="AE42" s="32">
        <v>-340916.80815</v>
      </c>
      <c r="AF42" s="13">
        <v>-236167.74000000002</v>
      </c>
      <c r="AG42" s="13">
        <v>366573.14791111095</v>
      </c>
      <c r="AH42" s="13">
        <v>-303917.65223900275</v>
      </c>
      <c r="AI42" s="13">
        <v>-25858.903700265015</v>
      </c>
      <c r="AJ42" s="13">
        <v>954161</v>
      </c>
      <c r="AK42" s="13">
        <v>316612</v>
      </c>
      <c r="AL42" s="13">
        <v>781526.95208056225</v>
      </c>
      <c r="AM42" s="13">
        <v>32131.733519318583</v>
      </c>
      <c r="AN42" s="13">
        <v>106781.91588868524</v>
      </c>
      <c r="AO42" s="13">
        <v>326338.13564816408</v>
      </c>
      <c r="AP42" s="13">
        <v>655891.45521608973</v>
      </c>
      <c r="AQ42" s="13">
        <v>1043521.9136273402</v>
      </c>
      <c r="AR42" s="13">
        <v>283215.40808233741</v>
      </c>
      <c r="AS42" s="13">
        <v>511046.34258899692</v>
      </c>
      <c r="AT42" s="34"/>
      <c r="AU42" s="13"/>
      <c r="AV42" s="34"/>
      <c r="AW42" s="34"/>
      <c r="AX42" s="34"/>
      <c r="AY42" s="13">
        <v>701175.60442120826</v>
      </c>
      <c r="AZ42" s="13">
        <v>427498.63237698691</v>
      </c>
      <c r="BA42" s="13">
        <v>416559.4557698525</v>
      </c>
      <c r="BB42" s="32">
        <v>918783.69266658579</v>
      </c>
      <c r="BC42" s="33">
        <v>-52280.191125659017</v>
      </c>
      <c r="BD42" s="33">
        <v>-370384.2</v>
      </c>
      <c r="BE42" s="33">
        <v>-141939.18</v>
      </c>
      <c r="BF42" s="14"/>
      <c r="BG42" s="14">
        <v>1107549.5037307108</v>
      </c>
      <c r="BH42" s="33">
        <v>5920880.5904870443</v>
      </c>
      <c r="BI42" s="13">
        <v>-418180</v>
      </c>
      <c r="BJ42" s="13">
        <v>4107</v>
      </c>
      <c r="BK42" s="33">
        <v>279499.84999999998</v>
      </c>
    </row>
    <row r="43" spans="1:63" ht="14.25" x14ac:dyDescent="0.2">
      <c r="A43" s="14">
        <v>146</v>
      </c>
      <c r="B43" s="14" t="s">
        <v>316</v>
      </c>
      <c r="C43" s="14">
        <v>4382</v>
      </c>
      <c r="D43" s="14">
        <v>102</v>
      </c>
      <c r="E43" s="14">
        <v>20</v>
      </c>
      <c r="F43" s="14">
        <v>173</v>
      </c>
      <c r="G43" s="14">
        <v>90</v>
      </c>
      <c r="H43" s="14">
        <v>3997</v>
      </c>
      <c r="I43" s="14">
        <v>1895</v>
      </c>
      <c r="K43" s="29">
        <v>253.25</v>
      </c>
      <c r="L43" s="29">
        <v>1605</v>
      </c>
      <c r="M43" s="14">
        <v>329.41666666666669</v>
      </c>
      <c r="N43" s="11">
        <v>225</v>
      </c>
      <c r="O43" s="11">
        <v>0</v>
      </c>
      <c r="P43" s="11">
        <v>11</v>
      </c>
      <c r="Q43" s="11">
        <v>0</v>
      </c>
      <c r="R43" s="11">
        <v>0</v>
      </c>
      <c r="S43" s="11">
        <v>2763.39</v>
      </c>
      <c r="T43" s="14">
        <v>175</v>
      </c>
      <c r="U43" s="14">
        <v>907</v>
      </c>
      <c r="V43" s="330"/>
      <c r="W43" s="11">
        <v>1.5604</v>
      </c>
      <c r="X43" s="64">
        <v>1255</v>
      </c>
      <c r="Y43" s="64">
        <v>1304</v>
      </c>
      <c r="Z43" s="331">
        <v>0.72711397199924055</v>
      </c>
      <c r="AA43" s="31">
        <v>0</v>
      </c>
      <c r="AB43" s="11">
        <v>0</v>
      </c>
      <c r="AC43" s="11">
        <v>0</v>
      </c>
      <c r="AE43" s="32">
        <v>-115812.43</v>
      </c>
      <c r="AF43" s="13">
        <v>-91228.290000000008</v>
      </c>
      <c r="AG43" s="13">
        <v>151013.83184553613</v>
      </c>
      <c r="AH43" s="13">
        <v>-75601.760869194884</v>
      </c>
      <c r="AI43" s="13">
        <v>53391.759698538051</v>
      </c>
      <c r="AJ43" s="13">
        <v>556296</v>
      </c>
      <c r="AK43" s="13">
        <v>167159</v>
      </c>
      <c r="AL43" s="13">
        <v>465718.13589289191</v>
      </c>
      <c r="AM43" s="13">
        <v>25047.13882048292</v>
      </c>
      <c r="AN43" s="13">
        <v>58430.797896375698</v>
      </c>
      <c r="AO43" s="13">
        <v>227888.47789942884</v>
      </c>
      <c r="AP43" s="13">
        <v>280256.68627585017</v>
      </c>
      <c r="AQ43" s="13">
        <v>457311.20210849069</v>
      </c>
      <c r="AR43" s="13">
        <v>135148.88974832188</v>
      </c>
      <c r="AS43" s="13">
        <v>240926.38210982832</v>
      </c>
      <c r="AT43" s="34"/>
      <c r="AU43" s="13"/>
      <c r="AV43" s="34"/>
      <c r="AW43" s="34"/>
      <c r="AX43" s="34"/>
      <c r="AY43" s="13">
        <v>324536.21111186733</v>
      </c>
      <c r="AZ43" s="13">
        <v>170045.49459441748</v>
      </c>
      <c r="BA43" s="13">
        <v>167020.12836971317</v>
      </c>
      <c r="BB43" s="32">
        <v>304573.67127162195</v>
      </c>
      <c r="BC43" s="33">
        <v>-18986.386816756432</v>
      </c>
      <c r="BD43" s="33">
        <v>-130583.6</v>
      </c>
      <c r="BE43" s="33">
        <v>-50042.44</v>
      </c>
      <c r="BF43" s="14"/>
      <c r="BG43" s="14">
        <v>741326.30275124614</v>
      </c>
      <c r="BH43" s="33">
        <v>916756.01854817371</v>
      </c>
      <c r="BI43" s="13">
        <v>-257617</v>
      </c>
      <c r="BJ43" s="13">
        <v>632</v>
      </c>
      <c r="BK43" s="33">
        <v>145050.17500000002</v>
      </c>
    </row>
    <row r="44" spans="1:63" ht="14.25" x14ac:dyDescent="0.2">
      <c r="A44" s="14">
        <v>153</v>
      </c>
      <c r="B44" s="14" t="s">
        <v>321</v>
      </c>
      <c r="C44" s="14">
        <v>24724</v>
      </c>
      <c r="D44" s="14">
        <v>798</v>
      </c>
      <c r="E44" s="14">
        <v>173</v>
      </c>
      <c r="F44" s="14">
        <v>1271</v>
      </c>
      <c r="G44" s="14">
        <v>736</v>
      </c>
      <c r="H44" s="14">
        <v>21746</v>
      </c>
      <c r="I44" s="14">
        <v>13098</v>
      </c>
      <c r="K44" s="29">
        <v>1726.75</v>
      </c>
      <c r="L44" s="29">
        <v>10730</v>
      </c>
      <c r="M44" s="14">
        <v>2363.9166666666665</v>
      </c>
      <c r="N44" s="11">
        <v>2349</v>
      </c>
      <c r="O44" s="11">
        <v>0</v>
      </c>
      <c r="P44" s="11">
        <v>27</v>
      </c>
      <c r="Q44" s="11">
        <v>0</v>
      </c>
      <c r="R44" s="11">
        <v>0</v>
      </c>
      <c r="S44" s="11">
        <v>155.04</v>
      </c>
      <c r="T44" s="14">
        <v>1214</v>
      </c>
      <c r="U44" s="14">
        <v>7014</v>
      </c>
      <c r="V44" s="330"/>
      <c r="W44" s="11">
        <v>0</v>
      </c>
      <c r="X44" s="64">
        <v>8700</v>
      </c>
      <c r="Y44" s="64">
        <v>8706</v>
      </c>
      <c r="Z44" s="331">
        <v>0.94469232998577557</v>
      </c>
      <c r="AA44" s="31">
        <v>0</v>
      </c>
      <c r="AB44" s="11">
        <v>0</v>
      </c>
      <c r="AC44" s="11">
        <v>1</v>
      </c>
      <c r="AE44" s="32">
        <v>-1617363.0546500001</v>
      </c>
      <c r="AF44" s="13">
        <v>-500900.75</v>
      </c>
      <c r="AG44" s="13">
        <v>1970819.4952160623</v>
      </c>
      <c r="AH44" s="13">
        <v>-393877.64367014082</v>
      </c>
      <c r="AI44" s="13">
        <v>162645.83488071023</v>
      </c>
      <c r="AJ44" s="13">
        <v>1915973</v>
      </c>
      <c r="AK44" s="13">
        <v>590926</v>
      </c>
      <c r="AL44" s="13">
        <v>1235447.8154237953</v>
      </c>
      <c r="AM44" s="13">
        <v>58300.038878593477</v>
      </c>
      <c r="AN44" s="13">
        <v>191082.24648750428</v>
      </c>
      <c r="AO44" s="13">
        <v>765331.21973128174</v>
      </c>
      <c r="AP44" s="13">
        <v>1205978.6973517747</v>
      </c>
      <c r="AQ44" s="13">
        <v>2041330.1325758654</v>
      </c>
      <c r="AR44" s="13">
        <v>579064.72446308343</v>
      </c>
      <c r="AS44" s="13">
        <v>1029037.6928032943</v>
      </c>
      <c r="AT44" s="34"/>
      <c r="AU44" s="13"/>
      <c r="AV44" s="34"/>
      <c r="AW44" s="34"/>
      <c r="AX44" s="34"/>
      <c r="AY44" s="13">
        <v>1125786.4807557804</v>
      </c>
      <c r="AZ44" s="13">
        <v>780879.96094106196</v>
      </c>
      <c r="BA44" s="13">
        <v>775612.21052327636</v>
      </c>
      <c r="BB44" s="32">
        <v>5223923.2469535852</v>
      </c>
      <c r="BC44" s="33">
        <v>3092497.1818360779</v>
      </c>
      <c r="BD44" s="33">
        <v>-736775.20000000007</v>
      </c>
      <c r="BE44" s="33">
        <v>-282348.08</v>
      </c>
      <c r="BF44" s="14"/>
      <c r="BG44" s="14">
        <v>2043575.6595983126</v>
      </c>
      <c r="BH44" s="33">
        <v>6753208.4096270045</v>
      </c>
      <c r="BI44" s="13">
        <v>418539</v>
      </c>
      <c r="BJ44" s="13">
        <v>5474</v>
      </c>
      <c r="BK44" s="33">
        <v>-985510.81749999989</v>
      </c>
    </row>
    <row r="45" spans="1:63" ht="14.25" x14ac:dyDescent="0.2">
      <c r="A45" s="14">
        <v>148</v>
      </c>
      <c r="B45" s="14" t="s">
        <v>317</v>
      </c>
      <c r="C45" s="14">
        <v>7224</v>
      </c>
      <c r="D45" s="14">
        <v>301</v>
      </c>
      <c r="E45" s="14">
        <v>42</v>
      </c>
      <c r="F45" s="14">
        <v>332</v>
      </c>
      <c r="G45" s="14">
        <v>227</v>
      </c>
      <c r="H45" s="14">
        <v>6322</v>
      </c>
      <c r="I45" s="14">
        <v>4190</v>
      </c>
      <c r="K45" s="29">
        <v>335.16666666666669</v>
      </c>
      <c r="L45" s="29">
        <v>3572</v>
      </c>
      <c r="M45" s="14">
        <v>437.33333333333337</v>
      </c>
      <c r="N45" s="11">
        <v>416</v>
      </c>
      <c r="O45" s="11">
        <v>0</v>
      </c>
      <c r="P45" s="11">
        <v>29</v>
      </c>
      <c r="Q45" s="11">
        <v>0</v>
      </c>
      <c r="R45" s="11">
        <v>0</v>
      </c>
      <c r="S45" s="11">
        <v>15068.32</v>
      </c>
      <c r="T45" s="14">
        <v>390</v>
      </c>
      <c r="U45" s="14">
        <v>2370</v>
      </c>
      <c r="V45" s="330"/>
      <c r="W45" s="11">
        <v>1.6087666666666667</v>
      </c>
      <c r="X45" s="64">
        <v>3264</v>
      </c>
      <c r="Y45" s="64">
        <v>3367</v>
      </c>
      <c r="Z45" s="331">
        <v>1.0674804772355866</v>
      </c>
      <c r="AA45" s="31">
        <v>1.0175877228944048</v>
      </c>
      <c r="AB45" s="11">
        <v>1</v>
      </c>
      <c r="AC45" s="11">
        <v>509</v>
      </c>
      <c r="AE45" s="32">
        <v>-118286.205</v>
      </c>
      <c r="AF45" s="13">
        <v>-131819.02000000002</v>
      </c>
      <c r="AG45" s="13">
        <v>258610.77684593294</v>
      </c>
      <c r="AH45" s="13">
        <v>-268153.03824007593</v>
      </c>
      <c r="AI45" s="13">
        <v>30090.755113652529</v>
      </c>
      <c r="AJ45" s="13">
        <v>499986</v>
      </c>
      <c r="AK45" s="13">
        <v>180627</v>
      </c>
      <c r="AL45" s="13">
        <v>479629.9454780115</v>
      </c>
      <c r="AM45" s="13">
        <v>24832.544674204702</v>
      </c>
      <c r="AN45" s="13">
        <v>29639.119052726277</v>
      </c>
      <c r="AO45" s="13">
        <v>168703.85073378746</v>
      </c>
      <c r="AP45" s="13">
        <v>363400.90967335243</v>
      </c>
      <c r="AQ45" s="13">
        <v>488515.49972403119</v>
      </c>
      <c r="AR45" s="13">
        <v>195332.88874300729</v>
      </c>
      <c r="AS45" s="13">
        <v>303505.35275989975</v>
      </c>
      <c r="AT45" s="34"/>
      <c r="AU45" s="13"/>
      <c r="AV45" s="34"/>
      <c r="AW45" s="34"/>
      <c r="AX45" s="34"/>
      <c r="AY45" s="13">
        <v>413203.85396726686</v>
      </c>
      <c r="AZ45" s="13">
        <v>249648.32282549131</v>
      </c>
      <c r="BA45" s="13">
        <v>240996.87242813356</v>
      </c>
      <c r="BB45" s="32">
        <v>804492.87175756262</v>
      </c>
      <c r="BC45" s="33">
        <v>2160816.566533728</v>
      </c>
      <c r="BD45" s="33">
        <v>-215275.2</v>
      </c>
      <c r="BE45" s="33">
        <v>-82498.080000000002</v>
      </c>
      <c r="BF45" s="14"/>
      <c r="BG45" s="14">
        <v>753987.23484707833</v>
      </c>
      <c r="BH45" s="33">
        <v>-45166.195056927754</v>
      </c>
      <c r="BI45" s="13">
        <v>-608655</v>
      </c>
      <c r="BJ45" s="13">
        <v>1596</v>
      </c>
      <c r="BK45" s="33">
        <v>-72260.074999999997</v>
      </c>
    </row>
    <row r="46" spans="1:63" ht="14.25" x14ac:dyDescent="0.2">
      <c r="A46" s="14">
        <v>149</v>
      </c>
      <c r="B46" s="14" t="s">
        <v>318</v>
      </c>
      <c r="C46" s="14">
        <v>5402</v>
      </c>
      <c r="D46" s="14">
        <v>275</v>
      </c>
      <c r="E46" s="14">
        <v>44</v>
      </c>
      <c r="F46" s="14">
        <v>305</v>
      </c>
      <c r="G46" s="14">
        <v>189</v>
      </c>
      <c r="H46" s="14">
        <v>4589</v>
      </c>
      <c r="I46" s="14">
        <v>2974</v>
      </c>
      <c r="K46" s="29">
        <v>137.66666666666666</v>
      </c>
      <c r="L46" s="29">
        <v>2592</v>
      </c>
      <c r="M46" s="14">
        <v>182.75</v>
      </c>
      <c r="N46" s="11">
        <v>282</v>
      </c>
      <c r="O46" s="11">
        <v>3</v>
      </c>
      <c r="P46" s="11">
        <v>2755</v>
      </c>
      <c r="Q46" s="11">
        <v>3</v>
      </c>
      <c r="R46" s="11">
        <v>232</v>
      </c>
      <c r="S46" s="11">
        <v>350.85</v>
      </c>
      <c r="T46" s="14">
        <v>201</v>
      </c>
      <c r="U46" s="14">
        <v>1636</v>
      </c>
      <c r="V46" s="330"/>
      <c r="W46" s="11">
        <v>0</v>
      </c>
      <c r="X46" s="64">
        <v>1307</v>
      </c>
      <c r="Y46" s="64">
        <v>2465</v>
      </c>
      <c r="Z46" s="331">
        <v>0.95522253611713426</v>
      </c>
      <c r="AA46" s="31">
        <v>0.30461184335238328</v>
      </c>
      <c r="AB46" s="11">
        <v>0</v>
      </c>
      <c r="AC46" s="11">
        <v>0</v>
      </c>
      <c r="AE46" s="32">
        <v>-125581.075</v>
      </c>
      <c r="AF46" s="13">
        <v>-102216.41</v>
      </c>
      <c r="AG46" s="13">
        <v>38187.848451073107</v>
      </c>
      <c r="AH46" s="13">
        <v>-64247.725208589218</v>
      </c>
      <c r="AI46" s="13">
        <v>-26045.25506190439</v>
      </c>
      <c r="AJ46" s="13">
        <v>462664</v>
      </c>
      <c r="AK46" s="13">
        <v>145911</v>
      </c>
      <c r="AL46" s="13">
        <v>289533.98983653891</v>
      </c>
      <c r="AM46" s="13">
        <v>4845.6427083223061</v>
      </c>
      <c r="AN46" s="13">
        <v>-30972.378801288753</v>
      </c>
      <c r="AO46" s="13">
        <v>67000.934049197298</v>
      </c>
      <c r="AP46" s="13">
        <v>256786.39362548001</v>
      </c>
      <c r="AQ46" s="13">
        <v>420191.72388369578</v>
      </c>
      <c r="AR46" s="13">
        <v>127465.4856256947</v>
      </c>
      <c r="AS46" s="13">
        <v>209778.49629041774</v>
      </c>
      <c r="AT46" s="34"/>
      <c r="AU46" s="13"/>
      <c r="AV46" s="34"/>
      <c r="AW46" s="34"/>
      <c r="AX46" s="34"/>
      <c r="AY46" s="13">
        <v>270267.18705306528</v>
      </c>
      <c r="AZ46" s="13">
        <v>170363.98877127052</v>
      </c>
      <c r="BA46" s="13">
        <v>176585.32221107197</v>
      </c>
      <c r="BB46" s="32">
        <v>653747.95431239984</v>
      </c>
      <c r="BC46" s="33">
        <v>221724.66442182669</v>
      </c>
      <c r="BD46" s="33">
        <v>-160979.6</v>
      </c>
      <c r="BE46" s="33">
        <v>-61690.84</v>
      </c>
      <c r="BF46" s="14"/>
      <c r="BG46" s="14">
        <v>547892.0805794656</v>
      </c>
      <c r="BH46" s="33">
        <v>-65958.064402011718</v>
      </c>
      <c r="BI46" s="13">
        <v>-1394438</v>
      </c>
      <c r="BJ46" s="13">
        <v>1320</v>
      </c>
      <c r="BK46" s="33">
        <v>-2735194.0124999997</v>
      </c>
    </row>
    <row r="47" spans="1:63" ht="14.25" x14ac:dyDescent="0.2">
      <c r="A47" s="14">
        <v>151</v>
      </c>
      <c r="B47" s="14" t="s">
        <v>319</v>
      </c>
      <c r="C47" s="14">
        <v>1794</v>
      </c>
      <c r="D47" s="14">
        <v>66</v>
      </c>
      <c r="E47" s="14">
        <v>13</v>
      </c>
      <c r="F47" s="14">
        <v>79</v>
      </c>
      <c r="G47" s="14">
        <v>62</v>
      </c>
      <c r="H47" s="14">
        <v>1574</v>
      </c>
      <c r="I47" s="14">
        <v>903</v>
      </c>
      <c r="K47" s="29">
        <v>46.833333333333336</v>
      </c>
      <c r="L47" s="29">
        <v>800</v>
      </c>
      <c r="M47" s="14">
        <v>69.416666666666671</v>
      </c>
      <c r="N47" s="11">
        <v>85</v>
      </c>
      <c r="O47" s="11">
        <v>0</v>
      </c>
      <c r="P47" s="11">
        <v>15</v>
      </c>
      <c r="Q47" s="11">
        <v>0</v>
      </c>
      <c r="R47" s="11">
        <v>0</v>
      </c>
      <c r="S47" s="11">
        <v>642.38</v>
      </c>
      <c r="T47" s="14">
        <v>66</v>
      </c>
      <c r="U47" s="14">
        <v>428</v>
      </c>
      <c r="V47" s="330"/>
      <c r="W47" s="11">
        <v>1.1155999999999999</v>
      </c>
      <c r="X47" s="64">
        <v>644</v>
      </c>
      <c r="Y47" s="64">
        <v>744</v>
      </c>
      <c r="Z47" s="331">
        <v>0.85247509246659092</v>
      </c>
      <c r="AA47" s="31">
        <v>0</v>
      </c>
      <c r="AB47" s="11">
        <v>0</v>
      </c>
      <c r="AC47" s="11">
        <v>0</v>
      </c>
      <c r="AE47" s="32">
        <v>-32864.894999999997</v>
      </c>
      <c r="AF47" s="13">
        <v>-36979.25</v>
      </c>
      <c r="AG47" s="13">
        <v>60101.949634589699</v>
      </c>
      <c r="AH47" s="13">
        <v>-11989.648151852949</v>
      </c>
      <c r="AI47" s="13">
        <v>-3225.6713920967668</v>
      </c>
      <c r="AJ47" s="13">
        <v>269740</v>
      </c>
      <c r="AK47" s="13">
        <v>77472</v>
      </c>
      <c r="AL47" s="13">
        <v>213295.79956305336</v>
      </c>
      <c r="AM47" s="13">
        <v>12038.590237768842</v>
      </c>
      <c r="AN47" s="13">
        <v>34652.234374850144</v>
      </c>
      <c r="AO47" s="13">
        <v>98865.705869081401</v>
      </c>
      <c r="AP47" s="13">
        <v>137259.29576889312</v>
      </c>
      <c r="AQ47" s="13">
        <v>215846.0136425003</v>
      </c>
      <c r="AR47" s="13">
        <v>65816.83780627932</v>
      </c>
      <c r="AS47" s="13">
        <v>111410.15812594573</v>
      </c>
      <c r="AT47" s="34"/>
      <c r="AU47" s="13"/>
      <c r="AV47" s="34"/>
      <c r="AW47" s="34"/>
      <c r="AX47" s="34"/>
      <c r="AY47" s="13">
        <v>158179.89582857749</v>
      </c>
      <c r="AZ47" s="13">
        <v>83222.455414288706</v>
      </c>
      <c r="BA47" s="13">
        <v>78895.041218104132</v>
      </c>
      <c r="BB47" s="32">
        <v>-213180.22948828325</v>
      </c>
      <c r="BC47" s="33">
        <v>-222515.08212838788</v>
      </c>
      <c r="BD47" s="33">
        <v>-53461.200000000004</v>
      </c>
      <c r="BE47" s="33">
        <v>-20487.48</v>
      </c>
      <c r="BF47" s="14"/>
      <c r="BG47" s="14">
        <v>358821.57536650356</v>
      </c>
      <c r="BH47" s="33">
        <v>323596.3119620831</v>
      </c>
      <c r="BI47" s="13">
        <v>-426855</v>
      </c>
      <c r="BJ47" s="13">
        <v>389</v>
      </c>
      <c r="BK47" s="33">
        <v>12278.912499999999</v>
      </c>
    </row>
    <row r="48" spans="1:63" ht="14.25" x14ac:dyDescent="0.2">
      <c r="A48" s="14">
        <v>152</v>
      </c>
      <c r="B48" s="14" t="s">
        <v>320</v>
      </c>
      <c r="C48" s="14">
        <v>4319</v>
      </c>
      <c r="D48" s="14">
        <v>185</v>
      </c>
      <c r="E48" s="14">
        <v>31</v>
      </c>
      <c r="F48" s="14">
        <v>306</v>
      </c>
      <c r="G48" s="14">
        <v>167</v>
      </c>
      <c r="H48" s="14">
        <v>3630</v>
      </c>
      <c r="I48" s="14">
        <v>2227</v>
      </c>
      <c r="K48" s="29">
        <v>126.58333333333333</v>
      </c>
      <c r="L48" s="29">
        <v>1896</v>
      </c>
      <c r="M48" s="14">
        <v>185.66666666666666</v>
      </c>
      <c r="N48" s="11">
        <v>86</v>
      </c>
      <c r="O48" s="11">
        <v>0</v>
      </c>
      <c r="P48" s="11">
        <v>31</v>
      </c>
      <c r="Q48" s="11">
        <v>0</v>
      </c>
      <c r="R48" s="11">
        <v>0</v>
      </c>
      <c r="S48" s="11">
        <v>354.15</v>
      </c>
      <c r="T48" s="14">
        <v>126</v>
      </c>
      <c r="U48" s="14">
        <v>1160</v>
      </c>
      <c r="V48" s="330"/>
      <c r="W48" s="11">
        <v>0</v>
      </c>
      <c r="X48" s="64">
        <v>1299</v>
      </c>
      <c r="Y48" s="64">
        <v>1741</v>
      </c>
      <c r="Z48" s="331">
        <v>0.97266995728689087</v>
      </c>
      <c r="AA48" s="31">
        <v>0</v>
      </c>
      <c r="AB48" s="11">
        <v>0</v>
      </c>
      <c r="AC48" s="11">
        <v>0</v>
      </c>
      <c r="AE48" s="32">
        <v>-146192.88500000001</v>
      </c>
      <c r="AF48" s="13">
        <v>-85887.91</v>
      </c>
      <c r="AG48" s="13">
        <v>152581.63259346157</v>
      </c>
      <c r="AH48" s="13">
        <v>-75945.428013194891</v>
      </c>
      <c r="AI48" s="13">
        <v>6899.3303288840107</v>
      </c>
      <c r="AJ48" s="13">
        <v>453574</v>
      </c>
      <c r="AK48" s="13">
        <v>149113</v>
      </c>
      <c r="AL48" s="13">
        <v>365093.08658189903</v>
      </c>
      <c r="AM48" s="13">
        <v>18504.183119397294</v>
      </c>
      <c r="AN48" s="13">
        <v>39985.403082424527</v>
      </c>
      <c r="AO48" s="13">
        <v>140431.94408137689</v>
      </c>
      <c r="AP48" s="13">
        <v>268667.96625237807</v>
      </c>
      <c r="AQ48" s="13">
        <v>453481.51872165385</v>
      </c>
      <c r="AR48" s="13">
        <v>123945.84333360156</v>
      </c>
      <c r="AS48" s="13">
        <v>220230.03564561004</v>
      </c>
      <c r="AT48" s="34"/>
      <c r="AU48" s="13"/>
      <c r="AV48" s="34"/>
      <c r="AW48" s="34"/>
      <c r="AX48" s="34"/>
      <c r="AY48" s="13">
        <v>293845.32366181299</v>
      </c>
      <c r="AZ48" s="13">
        <v>168991.04064593383</v>
      </c>
      <c r="BA48" s="13">
        <v>166900.33552321297</v>
      </c>
      <c r="BB48" s="32">
        <v>225339.63208022303</v>
      </c>
      <c r="BC48" s="33">
        <v>-63857.346907893254</v>
      </c>
      <c r="BD48" s="33">
        <v>-128706.2</v>
      </c>
      <c r="BE48" s="33">
        <v>-49322.98</v>
      </c>
      <c r="BF48" s="14"/>
      <c r="BG48" s="14">
        <v>617135.94296894909</v>
      </c>
      <c r="BH48" s="33">
        <v>2173627.2588016614</v>
      </c>
      <c r="BI48" s="13">
        <v>241944</v>
      </c>
      <c r="BJ48" s="13">
        <v>1204</v>
      </c>
      <c r="BK48" s="33">
        <v>420486.5</v>
      </c>
    </row>
    <row r="49" spans="1:63" ht="14.25" x14ac:dyDescent="0.2">
      <c r="A49" s="14">
        <v>165</v>
      </c>
      <c r="B49" s="14" t="s">
        <v>322</v>
      </c>
      <c r="C49" s="14">
        <v>16015</v>
      </c>
      <c r="D49" s="14">
        <v>788</v>
      </c>
      <c r="E49" s="14">
        <v>165</v>
      </c>
      <c r="F49" s="14">
        <v>1068</v>
      </c>
      <c r="G49" s="14">
        <v>608</v>
      </c>
      <c r="H49" s="14">
        <v>13386</v>
      </c>
      <c r="I49" s="14">
        <v>8770</v>
      </c>
      <c r="K49" s="29">
        <v>583.91666666666663</v>
      </c>
      <c r="L49" s="29">
        <v>7704</v>
      </c>
      <c r="M49" s="14">
        <v>856.75</v>
      </c>
      <c r="N49" s="11">
        <v>674</v>
      </c>
      <c r="O49" s="11">
        <v>0</v>
      </c>
      <c r="P49" s="11">
        <v>64</v>
      </c>
      <c r="Q49" s="11">
        <v>0</v>
      </c>
      <c r="R49" s="11">
        <v>0</v>
      </c>
      <c r="S49" s="11">
        <v>547.5</v>
      </c>
      <c r="T49" s="14">
        <v>624</v>
      </c>
      <c r="U49" s="14">
        <v>5035</v>
      </c>
      <c r="V49" s="330"/>
      <c r="W49" s="11">
        <v>0</v>
      </c>
      <c r="X49" s="64">
        <v>4972</v>
      </c>
      <c r="Y49" s="64">
        <v>6934</v>
      </c>
      <c r="Z49" s="331">
        <v>0.94468061098803113</v>
      </c>
      <c r="AA49" s="31">
        <v>0</v>
      </c>
      <c r="AB49" s="11">
        <v>0</v>
      </c>
      <c r="AC49" s="11">
        <v>0</v>
      </c>
      <c r="AE49" s="32">
        <v>-741509.40734999999</v>
      </c>
      <c r="AF49" s="13">
        <v>-311912.77</v>
      </c>
      <c r="AG49" s="13">
        <v>637902.4292259661</v>
      </c>
      <c r="AH49" s="13">
        <v>-205775.62074172343</v>
      </c>
      <c r="AI49" s="13">
        <v>-4544.1776818754151</v>
      </c>
      <c r="AJ49" s="13">
        <v>1200523</v>
      </c>
      <c r="AK49" s="13">
        <v>390977</v>
      </c>
      <c r="AL49" s="13">
        <v>770002.6127360079</v>
      </c>
      <c r="AM49" s="13">
        <v>16847.511053475086</v>
      </c>
      <c r="AN49" s="13">
        <v>79300.428763733551</v>
      </c>
      <c r="AO49" s="13">
        <v>347639.4998992068</v>
      </c>
      <c r="AP49" s="13">
        <v>766328.70598451118</v>
      </c>
      <c r="AQ49" s="13">
        <v>1292371.9047316522</v>
      </c>
      <c r="AR49" s="13">
        <v>326396.51477120252</v>
      </c>
      <c r="AS49" s="13">
        <v>611765.10052473971</v>
      </c>
      <c r="AT49" s="34"/>
      <c r="AU49" s="13"/>
      <c r="AV49" s="34"/>
      <c r="AW49" s="34"/>
      <c r="AX49" s="34"/>
      <c r="AY49" s="13">
        <v>776913.40073627059</v>
      </c>
      <c r="AZ49" s="13">
        <v>513307.95540939632</v>
      </c>
      <c r="BA49" s="13">
        <v>495776.65021796623</v>
      </c>
      <c r="BB49" s="32">
        <v>696649.80188388797</v>
      </c>
      <c r="BC49" s="33">
        <v>-68810.858721459197</v>
      </c>
      <c r="BD49" s="33">
        <v>-477247</v>
      </c>
      <c r="BE49" s="33">
        <v>-182891.3</v>
      </c>
      <c r="BF49" s="14"/>
      <c r="BG49" s="14">
        <v>1262448.3715010295</v>
      </c>
      <c r="BH49" s="33">
        <v>3502150.0211466323</v>
      </c>
      <c r="BI49" s="13">
        <v>-1878758</v>
      </c>
      <c r="BJ49" s="13">
        <v>4269</v>
      </c>
      <c r="BK49" s="33">
        <v>374639.33750000002</v>
      </c>
    </row>
    <row r="50" spans="1:63" ht="14.25" x14ac:dyDescent="0.2">
      <c r="A50" s="14">
        <v>167</v>
      </c>
      <c r="B50" s="14" t="s">
        <v>323</v>
      </c>
      <c r="C50" s="14">
        <v>78741</v>
      </c>
      <c r="D50" s="14">
        <v>3346</v>
      </c>
      <c r="E50" s="14">
        <v>639</v>
      </c>
      <c r="F50" s="14">
        <v>4342</v>
      </c>
      <c r="G50" s="14">
        <v>2385</v>
      </c>
      <c r="H50" s="14">
        <v>68029</v>
      </c>
      <c r="I50" s="14">
        <v>47877</v>
      </c>
      <c r="K50" s="29">
        <v>5150.166666666667</v>
      </c>
      <c r="L50" s="29">
        <v>36045</v>
      </c>
      <c r="M50" s="14">
        <v>7019.0833333333339</v>
      </c>
      <c r="N50" s="11">
        <v>6717</v>
      </c>
      <c r="O50" s="11">
        <v>0</v>
      </c>
      <c r="P50" s="11">
        <v>80</v>
      </c>
      <c r="Q50" s="11">
        <v>0</v>
      </c>
      <c r="R50" s="11">
        <v>0</v>
      </c>
      <c r="S50" s="11">
        <v>2381.87</v>
      </c>
      <c r="T50" s="14">
        <v>2823</v>
      </c>
      <c r="U50" s="14">
        <v>23260</v>
      </c>
      <c r="V50" s="330"/>
      <c r="W50" s="11">
        <v>0</v>
      </c>
      <c r="X50" s="64">
        <v>35348</v>
      </c>
      <c r="Y50" s="64">
        <v>31225</v>
      </c>
      <c r="Z50" s="331">
        <v>0.96861243022420562</v>
      </c>
      <c r="AA50" s="31">
        <v>0.634752287398895</v>
      </c>
      <c r="AB50" s="11">
        <v>0</v>
      </c>
      <c r="AC50" s="11">
        <v>4</v>
      </c>
      <c r="AE50" s="32">
        <v>-5483423.2962499997</v>
      </c>
      <c r="AF50" s="13">
        <v>-1477921.35</v>
      </c>
      <c r="AG50" s="13">
        <v>3139853.0823817085</v>
      </c>
      <c r="AH50" s="13">
        <v>-949923.36676612787</v>
      </c>
      <c r="AI50" s="13">
        <v>589145.05767118139</v>
      </c>
      <c r="AJ50" s="13">
        <v>5466814</v>
      </c>
      <c r="AK50" s="13">
        <v>1850095</v>
      </c>
      <c r="AL50" s="13">
        <v>4594015.0715513099</v>
      </c>
      <c r="AM50" s="13">
        <v>215631.76150351088</v>
      </c>
      <c r="AN50" s="13">
        <v>465003.00002210779</v>
      </c>
      <c r="AO50" s="13">
        <v>2009551.5027614411</v>
      </c>
      <c r="AP50" s="13">
        <v>3964396.5649567964</v>
      </c>
      <c r="AQ50" s="13">
        <v>5401227.4024798349</v>
      </c>
      <c r="AR50" s="13">
        <v>2000363.9814795156</v>
      </c>
      <c r="AS50" s="13">
        <v>3459071.4590522032</v>
      </c>
      <c r="AT50" s="34"/>
      <c r="AU50" s="13"/>
      <c r="AV50" s="34"/>
      <c r="AW50" s="34"/>
      <c r="AX50" s="34"/>
      <c r="AY50" s="13">
        <v>4389661.791918925</v>
      </c>
      <c r="AZ50" s="13">
        <v>2728947.0007186937</v>
      </c>
      <c r="BA50" s="13">
        <v>2644957.591464805</v>
      </c>
      <c r="BB50" s="32">
        <v>1010348.5497270249</v>
      </c>
      <c r="BC50" s="33">
        <v>-327625.06708086404</v>
      </c>
      <c r="BD50" s="33">
        <v>-2346481.8000000003</v>
      </c>
      <c r="BE50" s="33">
        <v>-899222.22</v>
      </c>
      <c r="BF50" s="14"/>
      <c r="BG50" s="14">
        <v>8516635.5051185172</v>
      </c>
      <c r="BH50" s="33">
        <v>26113489.72272297</v>
      </c>
      <c r="BI50" s="13">
        <v>2980371</v>
      </c>
      <c r="BJ50" s="13">
        <v>26765</v>
      </c>
      <c r="BK50" s="33">
        <v>-11798939.5275</v>
      </c>
    </row>
    <row r="51" spans="1:63" ht="14.25" x14ac:dyDescent="0.2">
      <c r="A51" s="14">
        <v>169</v>
      </c>
      <c r="B51" s="14" t="s">
        <v>324</v>
      </c>
      <c r="C51" s="14">
        <v>4848</v>
      </c>
      <c r="D51" s="14">
        <v>204</v>
      </c>
      <c r="E51" s="14">
        <v>45</v>
      </c>
      <c r="F51" s="14">
        <v>289</v>
      </c>
      <c r="G51" s="14">
        <v>191</v>
      </c>
      <c r="H51" s="14">
        <v>4119</v>
      </c>
      <c r="I51" s="14">
        <v>2532</v>
      </c>
      <c r="K51" s="29">
        <v>175.83333333333334</v>
      </c>
      <c r="L51" s="29">
        <v>2282</v>
      </c>
      <c r="M51" s="14">
        <v>264.16666666666669</v>
      </c>
      <c r="N51" s="11">
        <v>169</v>
      </c>
      <c r="O51" s="11">
        <v>0</v>
      </c>
      <c r="P51" s="11">
        <v>20</v>
      </c>
      <c r="Q51" s="11">
        <v>0</v>
      </c>
      <c r="R51" s="11">
        <v>0</v>
      </c>
      <c r="S51" s="11">
        <v>180.42</v>
      </c>
      <c r="T51" s="14">
        <v>179</v>
      </c>
      <c r="U51" s="14">
        <v>1339</v>
      </c>
      <c r="V51" s="330"/>
      <c r="W51" s="11">
        <v>0</v>
      </c>
      <c r="X51" s="64">
        <v>1532</v>
      </c>
      <c r="Y51" s="64">
        <v>2022</v>
      </c>
      <c r="Z51" s="331">
        <v>0.740330946482465</v>
      </c>
      <c r="AA51" s="31">
        <v>0</v>
      </c>
      <c r="AB51" s="11">
        <v>0</v>
      </c>
      <c r="AC51" s="11">
        <v>0</v>
      </c>
      <c r="AE51" s="32">
        <v>-162229.114</v>
      </c>
      <c r="AF51" s="13">
        <v>-97221.81</v>
      </c>
      <c r="AG51" s="13">
        <v>236395.50705608181</v>
      </c>
      <c r="AH51" s="13">
        <v>-74122.125821356211</v>
      </c>
      <c r="AI51" s="13">
        <v>-9501.2768522691622</v>
      </c>
      <c r="AJ51" s="13">
        <v>431133</v>
      </c>
      <c r="AK51" s="13">
        <v>139452</v>
      </c>
      <c r="AL51" s="13">
        <v>326940.78055129474</v>
      </c>
      <c r="AM51" s="13">
        <v>12066.668581473579</v>
      </c>
      <c r="AN51" s="13">
        <v>33921.126783901971</v>
      </c>
      <c r="AO51" s="13">
        <v>152770.26811155965</v>
      </c>
      <c r="AP51" s="13">
        <v>274456.85582012346</v>
      </c>
      <c r="AQ51" s="13">
        <v>465128.85788012884</v>
      </c>
      <c r="AR51" s="13">
        <v>118944.17022397346</v>
      </c>
      <c r="AS51" s="13">
        <v>221103.60443573224</v>
      </c>
      <c r="AT51" s="34"/>
      <c r="AU51" s="13"/>
      <c r="AV51" s="34"/>
      <c r="AW51" s="34"/>
      <c r="AX51" s="34"/>
      <c r="AY51" s="13">
        <v>289466.16991886846</v>
      </c>
      <c r="AZ51" s="13">
        <v>170381.76330824205</v>
      </c>
      <c r="BA51" s="13">
        <v>174326.72159382177</v>
      </c>
      <c r="BB51" s="32">
        <v>348419.59021290694</v>
      </c>
      <c r="BC51" s="33">
        <v>10081.77092869955</v>
      </c>
      <c r="BD51" s="33">
        <v>-144470.39999999999</v>
      </c>
      <c r="BE51" s="33">
        <v>-55364.159999999996</v>
      </c>
      <c r="BF51" s="14"/>
      <c r="BG51" s="14">
        <v>481359.7328184357</v>
      </c>
      <c r="BH51" s="33">
        <v>1964719.151458231</v>
      </c>
      <c r="BI51" s="13">
        <v>-1211760</v>
      </c>
      <c r="BJ51" s="13">
        <v>1252</v>
      </c>
      <c r="BK51" s="33">
        <v>-74115.162500000006</v>
      </c>
    </row>
    <row r="52" spans="1:63" ht="14.25" x14ac:dyDescent="0.2">
      <c r="A52" s="14">
        <v>171</v>
      </c>
      <c r="B52" s="14" t="s">
        <v>325</v>
      </c>
      <c r="C52" s="14">
        <v>4552</v>
      </c>
      <c r="D52" s="14">
        <v>165</v>
      </c>
      <c r="E52" s="14">
        <v>45</v>
      </c>
      <c r="F52" s="14">
        <v>250</v>
      </c>
      <c r="G52" s="14">
        <v>155</v>
      </c>
      <c r="H52" s="14">
        <v>3937</v>
      </c>
      <c r="I52" s="14">
        <v>2293</v>
      </c>
      <c r="K52" s="29">
        <v>178.41666666666666</v>
      </c>
      <c r="L52" s="29">
        <v>1929</v>
      </c>
      <c r="M52" s="14">
        <v>260.33333333333331</v>
      </c>
      <c r="N52" s="11">
        <v>303</v>
      </c>
      <c r="O52" s="11">
        <v>0</v>
      </c>
      <c r="P52" s="11">
        <v>16</v>
      </c>
      <c r="Q52" s="11">
        <v>0</v>
      </c>
      <c r="R52" s="11">
        <v>0</v>
      </c>
      <c r="S52" s="11">
        <v>574.88</v>
      </c>
      <c r="T52" s="14">
        <v>219</v>
      </c>
      <c r="U52" s="14">
        <v>1238</v>
      </c>
      <c r="V52" s="330"/>
      <c r="W52" s="11">
        <v>9.4850000000000004E-2</v>
      </c>
      <c r="X52" s="64">
        <v>1287</v>
      </c>
      <c r="Y52" s="64">
        <v>1735</v>
      </c>
      <c r="Z52" s="331">
        <v>0.93280418484818217</v>
      </c>
      <c r="AA52" s="31">
        <v>0</v>
      </c>
      <c r="AB52" s="11">
        <v>0</v>
      </c>
      <c r="AC52" s="11">
        <v>0</v>
      </c>
      <c r="AE52" s="32">
        <v>-131394.55499999999</v>
      </c>
      <c r="AF52" s="13">
        <v>-90075.69</v>
      </c>
      <c r="AG52" s="13">
        <v>252707.80440952297</v>
      </c>
      <c r="AH52" s="13">
        <v>-58855.473372546636</v>
      </c>
      <c r="AI52" s="13">
        <v>44438.0961426914</v>
      </c>
      <c r="AJ52" s="13">
        <v>458018</v>
      </c>
      <c r="AK52" s="13">
        <v>146662</v>
      </c>
      <c r="AL52" s="13">
        <v>360067.20291200245</v>
      </c>
      <c r="AM52" s="13">
        <v>19282.329063916979</v>
      </c>
      <c r="AN52" s="13">
        <v>64627.108867056239</v>
      </c>
      <c r="AO52" s="13">
        <v>183244.24238451579</v>
      </c>
      <c r="AP52" s="13">
        <v>271733.55857463356</v>
      </c>
      <c r="AQ52" s="13">
        <v>427994.98927957815</v>
      </c>
      <c r="AR52" s="13">
        <v>126552.75237389241</v>
      </c>
      <c r="AS52" s="13">
        <v>232621.35515414388</v>
      </c>
      <c r="AT52" s="34"/>
      <c r="AU52" s="13"/>
      <c r="AV52" s="34"/>
      <c r="AW52" s="34"/>
      <c r="AX52" s="34"/>
      <c r="AY52" s="13">
        <v>306777.74972593767</v>
      </c>
      <c r="AZ52" s="13">
        <v>173650.14984700282</v>
      </c>
      <c r="BA52" s="13">
        <v>167838.03537561142</v>
      </c>
      <c r="BB52" s="32">
        <v>-11485.531544051584</v>
      </c>
      <c r="BC52" s="33">
        <v>-23086.167534634053</v>
      </c>
      <c r="BD52" s="33">
        <v>-135649.60000000001</v>
      </c>
      <c r="BE52" s="33">
        <v>-51983.839999999997</v>
      </c>
      <c r="BF52" s="14"/>
      <c r="BG52" s="14">
        <v>671765.19502800016</v>
      </c>
      <c r="BH52" s="33">
        <v>1546377.2386811911</v>
      </c>
      <c r="BI52" s="13">
        <v>271505</v>
      </c>
      <c r="BJ52" s="13">
        <v>1008</v>
      </c>
      <c r="BK52" s="33">
        <v>37101.75</v>
      </c>
    </row>
    <row r="53" spans="1:63" ht="14.25" x14ac:dyDescent="0.2">
      <c r="A53" s="14">
        <v>172</v>
      </c>
      <c r="B53" s="14" t="s">
        <v>326</v>
      </c>
      <c r="C53" s="14">
        <v>4099</v>
      </c>
      <c r="D53" s="14">
        <v>124</v>
      </c>
      <c r="E53" s="14">
        <v>21</v>
      </c>
      <c r="F53" s="14">
        <v>179</v>
      </c>
      <c r="G53" s="14">
        <v>111</v>
      </c>
      <c r="H53" s="14">
        <v>3664</v>
      </c>
      <c r="I53" s="14">
        <v>1890</v>
      </c>
      <c r="K53" s="29">
        <v>207.5</v>
      </c>
      <c r="L53" s="29">
        <v>1625</v>
      </c>
      <c r="M53" s="14">
        <v>268.75</v>
      </c>
      <c r="N53" s="11">
        <v>218</v>
      </c>
      <c r="O53" s="11">
        <v>0</v>
      </c>
      <c r="P53" s="11">
        <v>10</v>
      </c>
      <c r="Q53" s="11">
        <v>3</v>
      </c>
      <c r="R53" s="11">
        <v>233</v>
      </c>
      <c r="S53" s="11">
        <v>867.07</v>
      </c>
      <c r="T53" s="14">
        <v>181</v>
      </c>
      <c r="U53" s="14">
        <v>944</v>
      </c>
      <c r="V53" s="330"/>
      <c r="W53" s="11">
        <v>1.4112166666666668</v>
      </c>
      <c r="X53" s="64">
        <v>1288</v>
      </c>
      <c r="Y53" s="64">
        <v>1369</v>
      </c>
      <c r="Z53" s="331">
        <v>0.89774639950710822</v>
      </c>
      <c r="AA53" s="31">
        <v>0</v>
      </c>
      <c r="AB53" s="11">
        <v>0</v>
      </c>
      <c r="AC53" s="11">
        <v>0</v>
      </c>
      <c r="AE53" s="32">
        <v>-135494.98754999999</v>
      </c>
      <c r="AF53" s="13">
        <v>-82545.37000000001</v>
      </c>
      <c r="AG53" s="13">
        <v>155567.12333135976</v>
      </c>
      <c r="AH53" s="13">
        <v>-52624.518130474615</v>
      </c>
      <c r="AI53" s="13">
        <v>2569.4183708991477</v>
      </c>
      <c r="AJ53" s="13">
        <v>509443</v>
      </c>
      <c r="AK53" s="13">
        <v>157472</v>
      </c>
      <c r="AL53" s="13">
        <v>386498.84245449177</v>
      </c>
      <c r="AM53" s="13">
        <v>20618.110462585326</v>
      </c>
      <c r="AN53" s="13">
        <v>40447.198613487839</v>
      </c>
      <c r="AO53" s="13">
        <v>194577.63640664515</v>
      </c>
      <c r="AP53" s="13">
        <v>270506.83662957774</v>
      </c>
      <c r="AQ53" s="13">
        <v>404843.30322021345</v>
      </c>
      <c r="AR53" s="13">
        <v>122326.54536871142</v>
      </c>
      <c r="AS53" s="13">
        <v>222307.7076019801</v>
      </c>
      <c r="AT53" s="34"/>
      <c r="AU53" s="13"/>
      <c r="AV53" s="34"/>
      <c r="AW53" s="34"/>
      <c r="AX53" s="34"/>
      <c r="AY53" s="13">
        <v>301320.58636021038</v>
      </c>
      <c r="AZ53" s="13">
        <v>162749.27209112822</v>
      </c>
      <c r="BA53" s="13">
        <v>149908.50604586789</v>
      </c>
      <c r="BB53" s="32">
        <v>50478.673624909396</v>
      </c>
      <c r="BC53" s="33">
        <v>-17629.612513956163</v>
      </c>
      <c r="BD53" s="33">
        <v>-122150.2</v>
      </c>
      <c r="BE53" s="33">
        <v>-46810.58</v>
      </c>
      <c r="BF53" s="14"/>
      <c r="BG53" s="14">
        <v>676582.71083330258</v>
      </c>
      <c r="BH53" s="33">
        <v>1659128.9419642931</v>
      </c>
      <c r="BI53" s="13">
        <v>959031</v>
      </c>
      <c r="BJ53" s="13">
        <v>717</v>
      </c>
      <c r="BK53" s="33">
        <v>151410.47500000003</v>
      </c>
    </row>
    <row r="54" spans="1:63" ht="14.25" x14ac:dyDescent="0.2">
      <c r="A54" s="14">
        <v>176</v>
      </c>
      <c r="B54" s="14" t="s">
        <v>327</v>
      </c>
      <c r="C54" s="14">
        <v>4160</v>
      </c>
      <c r="D54" s="14">
        <v>100</v>
      </c>
      <c r="E54" s="14">
        <v>22</v>
      </c>
      <c r="F54" s="14">
        <v>151</v>
      </c>
      <c r="G54" s="14">
        <v>106</v>
      </c>
      <c r="H54" s="14">
        <v>3781</v>
      </c>
      <c r="I54" s="14">
        <v>1956</v>
      </c>
      <c r="K54" s="29">
        <v>305.25</v>
      </c>
      <c r="L54" s="29">
        <v>1661</v>
      </c>
      <c r="M54" s="14">
        <v>385.41666666666669</v>
      </c>
      <c r="N54" s="11">
        <v>150</v>
      </c>
      <c r="O54" s="11">
        <v>0</v>
      </c>
      <c r="P54" s="11">
        <v>2</v>
      </c>
      <c r="Q54" s="11">
        <v>3</v>
      </c>
      <c r="R54" s="11">
        <v>181</v>
      </c>
      <c r="S54" s="11">
        <v>1501.6</v>
      </c>
      <c r="T54" s="14">
        <v>157</v>
      </c>
      <c r="U54" s="14">
        <v>893</v>
      </c>
      <c r="V54" s="330"/>
      <c r="W54" s="11">
        <v>1.5198833333333333</v>
      </c>
      <c r="X54" s="64">
        <v>1319</v>
      </c>
      <c r="Y54" s="64">
        <v>1365</v>
      </c>
      <c r="Z54" s="331">
        <v>0.73770717602470393</v>
      </c>
      <c r="AA54" s="31">
        <v>0</v>
      </c>
      <c r="AB54" s="11">
        <v>0</v>
      </c>
      <c r="AC54" s="11">
        <v>0</v>
      </c>
      <c r="AE54" s="32">
        <v>-164980.89600000001</v>
      </c>
      <c r="AF54" s="13">
        <v>-86963.67</v>
      </c>
      <c r="AG54" s="13">
        <v>223821.04717298021</v>
      </c>
      <c r="AH54" s="13">
        <v>-36926.33154595604</v>
      </c>
      <c r="AI54" s="13">
        <v>70261.659792681807</v>
      </c>
      <c r="AJ54" s="13">
        <v>547362</v>
      </c>
      <c r="AK54" s="13">
        <v>154414</v>
      </c>
      <c r="AL54" s="13">
        <v>415752.71276680683</v>
      </c>
      <c r="AM54" s="13">
        <v>24771.699430695844</v>
      </c>
      <c r="AN54" s="13">
        <v>66604.482946982607</v>
      </c>
      <c r="AO54" s="13">
        <v>225061.96261168466</v>
      </c>
      <c r="AP54" s="13">
        <v>273299.08005427447</v>
      </c>
      <c r="AQ54" s="13">
        <v>416617.92469922552</v>
      </c>
      <c r="AR54" s="13">
        <v>135404.7667914273</v>
      </c>
      <c r="AS54" s="13">
        <v>238022.65096683003</v>
      </c>
      <c r="AT54" s="34"/>
      <c r="AU54" s="13"/>
      <c r="AV54" s="34"/>
      <c r="AW54" s="34"/>
      <c r="AX54" s="34"/>
      <c r="AY54" s="13">
        <v>318006.46276698151</v>
      </c>
      <c r="AZ54" s="13">
        <v>170454.05062057608</v>
      </c>
      <c r="BA54" s="13">
        <v>164984.41956054917</v>
      </c>
      <c r="BB54" s="32">
        <v>-1211231.1006262582</v>
      </c>
      <c r="BC54" s="33">
        <v>-756025.14526490611</v>
      </c>
      <c r="BD54" s="33">
        <v>-123968</v>
      </c>
      <c r="BE54" s="33">
        <v>-47507.199999999997</v>
      </c>
      <c r="BF54" s="14"/>
      <c r="BG54" s="14">
        <v>740093.25669367926</v>
      </c>
      <c r="BH54" s="33">
        <v>2083175.7406007696</v>
      </c>
      <c r="BI54" s="13">
        <v>123803</v>
      </c>
      <c r="BJ54" s="13">
        <v>707</v>
      </c>
      <c r="BK54" s="33">
        <v>-254588.67499999999</v>
      </c>
    </row>
    <row r="55" spans="1:63" ht="14.25" x14ac:dyDescent="0.2">
      <c r="A55" s="14">
        <v>177</v>
      </c>
      <c r="B55" s="14" t="s">
        <v>328</v>
      </c>
      <c r="C55" s="14">
        <v>1668</v>
      </c>
      <c r="D55" s="14">
        <v>55</v>
      </c>
      <c r="E55" s="14">
        <v>11</v>
      </c>
      <c r="F55" s="14">
        <v>101</v>
      </c>
      <c r="G55" s="14">
        <v>57</v>
      </c>
      <c r="H55" s="14">
        <v>1444</v>
      </c>
      <c r="I55" s="14">
        <v>821</v>
      </c>
      <c r="K55" s="29">
        <v>52.083333333333336</v>
      </c>
      <c r="L55" s="29">
        <v>754</v>
      </c>
      <c r="M55" s="14">
        <v>81</v>
      </c>
      <c r="N55" s="11">
        <v>33</v>
      </c>
      <c r="O55" s="11">
        <v>0</v>
      </c>
      <c r="P55" s="11">
        <v>4</v>
      </c>
      <c r="Q55" s="11">
        <v>0</v>
      </c>
      <c r="R55" s="11">
        <v>0</v>
      </c>
      <c r="S55" s="11">
        <v>258.48</v>
      </c>
      <c r="T55" s="14">
        <v>63</v>
      </c>
      <c r="U55" s="14">
        <v>453</v>
      </c>
      <c r="V55" s="330"/>
      <c r="W55" s="11">
        <v>0.62613333333333332</v>
      </c>
      <c r="X55" s="64">
        <v>656</v>
      </c>
      <c r="Y55" s="64">
        <v>673</v>
      </c>
      <c r="Z55" s="331">
        <v>0.79271007237831792</v>
      </c>
      <c r="AA55" s="31">
        <v>0</v>
      </c>
      <c r="AB55" s="11">
        <v>0</v>
      </c>
      <c r="AC55" s="11">
        <v>0</v>
      </c>
      <c r="AE55" s="32">
        <v>-63746.754999999997</v>
      </c>
      <c r="AF55" s="13">
        <v>-34578</v>
      </c>
      <c r="AG55" s="13">
        <v>82428.2548913098</v>
      </c>
      <c r="AH55" s="13">
        <v>-19118.221205671616</v>
      </c>
      <c r="AI55" s="13">
        <v>532.88989963679705</v>
      </c>
      <c r="AJ55" s="13">
        <v>184962</v>
      </c>
      <c r="AK55" s="13">
        <v>59201</v>
      </c>
      <c r="AL55" s="13">
        <v>142388.02164284655</v>
      </c>
      <c r="AM55" s="13">
        <v>7441.1307006754541</v>
      </c>
      <c r="AN55" s="13">
        <v>16358.817618945292</v>
      </c>
      <c r="AO55" s="13">
        <v>62158.934686852546</v>
      </c>
      <c r="AP55" s="13">
        <v>102466.69992393949</v>
      </c>
      <c r="AQ55" s="13">
        <v>189943.87181631447</v>
      </c>
      <c r="AR55" s="13">
        <v>45709.12819189026</v>
      </c>
      <c r="AS55" s="13">
        <v>86024.32833867977</v>
      </c>
      <c r="AT55" s="34"/>
      <c r="AU55" s="13"/>
      <c r="AV55" s="34"/>
      <c r="AW55" s="34"/>
      <c r="AX55" s="34"/>
      <c r="AY55" s="13">
        <v>116895.3112175987</v>
      </c>
      <c r="AZ55" s="13">
        <v>67157.526636254523</v>
      </c>
      <c r="BA55" s="13">
        <v>61636.350264859968</v>
      </c>
      <c r="BB55" s="32">
        <v>360287.54861490434</v>
      </c>
      <c r="BC55" s="33">
        <v>269831.18454290828</v>
      </c>
      <c r="BD55" s="33">
        <v>-49706.400000000001</v>
      </c>
      <c r="BE55" s="33">
        <v>-19048.560000000001</v>
      </c>
      <c r="BF55" s="14"/>
      <c r="BG55" s="14">
        <v>273684.28981415695</v>
      </c>
      <c r="BH55" s="33">
        <v>-20866.997350411704</v>
      </c>
      <c r="BI55" s="13">
        <v>-490119</v>
      </c>
      <c r="BJ55" s="13">
        <v>364</v>
      </c>
      <c r="BK55" s="33">
        <v>268811.01250000001</v>
      </c>
    </row>
    <row r="56" spans="1:63" ht="14.25" x14ac:dyDescent="0.2">
      <c r="A56" s="14">
        <v>178</v>
      </c>
      <c r="B56" s="14" t="s">
        <v>329</v>
      </c>
      <c r="C56" s="14">
        <v>5674</v>
      </c>
      <c r="D56" s="14">
        <v>185</v>
      </c>
      <c r="E56" s="14">
        <v>40</v>
      </c>
      <c r="F56" s="14">
        <v>283</v>
      </c>
      <c r="G56" s="14">
        <v>157</v>
      </c>
      <c r="H56" s="14">
        <v>5009</v>
      </c>
      <c r="I56" s="14">
        <v>2688</v>
      </c>
      <c r="K56" s="29">
        <v>196.41666666666666</v>
      </c>
      <c r="L56" s="29">
        <v>2359</v>
      </c>
      <c r="M56" s="14">
        <v>268.75</v>
      </c>
      <c r="N56" s="11">
        <v>259</v>
      </c>
      <c r="O56" s="11">
        <v>0</v>
      </c>
      <c r="P56" s="11">
        <v>15</v>
      </c>
      <c r="Q56" s="11">
        <v>0</v>
      </c>
      <c r="R56" s="11">
        <v>0</v>
      </c>
      <c r="S56" s="11">
        <v>1163.5</v>
      </c>
      <c r="T56" s="14">
        <v>195</v>
      </c>
      <c r="U56" s="14">
        <v>1328</v>
      </c>
      <c r="V56" s="330"/>
      <c r="W56" s="11">
        <v>0.82289999999999996</v>
      </c>
      <c r="X56" s="64">
        <v>1753</v>
      </c>
      <c r="Y56" s="64">
        <v>2131</v>
      </c>
      <c r="Z56" s="331">
        <v>0.8918642269326007</v>
      </c>
      <c r="AA56" s="31">
        <v>0</v>
      </c>
      <c r="AB56" s="11">
        <v>0</v>
      </c>
      <c r="AC56" s="11">
        <v>0</v>
      </c>
      <c r="AE56" s="32">
        <v>-142925.16305</v>
      </c>
      <c r="AF56" s="13">
        <v>-113953.72</v>
      </c>
      <c r="AG56" s="13">
        <v>203959.63121501342</v>
      </c>
      <c r="AH56" s="13">
        <v>-76083.968292459482</v>
      </c>
      <c r="AI56" s="13">
        <v>3339.0433182764828</v>
      </c>
      <c r="AJ56" s="13">
        <v>705473</v>
      </c>
      <c r="AK56" s="13">
        <v>224298</v>
      </c>
      <c r="AL56" s="13">
        <v>573341.18419038656</v>
      </c>
      <c r="AM56" s="13">
        <v>29992.922592651285</v>
      </c>
      <c r="AN56" s="13">
        <v>63985.897324574398</v>
      </c>
      <c r="AO56" s="13">
        <v>254616.91607701505</v>
      </c>
      <c r="AP56" s="13">
        <v>373516.89299610566</v>
      </c>
      <c r="AQ56" s="13">
        <v>589182.03011478262</v>
      </c>
      <c r="AR56" s="13">
        <v>195151.42496183366</v>
      </c>
      <c r="AS56" s="13">
        <v>321168.96614469704</v>
      </c>
      <c r="AT56" s="34"/>
      <c r="AU56" s="13"/>
      <c r="AV56" s="34"/>
      <c r="AW56" s="34"/>
      <c r="AX56" s="34"/>
      <c r="AY56" s="13">
        <v>451019.73569176643</v>
      </c>
      <c r="AZ56" s="13">
        <v>246029.35137396018</v>
      </c>
      <c r="BA56" s="13">
        <v>240343.75957262743</v>
      </c>
      <c r="BB56" s="32">
        <v>563572.22020073293</v>
      </c>
      <c r="BC56" s="33">
        <v>-24383.897049391773</v>
      </c>
      <c r="BD56" s="33">
        <v>-169085.2</v>
      </c>
      <c r="BE56" s="33">
        <v>-64797.08</v>
      </c>
      <c r="BF56" s="14"/>
      <c r="BG56" s="14">
        <v>943097.71008759516</v>
      </c>
      <c r="BH56" s="33">
        <v>2396106.455371832</v>
      </c>
      <c r="BI56" s="13">
        <v>-558427</v>
      </c>
      <c r="BJ56" s="13">
        <v>1162</v>
      </c>
      <c r="BK56" s="33">
        <v>17755.837499999994</v>
      </c>
    </row>
    <row r="57" spans="1:63" ht="14.25" x14ac:dyDescent="0.2">
      <c r="A57" s="14">
        <v>179</v>
      </c>
      <c r="B57" s="14" t="s">
        <v>330</v>
      </c>
      <c r="C57" s="14">
        <v>149194</v>
      </c>
      <c r="D57" s="14">
        <v>7318</v>
      </c>
      <c r="E57" s="14">
        <v>1247</v>
      </c>
      <c r="F57" s="14">
        <v>8913</v>
      </c>
      <c r="G57" s="14">
        <v>4927</v>
      </c>
      <c r="H57" s="14">
        <v>126789</v>
      </c>
      <c r="I57" s="14">
        <v>94431</v>
      </c>
      <c r="K57" s="29">
        <v>10030</v>
      </c>
      <c r="L57" s="29">
        <v>72062</v>
      </c>
      <c r="M57" s="14">
        <v>14012.333333333334</v>
      </c>
      <c r="N57" s="11">
        <v>11303</v>
      </c>
      <c r="O57" s="11">
        <v>0</v>
      </c>
      <c r="P57" s="11">
        <v>290</v>
      </c>
      <c r="Q57" s="11">
        <v>3</v>
      </c>
      <c r="R57" s="11">
        <v>437</v>
      </c>
      <c r="S57" s="11">
        <v>1171.03</v>
      </c>
      <c r="T57" s="14">
        <v>5139</v>
      </c>
      <c r="U57" s="14">
        <v>48188</v>
      </c>
      <c r="V57" s="330"/>
      <c r="W57" s="11">
        <v>0</v>
      </c>
      <c r="X57" s="64">
        <v>66792</v>
      </c>
      <c r="Y57" s="64">
        <v>62937</v>
      </c>
      <c r="Z57" s="331">
        <v>1.0500722791220152</v>
      </c>
      <c r="AA57" s="31">
        <v>1.0776879626118359</v>
      </c>
      <c r="AB57" s="11">
        <v>0</v>
      </c>
      <c r="AC57" s="11">
        <v>16</v>
      </c>
      <c r="AE57" s="32">
        <v>-13597473.38295</v>
      </c>
      <c r="AF57" s="13">
        <v>-2755098.2</v>
      </c>
      <c r="AG57" s="13">
        <v>7246237.8489585929</v>
      </c>
      <c r="AH57" s="13">
        <v>-1476238.396729995</v>
      </c>
      <c r="AI57" s="13">
        <v>397026.66445136443</v>
      </c>
      <c r="AJ57" s="13">
        <v>8785583</v>
      </c>
      <c r="AK57" s="13">
        <v>3161859</v>
      </c>
      <c r="AL57" s="13">
        <v>7430869.0904282592</v>
      </c>
      <c r="AM57" s="13">
        <v>300591.73226042686</v>
      </c>
      <c r="AN57" s="13">
        <v>289311.78973914421</v>
      </c>
      <c r="AO57" s="13">
        <v>3241992.4344182685</v>
      </c>
      <c r="AP57" s="13">
        <v>6842359.5965944892</v>
      </c>
      <c r="AQ57" s="13">
        <v>9234603.1016778834</v>
      </c>
      <c r="AR57" s="13">
        <v>3555495.8197356621</v>
      </c>
      <c r="AS57" s="13">
        <v>5933426.1928489124</v>
      </c>
      <c r="AT57" s="34"/>
      <c r="AU57" s="13"/>
      <c r="AV57" s="34"/>
      <c r="AW57" s="34"/>
      <c r="AX57" s="34"/>
      <c r="AY57" s="13">
        <v>7582047.6330412794</v>
      </c>
      <c r="AZ57" s="13">
        <v>4815455.3371276204</v>
      </c>
      <c r="BA57" s="13">
        <v>4738890.9587935004</v>
      </c>
      <c r="BB57" s="32">
        <v>-16953557.2812845</v>
      </c>
      <c r="BC57" s="33">
        <v>-616622.22028854536</v>
      </c>
      <c r="BD57" s="33">
        <v>-4445981.2</v>
      </c>
      <c r="BE57" s="33">
        <v>-1703795.48</v>
      </c>
      <c r="BF57" s="14"/>
      <c r="BG57" s="14">
        <v>12824520.042509995</v>
      </c>
      <c r="BH57" s="33">
        <v>39959487.855712511</v>
      </c>
      <c r="BI57" s="13">
        <v>-23428424</v>
      </c>
      <c r="BJ57" s="13">
        <v>53899</v>
      </c>
      <c r="BK57" s="33">
        <v>-13564664.812500002</v>
      </c>
    </row>
    <row r="58" spans="1:63" ht="14.25" x14ac:dyDescent="0.2">
      <c r="A58" s="14">
        <v>181</v>
      </c>
      <c r="B58" s="14" t="s">
        <v>331</v>
      </c>
      <c r="C58" s="14">
        <v>1658</v>
      </c>
      <c r="D58" s="14">
        <v>74</v>
      </c>
      <c r="E58" s="14">
        <v>10</v>
      </c>
      <c r="F58" s="14">
        <v>116</v>
      </c>
      <c r="G58" s="14">
        <v>55</v>
      </c>
      <c r="H58" s="14">
        <v>1403</v>
      </c>
      <c r="I58" s="14">
        <v>822</v>
      </c>
      <c r="K58" s="29">
        <v>50.5</v>
      </c>
      <c r="L58" s="29">
        <v>733</v>
      </c>
      <c r="M58" s="14">
        <v>74.666666666666671</v>
      </c>
      <c r="N58" s="11">
        <v>51</v>
      </c>
      <c r="O58" s="11">
        <v>0</v>
      </c>
      <c r="P58" s="11">
        <v>3</v>
      </c>
      <c r="Q58" s="11">
        <v>0</v>
      </c>
      <c r="R58" s="11">
        <v>0</v>
      </c>
      <c r="S58" s="11">
        <v>215.07</v>
      </c>
      <c r="T58" s="14">
        <v>64</v>
      </c>
      <c r="U58" s="14">
        <v>440</v>
      </c>
      <c r="V58" s="330"/>
      <c r="W58" s="11">
        <v>0.38423333333333332</v>
      </c>
      <c r="X58" s="64">
        <v>445</v>
      </c>
      <c r="Y58" s="64">
        <v>656</v>
      </c>
      <c r="Z58" s="331">
        <v>0.78570208266645691</v>
      </c>
      <c r="AA58" s="31">
        <v>0</v>
      </c>
      <c r="AB58" s="11">
        <v>0</v>
      </c>
      <c r="AC58" s="11">
        <v>0</v>
      </c>
      <c r="AE58" s="32">
        <v>-40117.855000000003</v>
      </c>
      <c r="AF58" s="13">
        <v>-32791.47</v>
      </c>
      <c r="AG58" s="13">
        <v>67066.497713681718</v>
      </c>
      <c r="AH58" s="13">
        <v>-43614.771590054166</v>
      </c>
      <c r="AI58" s="13">
        <v>-6368.9504321821987</v>
      </c>
      <c r="AJ58" s="13">
        <v>217242</v>
      </c>
      <c r="AK58" s="13">
        <v>62326</v>
      </c>
      <c r="AL58" s="13">
        <v>163679.80649145006</v>
      </c>
      <c r="AM58" s="13">
        <v>9322.7729863398436</v>
      </c>
      <c r="AN58" s="13">
        <v>20546.144547529064</v>
      </c>
      <c r="AO58" s="13">
        <v>83560.398227846774</v>
      </c>
      <c r="AP58" s="13">
        <v>128322.02545125858</v>
      </c>
      <c r="AQ58" s="13">
        <v>196867.21888913724</v>
      </c>
      <c r="AR58" s="13">
        <v>55474.804142205925</v>
      </c>
      <c r="AS58" s="13">
        <v>100521.38449145175</v>
      </c>
      <c r="AT58" s="34"/>
      <c r="AU58" s="13"/>
      <c r="AV58" s="34"/>
      <c r="AW58" s="34"/>
      <c r="AX58" s="34"/>
      <c r="AY58" s="13">
        <v>133906.04585872657</v>
      </c>
      <c r="AZ58" s="13">
        <v>72696.46235604478</v>
      </c>
      <c r="BA58" s="13">
        <v>70426.892613938646</v>
      </c>
      <c r="BB58" s="32">
        <v>394555.77329883224</v>
      </c>
      <c r="BC58" s="33">
        <v>187129.26760636611</v>
      </c>
      <c r="BD58" s="33">
        <v>-49408.4</v>
      </c>
      <c r="BE58" s="33">
        <v>-18934.36</v>
      </c>
      <c r="BF58" s="14"/>
      <c r="BG58" s="14">
        <v>284509.45065078163</v>
      </c>
      <c r="BH58" s="33">
        <v>967108.8365948369</v>
      </c>
      <c r="BI58" s="13">
        <v>-387180</v>
      </c>
      <c r="BJ58" s="13">
        <v>422</v>
      </c>
      <c r="BK58" s="33">
        <v>-33568.25</v>
      </c>
    </row>
    <row r="59" spans="1:63" ht="14.25" x14ac:dyDescent="0.2">
      <c r="A59" s="14">
        <v>182</v>
      </c>
      <c r="B59" s="14" t="s">
        <v>332</v>
      </c>
      <c r="C59" s="14">
        <v>19116</v>
      </c>
      <c r="D59" s="14">
        <v>576</v>
      </c>
      <c r="E59" s="14">
        <v>131</v>
      </c>
      <c r="F59" s="14">
        <v>981</v>
      </c>
      <c r="G59" s="14">
        <v>644</v>
      </c>
      <c r="H59" s="14">
        <v>16784</v>
      </c>
      <c r="I59" s="14">
        <v>9597</v>
      </c>
      <c r="K59" s="29">
        <v>1073</v>
      </c>
      <c r="L59" s="29">
        <v>8311</v>
      </c>
      <c r="M59" s="14">
        <v>1518.5</v>
      </c>
      <c r="N59" s="11">
        <v>793</v>
      </c>
      <c r="O59" s="11">
        <v>0</v>
      </c>
      <c r="P59" s="11">
        <v>25</v>
      </c>
      <c r="Q59" s="11">
        <v>0</v>
      </c>
      <c r="R59" s="11">
        <v>0</v>
      </c>
      <c r="S59" s="11">
        <v>1571.42</v>
      </c>
      <c r="T59" s="14">
        <v>693</v>
      </c>
      <c r="U59" s="14">
        <v>4872</v>
      </c>
      <c r="V59" s="330"/>
      <c r="W59" s="11">
        <v>0.24018333333333333</v>
      </c>
      <c r="X59" s="64">
        <v>6706</v>
      </c>
      <c r="Y59" s="64">
        <v>6957</v>
      </c>
      <c r="Z59" s="331">
        <v>0.98995511717879003</v>
      </c>
      <c r="AA59" s="31">
        <v>0</v>
      </c>
      <c r="AB59" s="11">
        <v>0</v>
      </c>
      <c r="AC59" s="11">
        <v>1</v>
      </c>
      <c r="AE59" s="32">
        <v>-813822.8602</v>
      </c>
      <c r="AF59" s="13">
        <v>-382029.27</v>
      </c>
      <c r="AG59" s="13">
        <v>1296076.7919070318</v>
      </c>
      <c r="AH59" s="13">
        <v>-69751.337307829803</v>
      </c>
      <c r="AI59" s="13">
        <v>42966.759971907944</v>
      </c>
      <c r="AJ59" s="13">
        <v>1709403</v>
      </c>
      <c r="AK59" s="13">
        <v>519708</v>
      </c>
      <c r="AL59" s="13">
        <v>1219725.933246363</v>
      </c>
      <c r="AM59" s="13">
        <v>52030.813605313517</v>
      </c>
      <c r="AN59" s="13">
        <v>106519.75003969</v>
      </c>
      <c r="AO59" s="13">
        <v>662484.28336800437</v>
      </c>
      <c r="AP59" s="13">
        <v>949791.64044660295</v>
      </c>
      <c r="AQ59" s="13">
        <v>1573152.60032277</v>
      </c>
      <c r="AR59" s="13">
        <v>463806.86793949269</v>
      </c>
      <c r="AS59" s="13">
        <v>847753.79835540731</v>
      </c>
      <c r="AT59" s="34"/>
      <c r="AU59" s="13"/>
      <c r="AV59" s="34"/>
      <c r="AW59" s="34"/>
      <c r="AX59" s="34"/>
      <c r="AY59" s="13">
        <v>1031286.6775387488</v>
      </c>
      <c r="AZ59" s="13">
        <v>634727.90323950676</v>
      </c>
      <c r="BA59" s="13">
        <v>618038.96043210279</v>
      </c>
      <c r="BB59" s="32">
        <v>-1698618.1868244917</v>
      </c>
      <c r="BC59" s="33">
        <v>-81774.182044476111</v>
      </c>
      <c r="BD59" s="33">
        <v>-569656.80000000005</v>
      </c>
      <c r="BE59" s="33">
        <v>-218304.72</v>
      </c>
      <c r="BF59" s="14"/>
      <c r="BG59" s="14">
        <v>1785577.2498784091</v>
      </c>
      <c r="BH59" s="33">
        <v>2791440.1769289831</v>
      </c>
      <c r="BI59" s="13">
        <v>-1366107</v>
      </c>
      <c r="BJ59" s="13">
        <v>4271</v>
      </c>
      <c r="BK59" s="33">
        <v>-62966.969999999972</v>
      </c>
    </row>
    <row r="60" spans="1:63" ht="14.25" x14ac:dyDescent="0.2">
      <c r="A60" s="14">
        <v>186</v>
      </c>
      <c r="B60" s="14" t="s">
        <v>333</v>
      </c>
      <c r="C60" s="14">
        <v>46871</v>
      </c>
      <c r="D60" s="14">
        <v>2648</v>
      </c>
      <c r="E60" s="14">
        <v>465</v>
      </c>
      <c r="F60" s="14">
        <v>3180</v>
      </c>
      <c r="G60" s="14">
        <v>1701</v>
      </c>
      <c r="H60" s="14">
        <v>38877</v>
      </c>
      <c r="I60" s="14">
        <v>28200</v>
      </c>
      <c r="K60" s="29">
        <v>2683.25</v>
      </c>
      <c r="L60" s="29">
        <v>23742</v>
      </c>
      <c r="M60" s="14">
        <v>3446.5833333333335</v>
      </c>
      <c r="N60" s="11">
        <v>4474</v>
      </c>
      <c r="O60" s="11">
        <v>0</v>
      </c>
      <c r="P60" s="11">
        <v>485</v>
      </c>
      <c r="Q60" s="11">
        <v>0</v>
      </c>
      <c r="R60" s="11">
        <v>0</v>
      </c>
      <c r="S60" s="11">
        <v>37.54</v>
      </c>
      <c r="T60" s="14">
        <v>2370</v>
      </c>
      <c r="U60" s="14">
        <v>15917</v>
      </c>
      <c r="V60" s="330"/>
      <c r="W60" s="11">
        <v>0</v>
      </c>
      <c r="X60" s="64">
        <v>14078</v>
      </c>
      <c r="Y60" s="64">
        <v>21616</v>
      </c>
      <c r="Z60" s="331">
        <v>1.174969137536569</v>
      </c>
      <c r="AA60" s="31">
        <v>1.1991825043699518</v>
      </c>
      <c r="AB60" s="11">
        <v>0</v>
      </c>
      <c r="AC60" s="11">
        <v>4</v>
      </c>
      <c r="AE60" s="32">
        <v>-4227233.2801000001</v>
      </c>
      <c r="AF60" s="13">
        <v>-853980.55</v>
      </c>
      <c r="AG60" s="13">
        <v>1230984.5746319396</v>
      </c>
      <c r="AH60" s="13">
        <v>-377969.4676339291</v>
      </c>
      <c r="AI60" s="13">
        <v>-177676.79928622721</v>
      </c>
      <c r="AJ60" s="13">
        <v>2359895</v>
      </c>
      <c r="AK60" s="13">
        <v>788024</v>
      </c>
      <c r="AL60" s="13">
        <v>1560793.0796292792</v>
      </c>
      <c r="AM60" s="13">
        <v>16432.02133447396</v>
      </c>
      <c r="AN60" s="13">
        <v>-52180.456639471027</v>
      </c>
      <c r="AO60" s="13">
        <v>532891.37651828141</v>
      </c>
      <c r="AP60" s="13">
        <v>1745645.3373874046</v>
      </c>
      <c r="AQ60" s="13">
        <v>2615186.7969610211</v>
      </c>
      <c r="AR60" s="13">
        <v>832380.76249253622</v>
      </c>
      <c r="AS60" s="13">
        <v>1405740.983470449</v>
      </c>
      <c r="AT60" s="34"/>
      <c r="AU60" s="13"/>
      <c r="AV60" s="34"/>
      <c r="AW60" s="34"/>
      <c r="AX60" s="34"/>
      <c r="AY60" s="13">
        <v>1782545.3486394365</v>
      </c>
      <c r="AZ60" s="13">
        <v>1280140.8701125057</v>
      </c>
      <c r="BA60" s="13">
        <v>1210190.4591886192</v>
      </c>
      <c r="BB60" s="32">
        <v>-5507718.4701112546</v>
      </c>
      <c r="BC60" s="33">
        <v>-656655.60086716234</v>
      </c>
      <c r="BD60" s="33">
        <v>-1396755.8</v>
      </c>
      <c r="BE60" s="33">
        <v>-535266.81999999995</v>
      </c>
      <c r="BF60" s="14"/>
      <c r="BG60" s="14">
        <v>2422304.3680265523</v>
      </c>
      <c r="BH60" s="33">
        <v>1269931.200264445</v>
      </c>
      <c r="BI60" s="13">
        <v>2290989</v>
      </c>
      <c r="BJ60" s="13">
        <v>14771</v>
      </c>
      <c r="BK60" s="33">
        <v>-3389174.1925000004</v>
      </c>
    </row>
    <row r="61" spans="1:63" ht="14.25" x14ac:dyDescent="0.2">
      <c r="A61" s="14">
        <v>202</v>
      </c>
      <c r="B61" s="14" t="s">
        <v>334</v>
      </c>
      <c r="C61" s="14">
        <v>36551</v>
      </c>
      <c r="D61" s="14">
        <v>2423</v>
      </c>
      <c r="E61" s="14">
        <v>422</v>
      </c>
      <c r="F61" s="14">
        <v>2716</v>
      </c>
      <c r="G61" s="14">
        <v>1487</v>
      </c>
      <c r="H61" s="14">
        <v>29503</v>
      </c>
      <c r="I61" s="14">
        <v>20631</v>
      </c>
      <c r="K61" s="29">
        <v>1169</v>
      </c>
      <c r="L61" s="29">
        <v>17685</v>
      </c>
      <c r="M61" s="14">
        <v>1658.9166666666667</v>
      </c>
      <c r="N61" s="11">
        <v>2433</v>
      </c>
      <c r="O61" s="11">
        <v>0</v>
      </c>
      <c r="P61" s="11">
        <v>1846</v>
      </c>
      <c r="Q61" s="11">
        <v>3</v>
      </c>
      <c r="R61" s="11">
        <v>233</v>
      </c>
      <c r="S61" s="11">
        <v>150.63999999999999</v>
      </c>
      <c r="T61" s="14">
        <v>1119</v>
      </c>
      <c r="U61" s="14">
        <v>12598</v>
      </c>
      <c r="V61" s="330"/>
      <c r="W61" s="11">
        <v>0</v>
      </c>
      <c r="X61" s="64">
        <v>10651</v>
      </c>
      <c r="Y61" s="64">
        <v>16738</v>
      </c>
      <c r="Z61" s="331">
        <v>1.0327136742977394</v>
      </c>
      <c r="AA61" s="31">
        <v>0.98062771826196526</v>
      </c>
      <c r="AB61" s="11">
        <v>0</v>
      </c>
      <c r="AC61" s="11">
        <v>0</v>
      </c>
      <c r="AE61" s="32">
        <v>-1225917.63805</v>
      </c>
      <c r="AF61" s="13">
        <v>-665953.07000000007</v>
      </c>
      <c r="AG61" s="13">
        <v>1227989.8820834362</v>
      </c>
      <c r="AH61" s="13">
        <v>-633672.09105708648</v>
      </c>
      <c r="AI61" s="13">
        <v>-109111.73691589048</v>
      </c>
      <c r="AJ61" s="13">
        <v>1895488</v>
      </c>
      <c r="AK61" s="13">
        <v>618556</v>
      </c>
      <c r="AL61" s="13">
        <v>1109986.7560428085</v>
      </c>
      <c r="AM61" s="13">
        <v>-1846.6552465841792</v>
      </c>
      <c r="AN61" s="13">
        <v>-517236.33327152382</v>
      </c>
      <c r="AO61" s="13">
        <v>530666.28017673804</v>
      </c>
      <c r="AP61" s="13">
        <v>1161563.2820562536</v>
      </c>
      <c r="AQ61" s="13">
        <v>2246161.2971964781</v>
      </c>
      <c r="AR61" s="13">
        <v>554637.83078777185</v>
      </c>
      <c r="AS61" s="13">
        <v>1065917.3026987626</v>
      </c>
      <c r="AT61" s="34"/>
      <c r="AU61" s="13"/>
      <c r="AV61" s="34"/>
      <c r="AW61" s="34"/>
      <c r="AX61" s="34"/>
      <c r="AY61" s="13">
        <v>1326344.0697368199</v>
      </c>
      <c r="AZ61" s="13">
        <v>913121.79975888925</v>
      </c>
      <c r="BA61" s="13">
        <v>871074.14598632569</v>
      </c>
      <c r="BB61" s="32">
        <v>5611023.2644015951</v>
      </c>
      <c r="BC61" s="33">
        <v>1241830.7139157765</v>
      </c>
      <c r="BD61" s="33">
        <v>-1089219.8</v>
      </c>
      <c r="BE61" s="33">
        <v>-417412.42</v>
      </c>
      <c r="BF61" s="14"/>
      <c r="BG61" s="14">
        <v>1183058.0469426916</v>
      </c>
      <c r="BH61" s="33">
        <v>-11291.613378383037</v>
      </c>
      <c r="BI61" s="13">
        <v>-3858928</v>
      </c>
      <c r="BJ61" s="13">
        <v>10969</v>
      </c>
      <c r="BK61" s="33">
        <v>-3852168.6975000002</v>
      </c>
    </row>
    <row r="62" spans="1:63" ht="14.25" x14ac:dyDescent="0.2">
      <c r="A62" s="14">
        <v>204</v>
      </c>
      <c r="B62" s="14" t="s">
        <v>335</v>
      </c>
      <c r="C62" s="14">
        <v>2589</v>
      </c>
      <c r="D62" s="14">
        <v>87</v>
      </c>
      <c r="E62" s="14">
        <v>14</v>
      </c>
      <c r="F62" s="14">
        <v>119</v>
      </c>
      <c r="G62" s="14">
        <v>63</v>
      </c>
      <c r="H62" s="14">
        <v>2306</v>
      </c>
      <c r="I62" s="14">
        <v>1249</v>
      </c>
      <c r="K62" s="29">
        <v>147.5</v>
      </c>
      <c r="L62" s="29">
        <v>1008</v>
      </c>
      <c r="M62" s="14">
        <v>175</v>
      </c>
      <c r="N62" s="11">
        <v>64</v>
      </c>
      <c r="O62" s="11">
        <v>0</v>
      </c>
      <c r="P62" s="11">
        <v>4</v>
      </c>
      <c r="Q62" s="11">
        <v>0</v>
      </c>
      <c r="R62" s="11">
        <v>0</v>
      </c>
      <c r="S62" s="11">
        <v>674.1</v>
      </c>
      <c r="T62" s="14">
        <v>114</v>
      </c>
      <c r="U62" s="14">
        <v>615</v>
      </c>
      <c r="V62" s="330"/>
      <c r="W62" s="11">
        <v>1.1962833333333334</v>
      </c>
      <c r="X62" s="64">
        <v>718</v>
      </c>
      <c r="Y62" s="64">
        <v>843</v>
      </c>
      <c r="Z62" s="331">
        <v>0.8508267608391088</v>
      </c>
      <c r="AA62" s="31">
        <v>0</v>
      </c>
      <c r="AB62" s="11">
        <v>0</v>
      </c>
      <c r="AC62" s="11">
        <v>0</v>
      </c>
      <c r="AE62" s="32">
        <v>-131911.04999999999</v>
      </c>
      <c r="AF62" s="13">
        <v>-53922.47</v>
      </c>
      <c r="AG62" s="13">
        <v>80854.91897010681</v>
      </c>
      <c r="AH62" s="13">
        <v>-1717.0046485464356</v>
      </c>
      <c r="AI62" s="13">
        <v>-1165.5617920489603</v>
      </c>
      <c r="AJ62" s="13">
        <v>355721</v>
      </c>
      <c r="AK62" s="13">
        <v>98791</v>
      </c>
      <c r="AL62" s="13">
        <v>249680.16830031399</v>
      </c>
      <c r="AM62" s="13">
        <v>13431.18733569948</v>
      </c>
      <c r="AN62" s="13">
        <v>37694.398625109789</v>
      </c>
      <c r="AO62" s="13">
        <v>138561.89410991914</v>
      </c>
      <c r="AP62" s="13">
        <v>169510.29152716341</v>
      </c>
      <c r="AQ62" s="13">
        <v>257725.92299652047</v>
      </c>
      <c r="AR62" s="13">
        <v>73820.344471284756</v>
      </c>
      <c r="AS62" s="13">
        <v>151372.51474612678</v>
      </c>
      <c r="AT62" s="34"/>
      <c r="AU62" s="13"/>
      <c r="AV62" s="34"/>
      <c r="AW62" s="34"/>
      <c r="AX62" s="34"/>
      <c r="AY62" s="13">
        <v>210947.05753419004</v>
      </c>
      <c r="AZ62" s="13">
        <v>107571.5697510874</v>
      </c>
      <c r="BA62" s="13">
        <v>99416.727377678602</v>
      </c>
      <c r="BB62" s="32">
        <v>-781894.76511632674</v>
      </c>
      <c r="BC62" s="33">
        <v>-835183.20241933805</v>
      </c>
      <c r="BD62" s="33">
        <v>-77152.2</v>
      </c>
      <c r="BE62" s="33">
        <v>-29566.38</v>
      </c>
      <c r="BF62" s="14"/>
      <c r="BG62" s="14">
        <v>401967.86118979281</v>
      </c>
      <c r="BH62" s="33">
        <v>1321993.3866288268</v>
      </c>
      <c r="BI62" s="13">
        <v>-642976</v>
      </c>
      <c r="BJ62" s="13">
        <v>474</v>
      </c>
      <c r="BK62" s="33">
        <v>-879311.47499999998</v>
      </c>
    </row>
    <row r="63" spans="1:63" ht="14.25" x14ac:dyDescent="0.2">
      <c r="A63" s="14">
        <v>205</v>
      </c>
      <c r="B63" s="14" t="s">
        <v>336</v>
      </c>
      <c r="C63" s="14">
        <v>36433</v>
      </c>
      <c r="D63" s="14">
        <v>1656</v>
      </c>
      <c r="E63" s="14">
        <v>317</v>
      </c>
      <c r="F63" s="14">
        <v>2387</v>
      </c>
      <c r="G63" s="14">
        <v>1295</v>
      </c>
      <c r="H63" s="14">
        <v>30778</v>
      </c>
      <c r="I63" s="14">
        <v>20693</v>
      </c>
      <c r="K63" s="29">
        <v>1667.5</v>
      </c>
      <c r="L63" s="29">
        <v>16534</v>
      </c>
      <c r="M63" s="14">
        <v>2687.1666666666665</v>
      </c>
      <c r="N63" s="11">
        <v>2835</v>
      </c>
      <c r="O63" s="11">
        <v>0</v>
      </c>
      <c r="P63" s="11">
        <v>39</v>
      </c>
      <c r="Q63" s="11">
        <v>0</v>
      </c>
      <c r="R63" s="11">
        <v>0</v>
      </c>
      <c r="S63" s="11">
        <v>1835.09</v>
      </c>
      <c r="T63" s="14">
        <v>1499</v>
      </c>
      <c r="U63" s="14">
        <v>10873</v>
      </c>
      <c r="V63" s="330"/>
      <c r="W63" s="11">
        <v>0.18211666666666668</v>
      </c>
      <c r="X63" s="64">
        <v>15599</v>
      </c>
      <c r="Y63" s="64">
        <v>14949</v>
      </c>
      <c r="Z63" s="331">
        <v>0.85938178572760726</v>
      </c>
      <c r="AA63" s="31">
        <v>0</v>
      </c>
      <c r="AB63" s="11">
        <v>0</v>
      </c>
      <c r="AC63" s="11">
        <v>3</v>
      </c>
      <c r="AE63" s="32">
        <v>-2012031.2823999999</v>
      </c>
      <c r="AF63" s="13">
        <v>-702452.07000000007</v>
      </c>
      <c r="AG63" s="13">
        <v>1831739.1055438765</v>
      </c>
      <c r="AH63" s="13">
        <v>-386894.23929026799</v>
      </c>
      <c r="AI63" s="13">
        <v>408289.19870966428</v>
      </c>
      <c r="AJ63" s="13">
        <v>2592766</v>
      </c>
      <c r="AK63" s="13">
        <v>851137</v>
      </c>
      <c r="AL63" s="13">
        <v>1854193.7933830146</v>
      </c>
      <c r="AM63" s="13">
        <v>75734.944627949691</v>
      </c>
      <c r="AN63" s="13">
        <v>347880.491883763</v>
      </c>
      <c r="AO63" s="13">
        <v>1027227.4196650238</v>
      </c>
      <c r="AP63" s="13">
        <v>1791204.8751561167</v>
      </c>
      <c r="AQ63" s="13">
        <v>2813546.3021177156</v>
      </c>
      <c r="AR63" s="13">
        <v>835976.783384323</v>
      </c>
      <c r="AS63" s="13">
        <v>1533689.2892897481</v>
      </c>
      <c r="AT63" s="34"/>
      <c r="AU63" s="13"/>
      <c r="AV63" s="34"/>
      <c r="AW63" s="34"/>
      <c r="AX63" s="34"/>
      <c r="AY63" s="13">
        <v>1872950.2847681872</v>
      </c>
      <c r="AZ63" s="13">
        <v>1188753.3701668836</v>
      </c>
      <c r="BA63" s="13">
        <v>1181703.7255586723</v>
      </c>
      <c r="BB63" s="32">
        <v>-5505661.1376929609</v>
      </c>
      <c r="BC63" s="33">
        <v>-2088634.1310368064</v>
      </c>
      <c r="BD63" s="33">
        <v>-1085703.4000000001</v>
      </c>
      <c r="BE63" s="33">
        <v>-416064.86</v>
      </c>
      <c r="BF63" s="14"/>
      <c r="BG63" s="14">
        <v>3083561.2277919883</v>
      </c>
      <c r="BH63" s="33">
        <v>10939699.559789339</v>
      </c>
      <c r="BI63" s="13">
        <v>30871096</v>
      </c>
      <c r="BJ63" s="13">
        <v>11355</v>
      </c>
      <c r="BK63" s="33">
        <v>89044.200000000012</v>
      </c>
    </row>
    <row r="64" spans="1:63" ht="14.25" x14ac:dyDescent="0.2">
      <c r="A64" s="14">
        <v>208</v>
      </c>
      <c r="B64" s="14" t="s">
        <v>337</v>
      </c>
      <c r="C64" s="14">
        <v>12271</v>
      </c>
      <c r="D64" s="14">
        <v>664</v>
      </c>
      <c r="E64" s="14">
        <v>120</v>
      </c>
      <c r="F64" s="14">
        <v>933</v>
      </c>
      <c r="G64" s="14">
        <v>503</v>
      </c>
      <c r="H64" s="14">
        <v>10051</v>
      </c>
      <c r="I64" s="14">
        <v>6232</v>
      </c>
      <c r="K64" s="29">
        <v>438</v>
      </c>
      <c r="L64" s="29">
        <v>5351</v>
      </c>
      <c r="M64" s="14">
        <v>576.58333333333337</v>
      </c>
      <c r="N64" s="11">
        <v>494</v>
      </c>
      <c r="O64" s="11">
        <v>0</v>
      </c>
      <c r="P64" s="11">
        <v>52</v>
      </c>
      <c r="Q64" s="11">
        <v>0</v>
      </c>
      <c r="R64" s="11">
        <v>0</v>
      </c>
      <c r="S64" s="11">
        <v>924.06</v>
      </c>
      <c r="T64" s="14">
        <v>417</v>
      </c>
      <c r="U64" s="14">
        <v>3387</v>
      </c>
      <c r="V64" s="330"/>
      <c r="W64" s="11">
        <v>0.45220000000000005</v>
      </c>
      <c r="X64" s="64">
        <v>4303</v>
      </c>
      <c r="Y64" s="64">
        <v>4775</v>
      </c>
      <c r="Z64" s="331">
        <v>1.0134646058932923</v>
      </c>
      <c r="AA64" s="31">
        <v>0</v>
      </c>
      <c r="AB64" s="11">
        <v>0</v>
      </c>
      <c r="AC64" s="11">
        <v>3</v>
      </c>
      <c r="AE64" s="32">
        <v>-315109.51405</v>
      </c>
      <c r="AF64" s="13">
        <v>-238204</v>
      </c>
      <c r="AG64" s="13">
        <v>420396.04003848805</v>
      </c>
      <c r="AH64" s="13">
        <v>-276542.07997925259</v>
      </c>
      <c r="AI64" s="13">
        <v>-55150.758286548051</v>
      </c>
      <c r="AJ64" s="13">
        <v>1129537</v>
      </c>
      <c r="AK64" s="13">
        <v>361572</v>
      </c>
      <c r="AL64" s="13">
        <v>874686.77811864042</v>
      </c>
      <c r="AM64" s="13">
        <v>40153.217458564672</v>
      </c>
      <c r="AN64" s="13">
        <v>-24432.856551359495</v>
      </c>
      <c r="AO64" s="13">
        <v>371268.24533248646</v>
      </c>
      <c r="AP64" s="13">
        <v>697889.44049193198</v>
      </c>
      <c r="AQ64" s="13">
        <v>1075183.5111417584</v>
      </c>
      <c r="AR64" s="13">
        <v>341540.5014360135</v>
      </c>
      <c r="AS64" s="13">
        <v>582309.9376593543</v>
      </c>
      <c r="AT64" s="34"/>
      <c r="AU64" s="13"/>
      <c r="AV64" s="34"/>
      <c r="AW64" s="34"/>
      <c r="AX64" s="34"/>
      <c r="AY64" s="13">
        <v>841522.22568522813</v>
      </c>
      <c r="AZ64" s="13">
        <v>451158.05144734302</v>
      </c>
      <c r="BA64" s="13">
        <v>467630.62856472319</v>
      </c>
      <c r="BB64" s="32">
        <v>1090660.0327865274</v>
      </c>
      <c r="BC64" s="33">
        <v>-52136.482944054005</v>
      </c>
      <c r="BD64" s="33">
        <v>-365675.8</v>
      </c>
      <c r="BE64" s="33">
        <v>-140134.82</v>
      </c>
      <c r="BF64" s="14"/>
      <c r="BG64" s="14">
        <v>1628572.3237062681</v>
      </c>
      <c r="BH64" s="33">
        <v>5010912.703280394</v>
      </c>
      <c r="BI64" s="13">
        <v>-212410</v>
      </c>
      <c r="BJ64" s="13">
        <v>3664</v>
      </c>
      <c r="BK64" s="33">
        <v>42402</v>
      </c>
    </row>
    <row r="65" spans="1:63" ht="14.25" x14ac:dyDescent="0.2">
      <c r="A65" s="14">
        <v>211</v>
      </c>
      <c r="B65" s="14" t="s">
        <v>338</v>
      </c>
      <c r="C65" s="14">
        <v>33951</v>
      </c>
      <c r="D65" s="14">
        <v>2075</v>
      </c>
      <c r="E65" s="14">
        <v>351</v>
      </c>
      <c r="F65" s="14">
        <v>2602</v>
      </c>
      <c r="G65" s="14">
        <v>1345</v>
      </c>
      <c r="H65" s="14">
        <v>27578</v>
      </c>
      <c r="I65" s="14">
        <v>19379</v>
      </c>
      <c r="K65" s="29">
        <v>1359.9166666666667</v>
      </c>
      <c r="L65" s="29">
        <v>16183</v>
      </c>
      <c r="M65" s="14">
        <v>1752.1666666666667</v>
      </c>
      <c r="N65" s="11">
        <v>1222</v>
      </c>
      <c r="O65" s="11">
        <v>0</v>
      </c>
      <c r="P65" s="11">
        <v>88</v>
      </c>
      <c r="Q65" s="11">
        <v>0</v>
      </c>
      <c r="R65" s="11">
        <v>0</v>
      </c>
      <c r="S65" s="11">
        <v>658.03</v>
      </c>
      <c r="T65" s="14">
        <v>875</v>
      </c>
      <c r="U65" s="14">
        <v>11377</v>
      </c>
      <c r="V65" s="330"/>
      <c r="W65" s="11">
        <v>0</v>
      </c>
      <c r="X65" s="64">
        <v>8812</v>
      </c>
      <c r="Y65" s="64">
        <v>15210</v>
      </c>
      <c r="Z65" s="331">
        <v>1.0132068563804539</v>
      </c>
      <c r="AA65" s="31">
        <v>1.3401917097943878</v>
      </c>
      <c r="AB65" s="11">
        <v>0</v>
      </c>
      <c r="AC65" s="11">
        <v>2</v>
      </c>
      <c r="AE65" s="32">
        <v>-1288561.9975000001</v>
      </c>
      <c r="AF65" s="13">
        <v>-618830.94000000006</v>
      </c>
      <c r="AG65" s="13">
        <v>703191.42589983507</v>
      </c>
      <c r="AH65" s="13">
        <v>-489895.26503279322</v>
      </c>
      <c r="AI65" s="13">
        <v>-147211.07220202545</v>
      </c>
      <c r="AJ65" s="13">
        <v>2052330</v>
      </c>
      <c r="AK65" s="13">
        <v>652472</v>
      </c>
      <c r="AL65" s="13">
        <v>1279438.3668590477</v>
      </c>
      <c r="AM65" s="13">
        <v>18609.676418183368</v>
      </c>
      <c r="AN65" s="13">
        <v>58558.191724880795</v>
      </c>
      <c r="AO65" s="13">
        <v>669339.41618865496</v>
      </c>
      <c r="AP65" s="13">
        <v>1323883.3820436788</v>
      </c>
      <c r="AQ65" s="13">
        <v>2274364.3120675283</v>
      </c>
      <c r="AR65" s="13">
        <v>569612.14842287172</v>
      </c>
      <c r="AS65" s="13">
        <v>1105365.9695999913</v>
      </c>
      <c r="AT65" s="34"/>
      <c r="AU65" s="13"/>
      <c r="AV65" s="34"/>
      <c r="AW65" s="34"/>
      <c r="AX65" s="34"/>
      <c r="AY65" s="13">
        <v>1397718.227602798</v>
      </c>
      <c r="AZ65" s="13">
        <v>931552.91710916208</v>
      </c>
      <c r="BA65" s="13">
        <v>877389.1685409582</v>
      </c>
      <c r="BB65" s="32">
        <v>227491.82921693509</v>
      </c>
      <c r="BC65" s="33">
        <v>-139308.17522116547</v>
      </c>
      <c r="BD65" s="33">
        <v>-1011739.8</v>
      </c>
      <c r="BE65" s="33">
        <v>-387720.42</v>
      </c>
      <c r="BF65" s="14"/>
      <c r="BG65" s="14">
        <v>1298559.5165919901</v>
      </c>
      <c r="BH65" s="33">
        <v>5087533.2159088003</v>
      </c>
      <c r="BI65" s="13">
        <v>-4087185</v>
      </c>
      <c r="BJ65" s="13">
        <v>10678</v>
      </c>
      <c r="BK65" s="33">
        <v>-1178775.6000000001</v>
      </c>
    </row>
    <row r="66" spans="1:63" ht="14.25" x14ac:dyDescent="0.2">
      <c r="A66" s="14">
        <v>213</v>
      </c>
      <c r="B66" s="14" t="s">
        <v>339</v>
      </c>
      <c r="C66" s="14">
        <v>5062</v>
      </c>
      <c r="D66" s="14">
        <v>157</v>
      </c>
      <c r="E66" s="14">
        <v>34</v>
      </c>
      <c r="F66" s="14">
        <v>249</v>
      </c>
      <c r="G66" s="14">
        <v>149</v>
      </c>
      <c r="H66" s="14">
        <v>4473</v>
      </c>
      <c r="I66" s="14">
        <v>2386</v>
      </c>
      <c r="K66" s="29">
        <v>204.25</v>
      </c>
      <c r="L66" s="29">
        <v>2014</v>
      </c>
      <c r="M66" s="14">
        <v>324.66666666666669</v>
      </c>
      <c r="N66" s="11">
        <v>181</v>
      </c>
      <c r="O66" s="11">
        <v>0</v>
      </c>
      <c r="P66" s="11">
        <v>10</v>
      </c>
      <c r="Q66" s="11">
        <v>0</v>
      </c>
      <c r="R66" s="11">
        <v>0</v>
      </c>
      <c r="S66" s="11">
        <v>1068.92</v>
      </c>
      <c r="T66" s="14">
        <v>174</v>
      </c>
      <c r="U66" s="14">
        <v>1162</v>
      </c>
      <c r="V66" s="330"/>
      <c r="W66" s="11">
        <v>1.0241166666666668</v>
      </c>
      <c r="X66" s="64">
        <v>1555</v>
      </c>
      <c r="Y66" s="64">
        <v>1803</v>
      </c>
      <c r="Z66" s="331">
        <v>0.9080702321141767</v>
      </c>
      <c r="AA66" s="31">
        <v>0</v>
      </c>
      <c r="AB66" s="11">
        <v>0</v>
      </c>
      <c r="AC66" s="11">
        <v>0</v>
      </c>
      <c r="AE66" s="32">
        <v>-196991.72150000001</v>
      </c>
      <c r="AF66" s="13">
        <v>-102043.52</v>
      </c>
      <c r="AG66" s="13">
        <v>294952.8221835086</v>
      </c>
      <c r="AH66" s="13">
        <v>-40185.790819323323</v>
      </c>
      <c r="AI66" s="13">
        <v>60964.433511635143</v>
      </c>
      <c r="AJ66" s="13">
        <v>651314</v>
      </c>
      <c r="AK66" s="13">
        <v>187331</v>
      </c>
      <c r="AL66" s="13">
        <v>420197.39121155959</v>
      </c>
      <c r="AM66" s="13">
        <v>23328.671378826199</v>
      </c>
      <c r="AN66" s="13">
        <v>53778.542156053358</v>
      </c>
      <c r="AO66" s="13">
        <v>224519.73819760809</v>
      </c>
      <c r="AP66" s="13">
        <v>316250.04276992328</v>
      </c>
      <c r="AQ66" s="13">
        <v>487700.42877747031</v>
      </c>
      <c r="AR66" s="13">
        <v>147284.10950619541</v>
      </c>
      <c r="AS66" s="13">
        <v>262226.24189561693</v>
      </c>
      <c r="AT66" s="34"/>
      <c r="AU66" s="13"/>
      <c r="AV66" s="34"/>
      <c r="AW66" s="34"/>
      <c r="AX66" s="34"/>
      <c r="AY66" s="13">
        <v>371316.05710509483</v>
      </c>
      <c r="AZ66" s="13">
        <v>201801.63601443227</v>
      </c>
      <c r="BA66" s="13">
        <v>181018.31053635565</v>
      </c>
      <c r="BB66" s="32">
        <v>-469288.93150539533</v>
      </c>
      <c r="BC66" s="33">
        <v>-21784.469646830508</v>
      </c>
      <c r="BD66" s="33">
        <v>-150847.6</v>
      </c>
      <c r="BE66" s="33">
        <v>-57808.04</v>
      </c>
      <c r="BF66" s="14"/>
      <c r="BG66" s="14">
        <v>766124.12383041065</v>
      </c>
      <c r="BH66" s="33">
        <v>1374054.875668067</v>
      </c>
      <c r="BI66" s="13">
        <v>-238234</v>
      </c>
      <c r="BJ66" s="13">
        <v>982</v>
      </c>
      <c r="BK66" s="33">
        <v>-70139.975000000006</v>
      </c>
    </row>
    <row r="67" spans="1:63" ht="14.25" x14ac:dyDescent="0.2">
      <c r="A67" s="14">
        <v>214</v>
      </c>
      <c r="B67" s="14" t="s">
        <v>340</v>
      </c>
      <c r="C67" s="14">
        <v>12478</v>
      </c>
      <c r="D67" s="14">
        <v>529</v>
      </c>
      <c r="E67" s="14">
        <v>97</v>
      </c>
      <c r="F67" s="14">
        <v>789</v>
      </c>
      <c r="G67" s="14">
        <v>397</v>
      </c>
      <c r="H67" s="14">
        <v>10666</v>
      </c>
      <c r="I67" s="14">
        <v>6492</v>
      </c>
      <c r="K67" s="29">
        <v>580</v>
      </c>
      <c r="L67" s="29">
        <v>5372</v>
      </c>
      <c r="M67" s="14">
        <v>857.75</v>
      </c>
      <c r="N67" s="11">
        <v>871</v>
      </c>
      <c r="O67" s="11">
        <v>0</v>
      </c>
      <c r="P67" s="11">
        <v>12</v>
      </c>
      <c r="Q67" s="11">
        <v>0</v>
      </c>
      <c r="R67" s="11">
        <v>0</v>
      </c>
      <c r="S67" s="11">
        <v>1021.24</v>
      </c>
      <c r="T67" s="14">
        <v>624</v>
      </c>
      <c r="U67" s="14">
        <v>3351</v>
      </c>
      <c r="V67" s="330"/>
      <c r="W67" s="11">
        <v>0.30081666666666668</v>
      </c>
      <c r="X67" s="64">
        <v>5300</v>
      </c>
      <c r="Y67" s="64">
        <v>4790</v>
      </c>
      <c r="Z67" s="331">
        <v>0.94169681292338747</v>
      </c>
      <c r="AA67" s="31">
        <v>0</v>
      </c>
      <c r="AB67" s="11">
        <v>0</v>
      </c>
      <c r="AC67" s="11">
        <v>0</v>
      </c>
      <c r="AE67" s="32">
        <v>-396169.17265000002</v>
      </c>
      <c r="AF67" s="13">
        <v>-245081.18000000002</v>
      </c>
      <c r="AG67" s="13">
        <v>899235.07130062208</v>
      </c>
      <c r="AH67" s="13">
        <v>-191822.66979740671</v>
      </c>
      <c r="AI67" s="13">
        <v>4106.6353988633491</v>
      </c>
      <c r="AJ67" s="13">
        <v>1258360</v>
      </c>
      <c r="AK67" s="13">
        <v>421034</v>
      </c>
      <c r="AL67" s="13">
        <v>1066554.4085110556</v>
      </c>
      <c r="AM67" s="13">
        <v>54399.034779693975</v>
      </c>
      <c r="AN67" s="13">
        <v>121871.93094268852</v>
      </c>
      <c r="AO67" s="13">
        <v>479461.13960020477</v>
      </c>
      <c r="AP67" s="13">
        <v>774197.03540308145</v>
      </c>
      <c r="AQ67" s="13">
        <v>1162685.492595321</v>
      </c>
      <c r="AR67" s="13">
        <v>365207.37812721427</v>
      </c>
      <c r="AS67" s="13">
        <v>646525.63333498</v>
      </c>
      <c r="AT67" s="34"/>
      <c r="AU67" s="13"/>
      <c r="AV67" s="34"/>
      <c r="AW67" s="34"/>
      <c r="AX67" s="34"/>
      <c r="AY67" s="13">
        <v>872733.21328999323</v>
      </c>
      <c r="AZ67" s="13">
        <v>491633.55474048841</v>
      </c>
      <c r="BA67" s="13">
        <v>476130.79631216405</v>
      </c>
      <c r="BB67" s="32">
        <v>-359613.47144234675</v>
      </c>
      <c r="BC67" s="33">
        <v>-52952.238210223637</v>
      </c>
      <c r="BD67" s="33">
        <v>-371844.4</v>
      </c>
      <c r="BE67" s="33">
        <v>-142498.76</v>
      </c>
      <c r="BF67" s="14"/>
      <c r="BG67" s="14">
        <v>1759873.1055814759</v>
      </c>
      <c r="BH67" s="33">
        <v>4934747.5209039776</v>
      </c>
      <c r="BI67" s="13">
        <v>936794</v>
      </c>
      <c r="BJ67" s="13">
        <v>3223</v>
      </c>
      <c r="BK67" s="33">
        <v>372960.92499999993</v>
      </c>
    </row>
    <row r="68" spans="1:63" ht="14.25" x14ac:dyDescent="0.2">
      <c r="A68" s="14">
        <v>216</v>
      </c>
      <c r="B68" s="14" t="s">
        <v>341</v>
      </c>
      <c r="C68" s="14">
        <v>1186</v>
      </c>
      <c r="D68" s="14">
        <v>47</v>
      </c>
      <c r="E68" s="14">
        <v>5</v>
      </c>
      <c r="F68" s="14">
        <v>52</v>
      </c>
      <c r="G68" s="14">
        <v>39</v>
      </c>
      <c r="H68" s="14">
        <v>1043</v>
      </c>
      <c r="I68" s="14">
        <v>559</v>
      </c>
      <c r="K68" s="29">
        <v>55.75</v>
      </c>
      <c r="L68" s="29">
        <v>490</v>
      </c>
      <c r="M68" s="14">
        <v>75.25</v>
      </c>
      <c r="N68" s="11">
        <v>20</v>
      </c>
      <c r="O68" s="11">
        <v>0</v>
      </c>
      <c r="P68" s="11">
        <v>1</v>
      </c>
      <c r="Q68" s="11">
        <v>0</v>
      </c>
      <c r="R68" s="11">
        <v>0</v>
      </c>
      <c r="S68" s="11">
        <v>445</v>
      </c>
      <c r="T68" s="14">
        <v>38</v>
      </c>
      <c r="U68" s="14">
        <v>253</v>
      </c>
      <c r="V68" s="330"/>
      <c r="W68" s="11">
        <v>1.5251000000000001</v>
      </c>
      <c r="X68" s="64">
        <v>348</v>
      </c>
      <c r="Y68" s="64">
        <v>403</v>
      </c>
      <c r="Z68" s="331">
        <v>0.9418239699090375</v>
      </c>
      <c r="AA68" s="31">
        <v>0</v>
      </c>
      <c r="AB68" s="11">
        <v>0</v>
      </c>
      <c r="AC68" s="11">
        <v>0</v>
      </c>
      <c r="AE68" s="32">
        <v>-24994.41</v>
      </c>
      <c r="AF68" s="13">
        <v>-25414.83</v>
      </c>
      <c r="AG68" s="13">
        <v>72270.500594464087</v>
      </c>
      <c r="AH68" s="13">
        <v>-26285.139377240288</v>
      </c>
      <c r="AI68" s="13">
        <v>5259.5466786238503</v>
      </c>
      <c r="AJ68" s="13">
        <v>158615</v>
      </c>
      <c r="AK68" s="13">
        <v>47512</v>
      </c>
      <c r="AL68" s="13">
        <v>119051.56090819609</v>
      </c>
      <c r="AM68" s="13">
        <v>7616.3543238918255</v>
      </c>
      <c r="AN68" s="13">
        <v>21503.490366428287</v>
      </c>
      <c r="AO68" s="13">
        <v>69878.340021947151</v>
      </c>
      <c r="AP68" s="13">
        <v>85699.80887111144</v>
      </c>
      <c r="AQ68" s="13">
        <v>125186.9110305073</v>
      </c>
      <c r="AR68" s="13">
        <v>40962.804342577336</v>
      </c>
      <c r="AS68" s="13">
        <v>73882.999396501851</v>
      </c>
      <c r="AT68" s="34"/>
      <c r="AU68" s="13"/>
      <c r="AV68" s="34"/>
      <c r="AW68" s="34"/>
      <c r="AX68" s="34"/>
      <c r="AY68" s="13">
        <v>102594.63270089612</v>
      </c>
      <c r="AZ68" s="13">
        <v>53522.176944315106</v>
      </c>
      <c r="BA68" s="13">
        <v>49844.162064037351</v>
      </c>
      <c r="BB68" s="32">
        <v>82910.212932417213</v>
      </c>
      <c r="BC68" s="33">
        <v>-5363.6965428459289</v>
      </c>
      <c r="BD68" s="33">
        <v>-35342.800000000003</v>
      </c>
      <c r="BE68" s="33">
        <v>-13544.12</v>
      </c>
      <c r="BF68" s="14"/>
      <c r="BG68" s="14">
        <v>225933.74579909912</v>
      </c>
      <c r="BH68" s="33">
        <v>481419.58159212058</v>
      </c>
      <c r="BI68" s="13">
        <v>-242943</v>
      </c>
      <c r="BJ68" s="13">
        <v>248</v>
      </c>
      <c r="BK68" s="33">
        <v>19434.25</v>
      </c>
    </row>
    <row r="69" spans="1:63" ht="14.25" x14ac:dyDescent="0.2">
      <c r="A69" s="14">
        <v>217</v>
      </c>
      <c r="B69" s="14" t="s">
        <v>342</v>
      </c>
      <c r="C69" s="14">
        <v>5264</v>
      </c>
      <c r="D69" s="14">
        <v>275</v>
      </c>
      <c r="E69" s="14">
        <v>67</v>
      </c>
      <c r="F69" s="14">
        <v>426</v>
      </c>
      <c r="G69" s="14">
        <v>221</v>
      </c>
      <c r="H69" s="14">
        <v>4275</v>
      </c>
      <c r="I69" s="14">
        <v>2727</v>
      </c>
      <c r="K69" s="29">
        <v>196.66666666666666</v>
      </c>
      <c r="L69" s="29">
        <v>2396</v>
      </c>
      <c r="M69" s="14">
        <v>282.5</v>
      </c>
      <c r="N69" s="11">
        <v>164</v>
      </c>
      <c r="O69" s="11">
        <v>0</v>
      </c>
      <c r="P69" s="11">
        <v>21</v>
      </c>
      <c r="Q69" s="11">
        <v>0</v>
      </c>
      <c r="R69" s="11">
        <v>0</v>
      </c>
      <c r="S69" s="11">
        <v>468.02</v>
      </c>
      <c r="T69" s="14">
        <v>191</v>
      </c>
      <c r="U69" s="14">
        <v>1438</v>
      </c>
      <c r="V69" s="330"/>
      <c r="W69" s="11">
        <v>0.19186666666666666</v>
      </c>
      <c r="X69" s="64">
        <v>1998</v>
      </c>
      <c r="Y69" s="64">
        <v>2097</v>
      </c>
      <c r="Z69" s="331">
        <v>0.93549078448481837</v>
      </c>
      <c r="AA69" s="31">
        <v>0</v>
      </c>
      <c r="AB69" s="11">
        <v>0</v>
      </c>
      <c r="AC69" s="11">
        <v>0</v>
      </c>
      <c r="AE69" s="32">
        <v>-121541.85</v>
      </c>
      <c r="AF69" s="13">
        <v>-104233.46</v>
      </c>
      <c r="AG69" s="13">
        <v>156458.54626414285</v>
      </c>
      <c r="AH69" s="13">
        <v>-95429.987549328347</v>
      </c>
      <c r="AI69" s="13">
        <v>-1520.7166270200396</v>
      </c>
      <c r="AJ69" s="13">
        <v>472563</v>
      </c>
      <c r="AK69" s="13">
        <v>155789</v>
      </c>
      <c r="AL69" s="13">
        <v>373453.80252586701</v>
      </c>
      <c r="AM69" s="13">
        <v>18040.573836712447</v>
      </c>
      <c r="AN69" s="13">
        <v>72786.557660049046</v>
      </c>
      <c r="AO69" s="13">
        <v>176020.83461088591</v>
      </c>
      <c r="AP69" s="13">
        <v>301129.87290488865</v>
      </c>
      <c r="AQ69" s="13">
        <v>492919.3720727344</v>
      </c>
      <c r="AR69" s="13">
        <v>137422.61225023714</v>
      </c>
      <c r="AS69" s="13">
        <v>254096.82971160897</v>
      </c>
      <c r="AT69" s="34"/>
      <c r="AU69" s="13"/>
      <c r="AV69" s="34"/>
      <c r="AW69" s="34"/>
      <c r="AX69" s="34"/>
      <c r="AY69" s="13">
        <v>352688.1636357854</v>
      </c>
      <c r="AZ69" s="13">
        <v>205683.64919256553</v>
      </c>
      <c r="BA69" s="13">
        <v>197948.88346104958</v>
      </c>
      <c r="BB69" s="32">
        <v>-723950.50658415561</v>
      </c>
      <c r="BC69" s="33">
        <v>-687615.84036411648</v>
      </c>
      <c r="BD69" s="33">
        <v>-156867.20000000001</v>
      </c>
      <c r="BE69" s="33">
        <v>-60114.879999999997</v>
      </c>
      <c r="BF69" s="14"/>
      <c r="BG69" s="14">
        <v>587646.53749989229</v>
      </c>
      <c r="BH69" s="33">
        <v>2634883.1705593928</v>
      </c>
      <c r="BI69" s="13">
        <v>195283</v>
      </c>
      <c r="BJ69" s="13">
        <v>1658</v>
      </c>
      <c r="BK69" s="33">
        <v>-44433.762499999997</v>
      </c>
    </row>
    <row r="70" spans="1:63" ht="14.25" x14ac:dyDescent="0.2">
      <c r="A70" s="14">
        <v>218</v>
      </c>
      <c r="B70" s="14" t="s">
        <v>343</v>
      </c>
      <c r="C70" s="14">
        <v>1159</v>
      </c>
      <c r="D70" s="14">
        <v>32</v>
      </c>
      <c r="E70" s="14">
        <v>6</v>
      </c>
      <c r="F70" s="14">
        <v>70</v>
      </c>
      <c r="G70" s="14">
        <v>24</v>
      </c>
      <c r="H70" s="14">
        <v>1027</v>
      </c>
      <c r="I70" s="14">
        <v>561</v>
      </c>
      <c r="K70" s="29">
        <v>38.166666666666664</v>
      </c>
      <c r="L70" s="29">
        <v>499</v>
      </c>
      <c r="M70" s="14">
        <v>50.083333333333329</v>
      </c>
      <c r="N70" s="11">
        <v>30</v>
      </c>
      <c r="O70" s="11">
        <v>0</v>
      </c>
      <c r="P70" s="11">
        <v>22</v>
      </c>
      <c r="Q70" s="11">
        <v>0</v>
      </c>
      <c r="R70" s="11">
        <v>0</v>
      </c>
      <c r="S70" s="11">
        <v>185.58</v>
      </c>
      <c r="T70" s="14">
        <v>50</v>
      </c>
      <c r="U70" s="14">
        <v>277</v>
      </c>
      <c r="V70" s="330"/>
      <c r="W70" s="11">
        <v>0.60636666666666672</v>
      </c>
      <c r="X70" s="64">
        <v>329</v>
      </c>
      <c r="Y70" s="64">
        <v>452</v>
      </c>
      <c r="Z70" s="331">
        <v>0.89780313537049483</v>
      </c>
      <c r="AA70" s="31">
        <v>0</v>
      </c>
      <c r="AB70" s="11">
        <v>0</v>
      </c>
      <c r="AC70" s="11">
        <v>0</v>
      </c>
      <c r="AE70" s="32">
        <v>-18885.605</v>
      </c>
      <c r="AF70" s="13">
        <v>-23186.47</v>
      </c>
      <c r="AG70" s="13">
        <v>43032.407021864608</v>
      </c>
      <c r="AH70" s="13">
        <v>-23458.900644189354</v>
      </c>
      <c r="AI70" s="13">
        <v>-3318.1307528696307</v>
      </c>
      <c r="AJ70" s="13">
        <v>162602</v>
      </c>
      <c r="AK70" s="13">
        <v>51113</v>
      </c>
      <c r="AL70" s="13">
        <v>118966.60017293353</v>
      </c>
      <c r="AM70" s="13">
        <v>8090.2336913199497</v>
      </c>
      <c r="AN70" s="13">
        <v>21888.878572067195</v>
      </c>
      <c r="AO70" s="13">
        <v>65271.605706748553</v>
      </c>
      <c r="AP70" s="13">
        <v>96252.527131040391</v>
      </c>
      <c r="AQ70" s="13">
        <v>159066.55231614559</v>
      </c>
      <c r="AR70" s="13">
        <v>50378.740840166589</v>
      </c>
      <c r="AS70" s="13">
        <v>77954.387211566165</v>
      </c>
      <c r="AT70" s="34"/>
      <c r="AU70" s="13"/>
      <c r="AV70" s="34"/>
      <c r="AW70" s="34"/>
      <c r="AX70" s="34"/>
      <c r="AY70" s="13">
        <v>108771.4209370696</v>
      </c>
      <c r="AZ70" s="13">
        <v>57114.206207231044</v>
      </c>
      <c r="BA70" s="13">
        <v>58568.078126388209</v>
      </c>
      <c r="BB70" s="32">
        <v>331647.56100849988</v>
      </c>
      <c r="BC70" s="33">
        <v>116003.96224210602</v>
      </c>
      <c r="BD70" s="33">
        <v>-34538.200000000004</v>
      </c>
      <c r="BE70" s="33">
        <v>-13235.78</v>
      </c>
      <c r="BF70" s="14"/>
      <c r="BG70" s="14">
        <v>248088.61800534473</v>
      </c>
      <c r="BH70" s="33">
        <v>715340.80981748633</v>
      </c>
      <c r="BI70" s="13">
        <v>-254658</v>
      </c>
      <c r="BJ70" s="13">
        <v>236</v>
      </c>
      <c r="BK70" s="33">
        <v>-305471.07500000001</v>
      </c>
    </row>
    <row r="71" spans="1:63" ht="14.25" x14ac:dyDescent="0.2">
      <c r="A71" s="14">
        <v>224</v>
      </c>
      <c r="B71" s="14" t="s">
        <v>344</v>
      </c>
      <c r="C71" s="14">
        <v>8440</v>
      </c>
      <c r="D71" s="14">
        <v>302</v>
      </c>
      <c r="E71" s="14">
        <v>53</v>
      </c>
      <c r="F71" s="14">
        <v>517</v>
      </c>
      <c r="G71" s="14">
        <v>339</v>
      </c>
      <c r="H71" s="14">
        <v>7229</v>
      </c>
      <c r="I71" s="14">
        <v>4565</v>
      </c>
      <c r="K71" s="29">
        <v>493</v>
      </c>
      <c r="L71" s="29">
        <v>3958</v>
      </c>
      <c r="M71" s="14">
        <v>683.25</v>
      </c>
      <c r="N71" s="11">
        <v>763</v>
      </c>
      <c r="O71" s="11">
        <v>0</v>
      </c>
      <c r="P71" s="11">
        <v>58</v>
      </c>
      <c r="Q71" s="11">
        <v>0</v>
      </c>
      <c r="R71" s="11">
        <v>0</v>
      </c>
      <c r="S71" s="11">
        <v>242.44</v>
      </c>
      <c r="T71" s="14">
        <v>572</v>
      </c>
      <c r="U71" s="14">
        <v>2570</v>
      </c>
      <c r="V71" s="330"/>
      <c r="W71" s="11">
        <v>0</v>
      </c>
      <c r="X71" s="64">
        <v>2612</v>
      </c>
      <c r="Y71" s="64">
        <v>3396</v>
      </c>
      <c r="Z71" s="331">
        <v>0.97003052772670439</v>
      </c>
      <c r="AA71" s="31">
        <v>0</v>
      </c>
      <c r="AB71" s="11">
        <v>0</v>
      </c>
      <c r="AC71" s="11">
        <v>0</v>
      </c>
      <c r="AE71" s="32">
        <v>-547912.5405</v>
      </c>
      <c r="AF71" s="13">
        <v>-167050.16</v>
      </c>
      <c r="AG71" s="13">
        <v>536415.01299321395</v>
      </c>
      <c r="AH71" s="13">
        <v>-137675.22180288893</v>
      </c>
      <c r="AI71" s="13">
        <v>46848.994270836789</v>
      </c>
      <c r="AJ71" s="13">
        <v>685735</v>
      </c>
      <c r="AK71" s="13">
        <v>228313</v>
      </c>
      <c r="AL71" s="13">
        <v>466962.71765660605</v>
      </c>
      <c r="AM71" s="13">
        <v>11345.000723738151</v>
      </c>
      <c r="AN71" s="13">
        <v>67552.377431298548</v>
      </c>
      <c r="AO71" s="13">
        <v>178336.21752535802</v>
      </c>
      <c r="AP71" s="13">
        <v>429863.58683494903</v>
      </c>
      <c r="AQ71" s="13">
        <v>726820.3431030754</v>
      </c>
      <c r="AR71" s="13">
        <v>196777.54589011226</v>
      </c>
      <c r="AS71" s="13">
        <v>363343.81477334449</v>
      </c>
      <c r="AT71" s="34"/>
      <c r="AU71" s="13"/>
      <c r="AV71" s="34"/>
      <c r="AW71" s="34"/>
      <c r="AX71" s="34"/>
      <c r="AY71" s="13">
        <v>456143.48341494775</v>
      </c>
      <c r="AZ71" s="13">
        <v>292608.95223541628</v>
      </c>
      <c r="BA71" s="13">
        <v>289132.1402789306</v>
      </c>
      <c r="BB71" s="32">
        <v>-207149.17075832974</v>
      </c>
      <c r="BC71" s="33">
        <v>-36362.396657291982</v>
      </c>
      <c r="BD71" s="33">
        <v>-251512</v>
      </c>
      <c r="BE71" s="33">
        <v>-96384.8</v>
      </c>
      <c r="BF71" s="14"/>
      <c r="BG71" s="14">
        <v>782433.63330285624</v>
      </c>
      <c r="BH71" s="33">
        <v>3749103.0775069948</v>
      </c>
      <c r="BI71" s="13">
        <v>-427083</v>
      </c>
      <c r="BJ71" s="13">
        <v>2135</v>
      </c>
      <c r="BK71" s="33">
        <v>333915.75</v>
      </c>
    </row>
    <row r="72" spans="1:63" ht="14.25" x14ac:dyDescent="0.2">
      <c r="A72" s="14">
        <v>226</v>
      </c>
      <c r="B72" s="14" t="s">
        <v>345</v>
      </c>
      <c r="C72" s="14">
        <v>3573</v>
      </c>
      <c r="D72" s="14">
        <v>116</v>
      </c>
      <c r="E72" s="14">
        <v>16</v>
      </c>
      <c r="F72" s="14">
        <v>172</v>
      </c>
      <c r="G72" s="14">
        <v>109</v>
      </c>
      <c r="H72" s="14">
        <v>3160</v>
      </c>
      <c r="I72" s="14">
        <v>1701</v>
      </c>
      <c r="K72" s="29">
        <v>165.91666666666666</v>
      </c>
      <c r="L72" s="29">
        <v>1444</v>
      </c>
      <c r="M72" s="14">
        <v>237.25</v>
      </c>
      <c r="N72" s="11">
        <v>80</v>
      </c>
      <c r="O72" s="11">
        <v>0</v>
      </c>
      <c r="P72" s="11">
        <v>2</v>
      </c>
      <c r="Q72" s="11">
        <v>0</v>
      </c>
      <c r="R72" s="11">
        <v>0</v>
      </c>
      <c r="S72" s="11">
        <v>887.06</v>
      </c>
      <c r="T72" s="14">
        <v>102</v>
      </c>
      <c r="U72" s="14">
        <v>856</v>
      </c>
      <c r="V72" s="330"/>
      <c r="W72" s="11">
        <v>1.3321833333333335</v>
      </c>
      <c r="X72" s="64">
        <v>1230</v>
      </c>
      <c r="Y72" s="64">
        <v>1264</v>
      </c>
      <c r="Z72" s="331">
        <v>1.0438478492179923</v>
      </c>
      <c r="AA72" s="31">
        <v>0</v>
      </c>
      <c r="AB72" s="11">
        <v>0</v>
      </c>
      <c r="AC72" s="11">
        <v>0</v>
      </c>
      <c r="AE72" s="32">
        <v>-89011.490149999998</v>
      </c>
      <c r="AF72" s="13">
        <v>-74112.180000000008</v>
      </c>
      <c r="AG72" s="13">
        <v>220733.80584834173</v>
      </c>
      <c r="AH72" s="13">
        <v>-62972.96082471533</v>
      </c>
      <c r="AI72" s="13">
        <v>14986.247727720605</v>
      </c>
      <c r="AJ72" s="13">
        <v>418140</v>
      </c>
      <c r="AK72" s="13">
        <v>130108</v>
      </c>
      <c r="AL72" s="13">
        <v>326875.13753496442</v>
      </c>
      <c r="AM72" s="13">
        <v>18659.542831763487</v>
      </c>
      <c r="AN72" s="13">
        <v>35891.785018527073</v>
      </c>
      <c r="AO72" s="13">
        <v>158948.51525087937</v>
      </c>
      <c r="AP72" s="13">
        <v>230569.23956807284</v>
      </c>
      <c r="AQ72" s="13">
        <v>370414.31477540807</v>
      </c>
      <c r="AR72" s="13">
        <v>114099.50544567108</v>
      </c>
      <c r="AS72" s="13">
        <v>203734.13966411629</v>
      </c>
      <c r="AT72" s="34"/>
      <c r="AU72" s="13"/>
      <c r="AV72" s="34"/>
      <c r="AW72" s="34"/>
      <c r="AX72" s="34"/>
      <c r="AY72" s="13">
        <v>278815.83560663444</v>
      </c>
      <c r="AZ72" s="13">
        <v>154196.14401359082</v>
      </c>
      <c r="BA72" s="13">
        <v>145985.88212760576</v>
      </c>
      <c r="BB72" s="32">
        <v>391817.80303608027</v>
      </c>
      <c r="BC72" s="33">
        <v>75703.905693674926</v>
      </c>
      <c r="BD72" s="33">
        <v>-106475.40000000001</v>
      </c>
      <c r="BE72" s="33">
        <v>-40803.659999999996</v>
      </c>
      <c r="BF72" s="14"/>
      <c r="BG72" s="14">
        <v>557386.43790395069</v>
      </c>
      <c r="BH72" s="33">
        <v>1622094.6410894475</v>
      </c>
      <c r="BI72" s="13">
        <v>65480</v>
      </c>
      <c r="BJ72" s="13">
        <v>733</v>
      </c>
      <c r="BK72" s="33">
        <v>53090.837499999994</v>
      </c>
    </row>
    <row r="73" spans="1:63" ht="14.25" x14ac:dyDescent="0.2">
      <c r="A73" s="14">
        <v>230</v>
      </c>
      <c r="B73" s="14" t="s">
        <v>346</v>
      </c>
      <c r="C73" s="14">
        <v>2170</v>
      </c>
      <c r="D73" s="14">
        <v>79</v>
      </c>
      <c r="E73" s="14">
        <v>16</v>
      </c>
      <c r="F73" s="14">
        <v>132</v>
      </c>
      <c r="G73" s="14">
        <v>56</v>
      </c>
      <c r="H73" s="14">
        <v>1887</v>
      </c>
      <c r="I73" s="14">
        <v>1063</v>
      </c>
      <c r="K73" s="29">
        <v>79.25</v>
      </c>
      <c r="L73" s="29">
        <v>939</v>
      </c>
      <c r="M73" s="14">
        <v>127.91666666666666</v>
      </c>
      <c r="N73" s="11">
        <v>116</v>
      </c>
      <c r="O73" s="11">
        <v>0</v>
      </c>
      <c r="P73" s="11">
        <v>1</v>
      </c>
      <c r="Q73" s="11">
        <v>0</v>
      </c>
      <c r="R73" s="11">
        <v>0</v>
      </c>
      <c r="S73" s="11">
        <v>502.22</v>
      </c>
      <c r="T73" s="14">
        <v>122</v>
      </c>
      <c r="U73" s="14">
        <v>578</v>
      </c>
      <c r="V73" s="330"/>
      <c r="W73" s="11">
        <v>1.0844166666666666</v>
      </c>
      <c r="X73" s="64">
        <v>666</v>
      </c>
      <c r="Y73" s="64">
        <v>842</v>
      </c>
      <c r="Z73" s="331">
        <v>0.87534029130610969</v>
      </c>
      <c r="AA73" s="31">
        <v>0</v>
      </c>
      <c r="AB73" s="11">
        <v>0</v>
      </c>
      <c r="AC73" s="11">
        <v>0</v>
      </c>
      <c r="AE73" s="32">
        <v>-26736.662499999999</v>
      </c>
      <c r="AF73" s="13">
        <v>-44605.62</v>
      </c>
      <c r="AG73" s="13">
        <v>155320.58292399131</v>
      </c>
      <c r="AH73" s="13">
        <v>-44511.194921140435</v>
      </c>
      <c r="AI73" s="13">
        <v>3503.7189330467445</v>
      </c>
      <c r="AJ73" s="13">
        <v>291060</v>
      </c>
      <c r="AK73" s="13">
        <v>92413</v>
      </c>
      <c r="AL73" s="13">
        <v>256894.05377211169</v>
      </c>
      <c r="AM73" s="13">
        <v>15394.886270220215</v>
      </c>
      <c r="AN73" s="13">
        <v>35647.9445174762</v>
      </c>
      <c r="AO73" s="13">
        <v>106520.14217974393</v>
      </c>
      <c r="AP73" s="13">
        <v>169559.83785104705</v>
      </c>
      <c r="AQ73" s="13">
        <v>240230.03207086163</v>
      </c>
      <c r="AR73" s="13">
        <v>84367.24290657333</v>
      </c>
      <c r="AS73" s="13">
        <v>135286.77090386141</v>
      </c>
      <c r="AT73" s="34"/>
      <c r="AU73" s="13"/>
      <c r="AV73" s="34"/>
      <c r="AW73" s="34"/>
      <c r="AX73" s="34"/>
      <c r="AY73" s="13">
        <v>187251.82395396824</v>
      </c>
      <c r="AZ73" s="13">
        <v>104374.68264764173</v>
      </c>
      <c r="BA73" s="13">
        <v>103578.77459522549</v>
      </c>
      <c r="BB73" s="32">
        <v>27730.53614179519</v>
      </c>
      <c r="BC73" s="33">
        <v>-9467.8331410361552</v>
      </c>
      <c r="BD73" s="33">
        <v>-64666</v>
      </c>
      <c r="BE73" s="33">
        <v>-24781.4</v>
      </c>
      <c r="BF73" s="14"/>
      <c r="BG73" s="14">
        <v>467845.14815857128</v>
      </c>
      <c r="BH73" s="33">
        <v>1266826.6102996317</v>
      </c>
      <c r="BI73" s="13">
        <v>-399188</v>
      </c>
      <c r="BJ73" s="13">
        <v>462</v>
      </c>
      <c r="BK73" s="33">
        <v>7067</v>
      </c>
    </row>
    <row r="74" spans="1:63" ht="14.25" x14ac:dyDescent="0.2">
      <c r="A74" s="14">
        <v>231</v>
      </c>
      <c r="B74" s="14" t="s">
        <v>347</v>
      </c>
      <c r="C74" s="14">
        <v>1241</v>
      </c>
      <c r="D74" s="14">
        <v>43</v>
      </c>
      <c r="E74" s="14">
        <v>9</v>
      </c>
      <c r="F74" s="14">
        <v>83</v>
      </c>
      <c r="G74" s="14">
        <v>37</v>
      </c>
      <c r="H74" s="14">
        <v>1069</v>
      </c>
      <c r="I74" s="14">
        <v>547</v>
      </c>
      <c r="K74" s="29">
        <v>49.083333333333336</v>
      </c>
      <c r="L74" s="29">
        <v>487</v>
      </c>
      <c r="M74" s="14">
        <v>65.833333333333343</v>
      </c>
      <c r="N74" s="11">
        <v>212</v>
      </c>
      <c r="O74" s="11">
        <v>1</v>
      </c>
      <c r="P74" s="11">
        <v>343</v>
      </c>
      <c r="Q74" s="11">
        <v>0</v>
      </c>
      <c r="R74" s="11">
        <v>0</v>
      </c>
      <c r="S74" s="11">
        <v>10.64</v>
      </c>
      <c r="T74" s="14">
        <v>109</v>
      </c>
      <c r="U74" s="14">
        <v>326</v>
      </c>
      <c r="V74" s="330"/>
      <c r="W74" s="11">
        <v>0.82343333333333335</v>
      </c>
      <c r="X74" s="64">
        <v>396</v>
      </c>
      <c r="Y74" s="64">
        <v>414</v>
      </c>
      <c r="Z74" s="331">
        <v>1.0903991292762205</v>
      </c>
      <c r="AA74" s="31">
        <v>0</v>
      </c>
      <c r="AB74" s="11">
        <v>0</v>
      </c>
      <c r="AC74" s="11">
        <v>0</v>
      </c>
      <c r="AE74" s="32">
        <v>-19875.45</v>
      </c>
      <c r="AF74" s="13">
        <v>-24550.38</v>
      </c>
      <c r="AG74" s="13">
        <v>46779.537654959298</v>
      </c>
      <c r="AH74" s="13">
        <v>0</v>
      </c>
      <c r="AI74" s="13">
        <v>-351.55598635516071</v>
      </c>
      <c r="AJ74" s="13">
        <v>96307</v>
      </c>
      <c r="AK74" s="13">
        <v>37918</v>
      </c>
      <c r="AL74" s="13">
        <v>84599.721059853749</v>
      </c>
      <c r="AM74" s="13">
        <v>4667.1104411968627</v>
      </c>
      <c r="AN74" s="13">
        <v>14013.607726811122</v>
      </c>
      <c r="AO74" s="13">
        <v>34434.394086437955</v>
      </c>
      <c r="AP74" s="13">
        <v>64977.746840366635</v>
      </c>
      <c r="AQ74" s="13">
        <v>108592.87659227524</v>
      </c>
      <c r="AR74" s="13">
        <v>32056.051184232758</v>
      </c>
      <c r="AS74" s="13">
        <v>55307.081604828636</v>
      </c>
      <c r="AT74" s="34"/>
      <c r="AU74" s="13"/>
      <c r="AV74" s="34"/>
      <c r="AW74" s="34"/>
      <c r="AX74" s="34"/>
      <c r="AY74" s="13">
        <v>63409.498823403919</v>
      </c>
      <c r="AZ74" s="13">
        <v>43996.724071266763</v>
      </c>
      <c r="BA74" s="13">
        <v>40651.785189271672</v>
      </c>
      <c r="BB74" s="32">
        <v>-858317.88405327871</v>
      </c>
      <c r="BC74" s="33">
        <v>-485837.36040881736</v>
      </c>
      <c r="BD74" s="33">
        <v>-36981.800000000003</v>
      </c>
      <c r="BE74" s="33">
        <v>-14172.22</v>
      </c>
      <c r="BF74" s="14"/>
      <c r="BG74" s="14">
        <v>137766.94283172124</v>
      </c>
      <c r="BH74" s="33">
        <v>-47608.092136871412</v>
      </c>
      <c r="BI74" s="13">
        <v>-14318</v>
      </c>
      <c r="BJ74" s="13">
        <v>246</v>
      </c>
      <c r="BK74" s="33">
        <v>-404585.75</v>
      </c>
    </row>
    <row r="75" spans="1:63" ht="14.25" x14ac:dyDescent="0.2">
      <c r="A75" s="14">
        <v>232</v>
      </c>
      <c r="B75" s="14" t="s">
        <v>348</v>
      </c>
      <c r="C75" s="14">
        <v>12518</v>
      </c>
      <c r="D75" s="14">
        <v>508</v>
      </c>
      <c r="E75" s="14">
        <v>107</v>
      </c>
      <c r="F75" s="14">
        <v>799</v>
      </c>
      <c r="G75" s="14">
        <v>482</v>
      </c>
      <c r="H75" s="14">
        <v>10622</v>
      </c>
      <c r="I75" s="14">
        <v>6492</v>
      </c>
      <c r="K75" s="29">
        <v>487.5</v>
      </c>
      <c r="L75" s="29">
        <v>5569</v>
      </c>
      <c r="M75" s="14">
        <v>746.91666666666674</v>
      </c>
      <c r="N75" s="11">
        <v>489</v>
      </c>
      <c r="O75" s="11">
        <v>0</v>
      </c>
      <c r="P75" s="11">
        <v>46</v>
      </c>
      <c r="Q75" s="11">
        <v>0</v>
      </c>
      <c r="R75" s="11">
        <v>0</v>
      </c>
      <c r="S75" s="11">
        <v>1299.01</v>
      </c>
      <c r="T75" s="14">
        <v>528</v>
      </c>
      <c r="U75" s="14">
        <v>3427</v>
      </c>
      <c r="V75" s="330"/>
      <c r="W75" s="11">
        <v>9.5499999999999995E-3</v>
      </c>
      <c r="X75" s="64">
        <v>5201</v>
      </c>
      <c r="Y75" s="64">
        <v>4918</v>
      </c>
      <c r="Z75" s="331">
        <v>0.98954222304522121</v>
      </c>
      <c r="AA75" s="31">
        <v>0</v>
      </c>
      <c r="AB75" s="11">
        <v>0</v>
      </c>
      <c r="AC75" s="11">
        <v>0</v>
      </c>
      <c r="AE75" s="32">
        <v>-511121.97905000002</v>
      </c>
      <c r="AF75" s="13">
        <v>-249864.47</v>
      </c>
      <c r="AG75" s="13">
        <v>661631.74199529714</v>
      </c>
      <c r="AH75" s="13">
        <v>-204590.43967059461</v>
      </c>
      <c r="AI75" s="13">
        <v>43484.35727810266</v>
      </c>
      <c r="AJ75" s="13">
        <v>1348002</v>
      </c>
      <c r="AK75" s="13">
        <v>442548</v>
      </c>
      <c r="AL75" s="13">
        <v>1109041.4400691977</v>
      </c>
      <c r="AM75" s="13">
        <v>52325.639226816202</v>
      </c>
      <c r="AN75" s="13">
        <v>142064.68655123145</v>
      </c>
      <c r="AO75" s="13">
        <v>519039.0985858991</v>
      </c>
      <c r="AP75" s="13">
        <v>837154.95961515105</v>
      </c>
      <c r="AQ75" s="13">
        <v>1257961.1728310033</v>
      </c>
      <c r="AR75" s="13">
        <v>390550.81660916161</v>
      </c>
      <c r="AS75" s="13">
        <v>682682.44747699576</v>
      </c>
      <c r="AT75" s="34"/>
      <c r="AU75" s="13"/>
      <c r="AV75" s="34"/>
      <c r="AW75" s="34"/>
      <c r="AX75" s="34"/>
      <c r="AY75" s="13">
        <v>942314.58354477398</v>
      </c>
      <c r="AZ75" s="13">
        <v>524246.8197146242</v>
      </c>
      <c r="BA75" s="13">
        <v>519615.80274472316</v>
      </c>
      <c r="BB75" s="32">
        <v>-22726.03907395744</v>
      </c>
      <c r="BC75" s="33">
        <v>-53890.5681018799</v>
      </c>
      <c r="BD75" s="33">
        <v>-373036.4</v>
      </c>
      <c r="BE75" s="33">
        <v>-142955.56</v>
      </c>
      <c r="BF75" s="14"/>
      <c r="BG75" s="14">
        <v>1809588.6769522086</v>
      </c>
      <c r="BH75" s="33">
        <v>5536091.6603702623</v>
      </c>
      <c r="BI75" s="13">
        <v>-286238</v>
      </c>
      <c r="BJ75" s="13">
        <v>3328</v>
      </c>
      <c r="BK75" s="33">
        <v>10600.5</v>
      </c>
    </row>
    <row r="76" spans="1:63" ht="14.25" x14ac:dyDescent="0.2">
      <c r="A76" s="14">
        <v>233</v>
      </c>
      <c r="B76" s="14" t="s">
        <v>349</v>
      </c>
      <c r="C76" s="14">
        <v>15050</v>
      </c>
      <c r="D76" s="14">
        <v>631</v>
      </c>
      <c r="E76" s="14">
        <v>122</v>
      </c>
      <c r="F76" s="14">
        <v>928</v>
      </c>
      <c r="G76" s="14">
        <v>587</v>
      </c>
      <c r="H76" s="14">
        <v>12782</v>
      </c>
      <c r="I76" s="14">
        <v>7698</v>
      </c>
      <c r="K76" s="29">
        <v>445.66666666666669</v>
      </c>
      <c r="L76" s="29">
        <v>6464</v>
      </c>
      <c r="M76" s="14">
        <v>623.91666666666674</v>
      </c>
      <c r="N76" s="11">
        <v>931</v>
      </c>
      <c r="O76" s="11">
        <v>0</v>
      </c>
      <c r="P76" s="11">
        <v>103</v>
      </c>
      <c r="Q76" s="11">
        <v>0</v>
      </c>
      <c r="R76" s="11">
        <v>0</v>
      </c>
      <c r="S76" s="11">
        <v>1313.85</v>
      </c>
      <c r="T76" s="14">
        <v>666</v>
      </c>
      <c r="U76" s="14">
        <v>4066</v>
      </c>
      <c r="V76" s="330"/>
      <c r="W76" s="11">
        <v>0</v>
      </c>
      <c r="X76" s="64">
        <v>6118</v>
      </c>
      <c r="Y76" s="64">
        <v>5987</v>
      </c>
      <c r="Z76" s="331">
        <v>0.76789186980748514</v>
      </c>
      <c r="AA76" s="31">
        <v>0</v>
      </c>
      <c r="AB76" s="11">
        <v>0</v>
      </c>
      <c r="AC76" s="11">
        <v>0</v>
      </c>
      <c r="AE76" s="32">
        <v>-457231.19890000002</v>
      </c>
      <c r="AF76" s="13">
        <v>-298023.94</v>
      </c>
      <c r="AG76" s="13">
        <v>447967.17303425906</v>
      </c>
      <c r="AH76" s="13">
        <v>-299691.27516465739</v>
      </c>
      <c r="AI76" s="13">
        <v>4727.8686232418986</v>
      </c>
      <c r="AJ76" s="13">
        <v>1591871</v>
      </c>
      <c r="AK76" s="13">
        <v>502839</v>
      </c>
      <c r="AL76" s="13">
        <v>1326433.255680016</v>
      </c>
      <c r="AM76" s="13">
        <v>67143.612239502181</v>
      </c>
      <c r="AN76" s="13">
        <v>136521.67357738214</v>
      </c>
      <c r="AO76" s="13">
        <v>582007.16153547459</v>
      </c>
      <c r="AP76" s="13">
        <v>978436.1017883895</v>
      </c>
      <c r="AQ76" s="13">
        <v>1595489.3984866217</v>
      </c>
      <c r="AR76" s="13">
        <v>447314.79661685019</v>
      </c>
      <c r="AS76" s="13">
        <v>813149.67861265258</v>
      </c>
      <c r="AT76" s="34"/>
      <c r="AU76" s="13"/>
      <c r="AV76" s="34"/>
      <c r="AW76" s="34"/>
      <c r="AX76" s="34"/>
      <c r="AY76" s="13">
        <v>1097121.6731470108</v>
      </c>
      <c r="AZ76" s="13">
        <v>614333.86330422282</v>
      </c>
      <c r="BA76" s="13">
        <v>601703.25428792776</v>
      </c>
      <c r="BB76" s="32">
        <v>2114932.4284441913</v>
      </c>
      <c r="BC76" s="33">
        <v>-63890.966857099338</v>
      </c>
      <c r="BD76" s="33">
        <v>-448490</v>
      </c>
      <c r="BE76" s="33">
        <v>-171871</v>
      </c>
      <c r="BF76" s="14"/>
      <c r="BG76" s="14">
        <v>2282246.5019230722</v>
      </c>
      <c r="BH76" s="33">
        <v>7352481.6955554448</v>
      </c>
      <c r="BI76" s="13">
        <v>195952</v>
      </c>
      <c r="BJ76" s="13">
        <v>3961</v>
      </c>
      <c r="BK76" s="33">
        <v>161657.62500000006</v>
      </c>
    </row>
    <row r="77" spans="1:63" ht="14.25" x14ac:dyDescent="0.2">
      <c r="A77" s="14">
        <v>235</v>
      </c>
      <c r="B77" s="14" t="s">
        <v>350</v>
      </c>
      <c r="C77" s="14">
        <v>10253</v>
      </c>
      <c r="D77" s="14">
        <v>572</v>
      </c>
      <c r="E77" s="14">
        <v>119</v>
      </c>
      <c r="F77" s="14">
        <v>793</v>
      </c>
      <c r="G77" s="14">
        <v>433</v>
      </c>
      <c r="H77" s="14">
        <v>8336</v>
      </c>
      <c r="I77" s="14">
        <v>5595</v>
      </c>
      <c r="K77" s="29">
        <v>314.33333333333331</v>
      </c>
      <c r="L77" s="29">
        <v>4740</v>
      </c>
      <c r="M77" s="14">
        <v>423.83333333333331</v>
      </c>
      <c r="N77" s="11">
        <v>1135</v>
      </c>
      <c r="O77" s="11">
        <v>1</v>
      </c>
      <c r="P77" s="11">
        <v>3134</v>
      </c>
      <c r="Q77" s="11">
        <v>0</v>
      </c>
      <c r="R77" s="11">
        <v>0</v>
      </c>
      <c r="S77" s="11">
        <v>5.89</v>
      </c>
      <c r="T77" s="14">
        <v>344</v>
      </c>
      <c r="U77" s="14">
        <v>3220</v>
      </c>
      <c r="V77" s="330"/>
      <c r="W77" s="11">
        <v>0</v>
      </c>
      <c r="X77" s="64">
        <v>2574</v>
      </c>
      <c r="Y77" s="64">
        <v>4451</v>
      </c>
      <c r="Z77" s="331">
        <v>1.0615048629076076</v>
      </c>
      <c r="AA77" s="31">
        <v>0</v>
      </c>
      <c r="AB77" s="11">
        <v>0</v>
      </c>
      <c r="AC77" s="11">
        <v>3</v>
      </c>
      <c r="AE77" s="32">
        <v>-371314.88815000001</v>
      </c>
      <c r="AF77" s="13">
        <v>-195519.38</v>
      </c>
      <c r="AG77" s="13">
        <v>107855.81223466899</v>
      </c>
      <c r="AH77" s="13">
        <v>-391895.20181511581</v>
      </c>
      <c r="AI77" s="13">
        <v>-35899.307256609551</v>
      </c>
      <c r="AJ77" s="13">
        <v>400853</v>
      </c>
      <c r="AK77" s="13">
        <v>140968</v>
      </c>
      <c r="AL77" s="13">
        <v>243665.55433787196</v>
      </c>
      <c r="AM77" s="13">
        <v>-364.47450453780249</v>
      </c>
      <c r="AN77" s="13">
        <v>-473805.29871285387</v>
      </c>
      <c r="AO77" s="13">
        <v>-38842.979278355189</v>
      </c>
      <c r="AP77" s="13">
        <v>238687.31922770882</v>
      </c>
      <c r="AQ77" s="13">
        <v>389412.30320669874</v>
      </c>
      <c r="AR77" s="13">
        <v>143400.37083215994</v>
      </c>
      <c r="AS77" s="13">
        <v>228980.30962155422</v>
      </c>
      <c r="AT77" s="34"/>
      <c r="AU77" s="13"/>
      <c r="AV77" s="34"/>
      <c r="AW77" s="34"/>
      <c r="AX77" s="34"/>
      <c r="AY77" s="13">
        <v>319679.37208902265</v>
      </c>
      <c r="AZ77" s="13">
        <v>195225.44614448989</v>
      </c>
      <c r="BA77" s="13">
        <v>191317.71296848933</v>
      </c>
      <c r="BB77" s="32">
        <v>9961261.5929752979</v>
      </c>
      <c r="BC77" s="33">
        <v>2666053.4394072024</v>
      </c>
      <c r="BD77" s="33">
        <v>-305539.40000000002</v>
      </c>
      <c r="BE77" s="33">
        <v>-117089.26</v>
      </c>
      <c r="BF77" s="14"/>
      <c r="BG77" s="14">
        <v>390281.00210368831</v>
      </c>
      <c r="BH77" s="33">
        <v>-1623919.3801700259</v>
      </c>
      <c r="BI77" s="13">
        <v>3430041</v>
      </c>
      <c r="BJ77" s="13">
        <v>3228</v>
      </c>
      <c r="BK77" s="33">
        <v>2864838.1274999999</v>
      </c>
    </row>
    <row r="78" spans="1:63" ht="14.25" x14ac:dyDescent="0.2">
      <c r="A78" s="14">
        <v>236</v>
      </c>
      <c r="B78" s="14" t="s">
        <v>351</v>
      </c>
      <c r="C78" s="14">
        <v>4118</v>
      </c>
      <c r="D78" s="14">
        <v>200</v>
      </c>
      <c r="E78" s="14">
        <v>49</v>
      </c>
      <c r="F78" s="14">
        <v>334</v>
      </c>
      <c r="G78" s="14">
        <v>173</v>
      </c>
      <c r="H78" s="14">
        <v>3362</v>
      </c>
      <c r="I78" s="14">
        <v>2155</v>
      </c>
      <c r="K78" s="29">
        <v>131.75</v>
      </c>
      <c r="L78" s="29">
        <v>1954</v>
      </c>
      <c r="M78" s="14">
        <v>179.58333333333334</v>
      </c>
      <c r="N78" s="11">
        <v>134</v>
      </c>
      <c r="O78" s="11">
        <v>0</v>
      </c>
      <c r="P78" s="11">
        <v>81</v>
      </c>
      <c r="Q78" s="11">
        <v>0</v>
      </c>
      <c r="R78" s="11">
        <v>0</v>
      </c>
      <c r="S78" s="11">
        <v>353.92</v>
      </c>
      <c r="T78" s="14">
        <v>117</v>
      </c>
      <c r="U78" s="14">
        <v>1241</v>
      </c>
      <c r="V78" s="330"/>
      <c r="W78" s="11">
        <v>0.37173333333333336</v>
      </c>
      <c r="X78" s="64">
        <v>1535</v>
      </c>
      <c r="Y78" s="64">
        <v>1698</v>
      </c>
      <c r="Z78" s="331">
        <v>0.87554537629732798</v>
      </c>
      <c r="AA78" s="31">
        <v>0</v>
      </c>
      <c r="AB78" s="11">
        <v>0</v>
      </c>
      <c r="AC78" s="11">
        <v>1</v>
      </c>
      <c r="AE78" s="32">
        <v>-77383.510500000004</v>
      </c>
      <c r="AF78" s="13">
        <v>-81219.88</v>
      </c>
      <c r="AG78" s="13">
        <v>120082.43017642369</v>
      </c>
      <c r="AH78" s="13">
        <v>-94089.736168749107</v>
      </c>
      <c r="AI78" s="13">
        <v>-17870.36802869755</v>
      </c>
      <c r="AJ78" s="13">
        <v>368269</v>
      </c>
      <c r="AK78" s="13">
        <v>129763</v>
      </c>
      <c r="AL78" s="13">
        <v>323098.58050311817</v>
      </c>
      <c r="AM78" s="13">
        <v>16486.611000444092</v>
      </c>
      <c r="AN78" s="13">
        <v>25574.44655187277</v>
      </c>
      <c r="AO78" s="13">
        <v>131319.51174693956</v>
      </c>
      <c r="AP78" s="13">
        <v>267335.26316431299</v>
      </c>
      <c r="AQ78" s="13">
        <v>419922.67719256639</v>
      </c>
      <c r="AR78" s="13">
        <v>132581.03671430607</v>
      </c>
      <c r="AS78" s="13">
        <v>210045.25288471839</v>
      </c>
      <c r="AT78" s="34"/>
      <c r="AU78" s="13"/>
      <c r="AV78" s="34"/>
      <c r="AW78" s="34"/>
      <c r="AX78" s="34"/>
      <c r="AY78" s="13">
        <v>289368.69822931342</v>
      </c>
      <c r="AZ78" s="13">
        <v>171402.48256731732</v>
      </c>
      <c r="BA78" s="13">
        <v>179295.59696045818</v>
      </c>
      <c r="BB78" s="32">
        <v>68777.110937036647</v>
      </c>
      <c r="BC78" s="33">
        <v>-156190.58393426344</v>
      </c>
      <c r="BD78" s="33">
        <v>-122716.40000000001</v>
      </c>
      <c r="BE78" s="33">
        <v>-47027.56</v>
      </c>
      <c r="BF78" s="14"/>
      <c r="BG78" s="14">
        <v>508523.96600070782</v>
      </c>
      <c r="BH78" s="33">
        <v>2196350.3459246303</v>
      </c>
      <c r="BI78" s="13">
        <v>1300720</v>
      </c>
      <c r="BJ78" s="13">
        <v>1243</v>
      </c>
      <c r="BK78" s="33">
        <v>318191.67500000005</v>
      </c>
    </row>
    <row r="79" spans="1:63" ht="14.25" x14ac:dyDescent="0.2">
      <c r="A79" s="14">
        <v>239</v>
      </c>
      <c r="B79" s="14" t="s">
        <v>352</v>
      </c>
      <c r="C79" s="14">
        <v>1985</v>
      </c>
      <c r="D79" s="14">
        <v>60</v>
      </c>
      <c r="E79" s="14">
        <v>16</v>
      </c>
      <c r="F79" s="14">
        <v>93</v>
      </c>
      <c r="G79" s="14">
        <v>56</v>
      </c>
      <c r="H79" s="14">
        <v>1760</v>
      </c>
      <c r="I79" s="14">
        <v>888</v>
      </c>
      <c r="K79" s="29">
        <v>68.666666666666671</v>
      </c>
      <c r="L79" s="29">
        <v>774</v>
      </c>
      <c r="M79" s="14">
        <v>93</v>
      </c>
      <c r="N79" s="11">
        <v>71</v>
      </c>
      <c r="O79" s="11">
        <v>0</v>
      </c>
      <c r="P79" s="11">
        <v>3</v>
      </c>
      <c r="Q79" s="11">
        <v>0</v>
      </c>
      <c r="R79" s="11">
        <v>0</v>
      </c>
      <c r="S79" s="11">
        <v>482.89</v>
      </c>
      <c r="T79" s="14">
        <v>79</v>
      </c>
      <c r="U79" s="14">
        <v>449</v>
      </c>
      <c r="V79" s="330"/>
      <c r="W79" s="11">
        <v>1.5529000000000002</v>
      </c>
      <c r="X79" s="64">
        <v>912</v>
      </c>
      <c r="Y79" s="64">
        <v>705</v>
      </c>
      <c r="Z79" s="331">
        <v>0.88557875739302749</v>
      </c>
      <c r="AA79" s="31">
        <v>0</v>
      </c>
      <c r="AB79" s="11">
        <v>0</v>
      </c>
      <c r="AC79" s="11">
        <v>0</v>
      </c>
      <c r="AE79" s="32">
        <v>-72299.554999999993</v>
      </c>
      <c r="AF79" s="13">
        <v>-41397.550000000003</v>
      </c>
      <c r="AG79" s="13">
        <v>52983.364186655905</v>
      </c>
      <c r="AH79" s="13">
        <v>-12647.536548112737</v>
      </c>
      <c r="AI79" s="13">
        <v>2438.6218650294031</v>
      </c>
      <c r="AJ79" s="13">
        <v>226638</v>
      </c>
      <c r="AK79" s="13">
        <v>72396</v>
      </c>
      <c r="AL79" s="13">
        <v>170170.74847539567</v>
      </c>
      <c r="AM79" s="13">
        <v>10042.96654919932</v>
      </c>
      <c r="AN79" s="13">
        <v>29392.025576901018</v>
      </c>
      <c r="AO79" s="13">
        <v>99747.906714946279</v>
      </c>
      <c r="AP79" s="13">
        <v>133009.60784867121</v>
      </c>
      <c r="AQ79" s="13">
        <v>219225.60271605232</v>
      </c>
      <c r="AR79" s="13">
        <v>64395.621196392836</v>
      </c>
      <c r="AS79" s="13">
        <v>112596.59676961876</v>
      </c>
      <c r="AT79" s="34"/>
      <c r="AU79" s="13"/>
      <c r="AV79" s="34"/>
      <c r="AW79" s="34"/>
      <c r="AX79" s="34"/>
      <c r="AY79" s="13">
        <v>158375.81928912736</v>
      </c>
      <c r="AZ79" s="13">
        <v>83295.289142515816</v>
      </c>
      <c r="BA79" s="13">
        <v>81148.450006904895</v>
      </c>
      <c r="BB79" s="32">
        <v>275453.80411995272</v>
      </c>
      <c r="BC79" s="33">
        <v>-161091.8643590475</v>
      </c>
      <c r="BD79" s="33">
        <v>-59153</v>
      </c>
      <c r="BE79" s="33">
        <v>-22668.7</v>
      </c>
      <c r="BF79" s="14"/>
      <c r="BG79" s="14">
        <v>307106.84344192268</v>
      </c>
      <c r="BH79" s="33">
        <v>-221095.0865614207</v>
      </c>
      <c r="BI79" s="13">
        <v>-475325</v>
      </c>
      <c r="BJ79" s="13">
        <v>366</v>
      </c>
      <c r="BK79" s="33">
        <v>-14134</v>
      </c>
    </row>
    <row r="80" spans="1:63" ht="14.25" x14ac:dyDescent="0.2">
      <c r="A80" s="14">
        <v>240</v>
      </c>
      <c r="B80" s="14" t="s">
        <v>353</v>
      </c>
      <c r="C80" s="14">
        <v>19402</v>
      </c>
      <c r="D80" s="14">
        <v>771</v>
      </c>
      <c r="E80" s="14">
        <v>156</v>
      </c>
      <c r="F80" s="14">
        <v>1148</v>
      </c>
      <c r="G80" s="14">
        <v>680</v>
      </c>
      <c r="H80" s="14">
        <v>16647</v>
      </c>
      <c r="I80" s="14">
        <v>10170</v>
      </c>
      <c r="K80" s="29">
        <v>1146.75</v>
      </c>
      <c r="L80" s="29">
        <v>8057</v>
      </c>
      <c r="M80" s="14">
        <v>1681.8333333333335</v>
      </c>
      <c r="N80" s="11">
        <v>1364</v>
      </c>
      <c r="O80" s="11">
        <v>0</v>
      </c>
      <c r="P80" s="11">
        <v>36</v>
      </c>
      <c r="Q80" s="11">
        <v>0</v>
      </c>
      <c r="R80" s="11">
        <v>0</v>
      </c>
      <c r="S80" s="11">
        <v>95.38</v>
      </c>
      <c r="T80" s="14">
        <v>890</v>
      </c>
      <c r="U80" s="14">
        <v>5373</v>
      </c>
      <c r="V80" s="330"/>
      <c r="W80" s="11">
        <v>0.11808333333333333</v>
      </c>
      <c r="X80" s="64">
        <v>8006</v>
      </c>
      <c r="Y80" s="64">
        <v>6784</v>
      </c>
      <c r="Z80" s="331">
        <v>0.94219744314675402</v>
      </c>
      <c r="AA80" s="31">
        <v>0</v>
      </c>
      <c r="AB80" s="11">
        <v>0</v>
      </c>
      <c r="AC80" s="11">
        <v>4</v>
      </c>
      <c r="AE80" s="32">
        <v>-1318077.2290000001</v>
      </c>
      <c r="AF80" s="13">
        <v>-392594.77</v>
      </c>
      <c r="AG80" s="13">
        <v>1076442.2995433707</v>
      </c>
      <c r="AH80" s="13">
        <v>0</v>
      </c>
      <c r="AI80" s="13">
        <v>246217.01058476104</v>
      </c>
      <c r="AJ80" s="13">
        <v>1605369</v>
      </c>
      <c r="AK80" s="13">
        <v>494139</v>
      </c>
      <c r="AL80" s="13">
        <v>1234156.5666300161</v>
      </c>
      <c r="AM80" s="13">
        <v>53563.426523705733</v>
      </c>
      <c r="AN80" s="13">
        <v>235749.92125511618</v>
      </c>
      <c r="AO80" s="13">
        <v>637343.63509223552</v>
      </c>
      <c r="AP80" s="13">
        <v>895758.6547334746</v>
      </c>
      <c r="AQ80" s="13">
        <v>1519158.1806377419</v>
      </c>
      <c r="AR80" s="13">
        <v>410155.71480379323</v>
      </c>
      <c r="AS80" s="13">
        <v>830678.3206041255</v>
      </c>
      <c r="AT80" s="34"/>
      <c r="AU80" s="13"/>
      <c r="AV80" s="34"/>
      <c r="AW80" s="34"/>
      <c r="AX80" s="34"/>
      <c r="AY80" s="13">
        <v>1037051.0910106816</v>
      </c>
      <c r="AZ80" s="13">
        <v>610944.87164768472</v>
      </c>
      <c r="BA80" s="13">
        <v>593396.74207279808</v>
      </c>
      <c r="BB80" s="32">
        <v>-7918485.2210957278</v>
      </c>
      <c r="BC80" s="33">
        <v>-4240004.521795569</v>
      </c>
      <c r="BD80" s="33">
        <v>-578179.6</v>
      </c>
      <c r="BE80" s="33">
        <v>-221570.84</v>
      </c>
      <c r="BF80" s="14"/>
      <c r="BG80" s="14">
        <v>1779971.833600512</v>
      </c>
      <c r="BH80" s="33">
        <v>1506628.7225757174</v>
      </c>
      <c r="BI80" s="13">
        <v>1636034</v>
      </c>
      <c r="BJ80" s="13">
        <v>5141</v>
      </c>
      <c r="BK80" s="33">
        <v>-217663.60000000009</v>
      </c>
    </row>
    <row r="81" spans="1:63" ht="14.25" x14ac:dyDescent="0.2">
      <c r="A81" s="14">
        <v>320</v>
      </c>
      <c r="B81" s="14" t="s">
        <v>387</v>
      </c>
      <c r="C81" s="14">
        <v>6954</v>
      </c>
      <c r="D81" s="14">
        <v>218</v>
      </c>
      <c r="E81" s="14">
        <v>37</v>
      </c>
      <c r="F81" s="14">
        <v>289</v>
      </c>
      <c r="G81" s="14">
        <v>167</v>
      </c>
      <c r="H81" s="14">
        <v>6243</v>
      </c>
      <c r="I81" s="14">
        <v>3226</v>
      </c>
      <c r="K81" s="29">
        <v>369.25</v>
      </c>
      <c r="L81" s="29">
        <v>2662</v>
      </c>
      <c r="M81" s="14">
        <v>512.16666666666663</v>
      </c>
      <c r="N81" s="11">
        <v>363</v>
      </c>
      <c r="O81" s="11">
        <v>0</v>
      </c>
      <c r="P81" s="11">
        <v>10</v>
      </c>
      <c r="Q81" s="11">
        <v>0</v>
      </c>
      <c r="R81" s="11">
        <v>0</v>
      </c>
      <c r="S81" s="11">
        <v>3503.95</v>
      </c>
      <c r="T81" s="14">
        <v>267</v>
      </c>
      <c r="U81" s="14">
        <v>1584</v>
      </c>
      <c r="V81" s="330"/>
      <c r="W81" s="11">
        <v>1.4655333333333334</v>
      </c>
      <c r="X81" s="64">
        <v>2131</v>
      </c>
      <c r="Y81" s="64">
        <v>2289</v>
      </c>
      <c r="Z81" s="331">
        <v>0.93555573018553506</v>
      </c>
      <c r="AA81" s="31">
        <v>0</v>
      </c>
      <c r="AB81" s="11">
        <v>0</v>
      </c>
      <c r="AC81" s="11">
        <v>3</v>
      </c>
      <c r="AE81" s="32">
        <v>-207624.95079999999</v>
      </c>
      <c r="AF81" s="13">
        <v>-138139.11000000002</v>
      </c>
      <c r="AG81" s="13">
        <v>337314.3377577379</v>
      </c>
      <c r="AH81" s="13">
        <v>-123241.71859887805</v>
      </c>
      <c r="AI81" s="13">
        <v>40070.295631722838</v>
      </c>
      <c r="AJ81" s="13">
        <v>624747</v>
      </c>
      <c r="AK81" s="13">
        <v>198738</v>
      </c>
      <c r="AL81" s="13">
        <v>550889.87076203129</v>
      </c>
      <c r="AM81" s="13">
        <v>29937.856057301051</v>
      </c>
      <c r="AN81" s="13">
        <v>97572.5961422533</v>
      </c>
      <c r="AO81" s="13">
        <v>274827.84891011514</v>
      </c>
      <c r="AP81" s="13">
        <v>359242.98619109433</v>
      </c>
      <c r="AQ81" s="13">
        <v>642421.55214444455</v>
      </c>
      <c r="AR81" s="13">
        <v>183262.99810995691</v>
      </c>
      <c r="AS81" s="13">
        <v>335096.77977004676</v>
      </c>
      <c r="AT81" s="34"/>
      <c r="AU81" s="13"/>
      <c r="AV81" s="34"/>
      <c r="AW81" s="34"/>
      <c r="AX81" s="34"/>
      <c r="AY81" s="13">
        <v>420631.1405987296</v>
      </c>
      <c r="AZ81" s="13">
        <v>240691.98056754092</v>
      </c>
      <c r="BA81" s="13">
        <v>230777.09346189196</v>
      </c>
      <c r="BB81" s="32">
        <v>428143.17379731592</v>
      </c>
      <c r="BC81" s="33">
        <v>482618.6336384436</v>
      </c>
      <c r="BD81" s="33">
        <v>-207229.2</v>
      </c>
      <c r="BE81" s="33">
        <v>-79414.679999999993</v>
      </c>
      <c r="BF81" s="14"/>
      <c r="BG81" s="14">
        <v>839162.78531474026</v>
      </c>
      <c r="BH81" s="33">
        <v>2103775.2953865561</v>
      </c>
      <c r="BI81" s="13">
        <v>173552</v>
      </c>
      <c r="BJ81" s="13">
        <v>1224</v>
      </c>
      <c r="BK81" s="33">
        <v>88.337499999994179</v>
      </c>
    </row>
    <row r="82" spans="1:63" ht="14.25" x14ac:dyDescent="0.2">
      <c r="A82" s="14">
        <v>241</v>
      </c>
      <c r="B82" s="14" t="s">
        <v>354</v>
      </c>
      <c r="C82" s="14">
        <v>7604</v>
      </c>
      <c r="D82" s="14">
        <v>357</v>
      </c>
      <c r="E82" s="14">
        <v>78</v>
      </c>
      <c r="F82" s="14">
        <v>527</v>
      </c>
      <c r="G82" s="14">
        <v>299</v>
      </c>
      <c r="H82" s="14">
        <v>6343</v>
      </c>
      <c r="I82" s="14">
        <v>3989</v>
      </c>
      <c r="K82" s="29">
        <v>273.58333333333331</v>
      </c>
      <c r="L82" s="29">
        <v>3507</v>
      </c>
      <c r="M82" s="14">
        <v>402.58333333333331</v>
      </c>
      <c r="N82" s="11">
        <v>109</v>
      </c>
      <c r="O82" s="11">
        <v>0</v>
      </c>
      <c r="P82" s="11">
        <v>9</v>
      </c>
      <c r="Q82" s="11">
        <v>0</v>
      </c>
      <c r="R82" s="11">
        <v>0</v>
      </c>
      <c r="S82" s="11">
        <v>627.28</v>
      </c>
      <c r="T82" s="14">
        <v>185</v>
      </c>
      <c r="U82" s="14">
        <v>2218</v>
      </c>
      <c r="V82" s="330"/>
      <c r="W82" s="11">
        <v>9.1749999999999998E-2</v>
      </c>
      <c r="X82" s="64">
        <v>2809</v>
      </c>
      <c r="Y82" s="64">
        <v>3185</v>
      </c>
      <c r="Z82" s="331">
        <v>0.94179196093897166</v>
      </c>
      <c r="AA82" s="31">
        <v>0</v>
      </c>
      <c r="AB82" s="11">
        <v>0</v>
      </c>
      <c r="AC82" s="11">
        <v>1</v>
      </c>
      <c r="AE82" s="32">
        <v>-162161.22</v>
      </c>
      <c r="AF82" s="13">
        <v>-153372.64000000001</v>
      </c>
      <c r="AG82" s="13">
        <v>299052.76508254994</v>
      </c>
      <c r="AH82" s="13">
        <v>-31337.978652251728</v>
      </c>
      <c r="AI82" s="13">
        <v>28352.691984702396</v>
      </c>
      <c r="AJ82" s="13">
        <v>609472</v>
      </c>
      <c r="AK82" s="13">
        <v>182802</v>
      </c>
      <c r="AL82" s="13">
        <v>410209.67641064292</v>
      </c>
      <c r="AM82" s="13">
        <v>10390.550986583485</v>
      </c>
      <c r="AN82" s="13">
        <v>43911.349839947958</v>
      </c>
      <c r="AO82" s="13">
        <v>190401.23360594365</v>
      </c>
      <c r="AP82" s="13">
        <v>342087.03241520521</v>
      </c>
      <c r="AQ82" s="13">
        <v>603978.38263120328</v>
      </c>
      <c r="AR82" s="13">
        <v>150680.27355743415</v>
      </c>
      <c r="AS82" s="13">
        <v>289743.7860859026</v>
      </c>
      <c r="AT82" s="34"/>
      <c r="AU82" s="13"/>
      <c r="AV82" s="34"/>
      <c r="AW82" s="34"/>
      <c r="AX82" s="34"/>
      <c r="AY82" s="13">
        <v>366354.93560880615</v>
      </c>
      <c r="AZ82" s="13">
        <v>222926.04673287229</v>
      </c>
      <c r="BA82" s="13">
        <v>228190.71396795794</v>
      </c>
      <c r="BB82" s="32">
        <v>-1733822.0016617521</v>
      </c>
      <c r="BC82" s="33">
        <v>-919511.14526922605</v>
      </c>
      <c r="BD82" s="33">
        <v>-226599.2</v>
      </c>
      <c r="BE82" s="33">
        <v>-86837.68</v>
      </c>
      <c r="BF82" s="14"/>
      <c r="BG82" s="14">
        <v>495942.82182110875</v>
      </c>
      <c r="BH82" s="33">
        <v>1196552.574217482</v>
      </c>
      <c r="BI82" s="13">
        <v>-368225</v>
      </c>
      <c r="BJ82" s="13">
        <v>2090</v>
      </c>
      <c r="BK82" s="33">
        <v>355205.08750000002</v>
      </c>
    </row>
    <row r="83" spans="1:63" ht="14.25" x14ac:dyDescent="0.2">
      <c r="A83" s="14">
        <v>322</v>
      </c>
      <c r="B83" s="14" t="s">
        <v>388</v>
      </c>
      <c r="C83" s="14">
        <v>6371</v>
      </c>
      <c r="D83" s="14">
        <v>223</v>
      </c>
      <c r="E83" s="14">
        <v>53</v>
      </c>
      <c r="F83" s="14">
        <v>321</v>
      </c>
      <c r="G83" s="14">
        <v>193</v>
      </c>
      <c r="H83" s="14">
        <v>5581</v>
      </c>
      <c r="I83" s="14">
        <v>3111</v>
      </c>
      <c r="K83" s="29">
        <v>193.75</v>
      </c>
      <c r="L83" s="29">
        <v>2729</v>
      </c>
      <c r="M83" s="14">
        <v>271.66666666666669</v>
      </c>
      <c r="N83" s="11">
        <v>279</v>
      </c>
      <c r="O83" s="11">
        <v>3</v>
      </c>
      <c r="P83" s="11">
        <v>4202</v>
      </c>
      <c r="Q83" s="11">
        <v>1</v>
      </c>
      <c r="R83" s="11">
        <v>0</v>
      </c>
      <c r="S83" s="11">
        <v>687.13</v>
      </c>
      <c r="T83" s="14">
        <v>294</v>
      </c>
      <c r="U83" s="14">
        <v>1621</v>
      </c>
      <c r="V83" s="330"/>
      <c r="W83" s="11">
        <v>1.2882500000000001</v>
      </c>
      <c r="X83" s="64">
        <v>2155</v>
      </c>
      <c r="Y83" s="64">
        <v>2522</v>
      </c>
      <c r="Z83" s="331">
        <v>0.9107781569866783</v>
      </c>
      <c r="AA83" s="31">
        <v>0</v>
      </c>
      <c r="AB83" s="11">
        <v>0</v>
      </c>
      <c r="AC83" s="11">
        <v>0</v>
      </c>
      <c r="AE83" s="32">
        <v>-128495.4875</v>
      </c>
      <c r="AF83" s="13">
        <v>-126958.89</v>
      </c>
      <c r="AG83" s="13">
        <v>121282.15696706448</v>
      </c>
      <c r="AH83" s="13">
        <v>-186217.18865312735</v>
      </c>
      <c r="AI83" s="13">
        <v>-9203.2134199564316</v>
      </c>
      <c r="AJ83" s="13">
        <v>618448</v>
      </c>
      <c r="AK83" s="13">
        <v>210429</v>
      </c>
      <c r="AL83" s="13">
        <v>506104.77098058606</v>
      </c>
      <c r="AM83" s="13">
        <v>23784.463471682662</v>
      </c>
      <c r="AN83" s="13">
        <v>39674.238062388489</v>
      </c>
      <c r="AO83" s="13">
        <v>215753.55380291198</v>
      </c>
      <c r="AP83" s="13">
        <v>259976.03473993632</v>
      </c>
      <c r="AQ83" s="13">
        <v>608328.94764582033</v>
      </c>
      <c r="AR83" s="13">
        <v>197346.34516923071</v>
      </c>
      <c r="AS83" s="13">
        <v>324896.34520874429</v>
      </c>
      <c r="AT83" s="34"/>
      <c r="AU83" s="13"/>
      <c r="AV83" s="34"/>
      <c r="AW83" s="34"/>
      <c r="AX83" s="34"/>
      <c r="AY83" s="13">
        <v>410485.27131033037</v>
      </c>
      <c r="AZ83" s="13">
        <v>240625.25481357274</v>
      </c>
      <c r="BA83" s="13">
        <v>248584.81480400308</v>
      </c>
      <c r="BB83" s="32">
        <v>1132721.2076239495</v>
      </c>
      <c r="BC83" s="33">
        <v>803538.70037201862</v>
      </c>
      <c r="BD83" s="33">
        <v>-189855.80000000002</v>
      </c>
      <c r="BE83" s="33">
        <v>-72756.819999999992</v>
      </c>
      <c r="BF83" s="14"/>
      <c r="BG83" s="14">
        <v>1005113.4958127678</v>
      </c>
      <c r="BH83" s="33">
        <v>1660215.4302906964</v>
      </c>
      <c r="BI83" s="13">
        <v>-407036</v>
      </c>
      <c r="BJ83" s="13">
        <v>1332</v>
      </c>
      <c r="BK83" s="33">
        <v>106941.37750000006</v>
      </c>
    </row>
    <row r="84" spans="1:63" ht="14.25" x14ac:dyDescent="0.2">
      <c r="A84" s="14">
        <v>244</v>
      </c>
      <c r="B84" s="14" t="s">
        <v>355</v>
      </c>
      <c r="C84" s="14">
        <v>19657</v>
      </c>
      <c r="D84" s="14">
        <v>1517</v>
      </c>
      <c r="E84" s="14">
        <v>270</v>
      </c>
      <c r="F84" s="14">
        <v>1887</v>
      </c>
      <c r="G84" s="14">
        <v>1045</v>
      </c>
      <c r="H84" s="14">
        <v>14938</v>
      </c>
      <c r="I84" s="14">
        <v>10941</v>
      </c>
      <c r="K84" s="29">
        <v>813.66666666666663</v>
      </c>
      <c r="L84" s="29">
        <v>9240</v>
      </c>
      <c r="M84" s="14">
        <v>1016.4166666666666</v>
      </c>
      <c r="N84" s="11">
        <v>300</v>
      </c>
      <c r="O84" s="11">
        <v>0</v>
      </c>
      <c r="P84" s="11">
        <v>30</v>
      </c>
      <c r="Q84" s="11">
        <v>0</v>
      </c>
      <c r="R84" s="11">
        <v>0</v>
      </c>
      <c r="S84" s="11">
        <v>110.14</v>
      </c>
      <c r="T84" s="14">
        <v>370</v>
      </c>
      <c r="U84" s="14">
        <v>6527</v>
      </c>
      <c r="V84" s="330"/>
      <c r="W84" s="11">
        <v>0</v>
      </c>
      <c r="X84" s="64">
        <v>7038</v>
      </c>
      <c r="Y84" s="64">
        <v>8545</v>
      </c>
      <c r="Z84" s="331">
        <v>1.0405171145567698</v>
      </c>
      <c r="AA84" s="31">
        <v>0.93471999028578168</v>
      </c>
      <c r="AB84" s="11">
        <v>0</v>
      </c>
      <c r="AC84" s="11">
        <v>12</v>
      </c>
      <c r="AE84" s="32">
        <v>-419752</v>
      </c>
      <c r="AF84" s="13">
        <v>-361071.16000000003</v>
      </c>
      <c r="AG84" s="13">
        <v>661114.28346313501</v>
      </c>
      <c r="AH84" s="13">
        <v>-493856.51592389477</v>
      </c>
      <c r="AI84" s="13">
        <v>-120239.25770267</v>
      </c>
      <c r="AJ84" s="13">
        <v>919994</v>
      </c>
      <c r="AK84" s="13">
        <v>296488</v>
      </c>
      <c r="AL84" s="13">
        <v>624369.99195755285</v>
      </c>
      <c r="AM84" s="13">
        <v>3533.4607090591121</v>
      </c>
      <c r="AN84" s="13">
        <v>-19829.646823872132</v>
      </c>
      <c r="AO84" s="13">
        <v>344264.08235237317</v>
      </c>
      <c r="AP84" s="13">
        <v>711241.78541879682</v>
      </c>
      <c r="AQ84" s="13">
        <v>1092587.5394141623</v>
      </c>
      <c r="AR84" s="13">
        <v>278912.67665120785</v>
      </c>
      <c r="AS84" s="13">
        <v>571050.62869571755</v>
      </c>
      <c r="AT84" s="34"/>
      <c r="AU84" s="13"/>
      <c r="AV84" s="34"/>
      <c r="AW84" s="34"/>
      <c r="AX84" s="34"/>
      <c r="AY84" s="13">
        <v>719245.35847386217</v>
      </c>
      <c r="AZ84" s="13">
        <v>494479.59968078649</v>
      </c>
      <c r="BA84" s="13">
        <v>482424.10247488704</v>
      </c>
      <c r="BB84" s="32">
        <v>565142.12860777462</v>
      </c>
      <c r="BC84" s="33">
        <v>-81575.526616963296</v>
      </c>
      <c r="BD84" s="33">
        <v>-585778.6</v>
      </c>
      <c r="BE84" s="33">
        <v>-224482.94</v>
      </c>
      <c r="BF84" s="14"/>
      <c r="BG84" s="14">
        <v>425849.58130542998</v>
      </c>
      <c r="BH84" s="33">
        <v>2929050.2629106198</v>
      </c>
      <c r="BI84" s="13">
        <v>337030</v>
      </c>
      <c r="BJ84" s="13">
        <v>7400</v>
      </c>
      <c r="BK84" s="33">
        <v>301884.57250000001</v>
      </c>
    </row>
    <row r="85" spans="1:63" ht="14.25" x14ac:dyDescent="0.2">
      <c r="A85" s="14">
        <v>245</v>
      </c>
      <c r="B85" s="14" t="s">
        <v>356</v>
      </c>
      <c r="C85" s="14">
        <v>38461</v>
      </c>
      <c r="D85" s="14">
        <v>2115</v>
      </c>
      <c r="E85" s="14">
        <v>379</v>
      </c>
      <c r="F85" s="14">
        <v>2503</v>
      </c>
      <c r="G85" s="14">
        <v>1395</v>
      </c>
      <c r="H85" s="14">
        <v>32069</v>
      </c>
      <c r="I85" s="14">
        <v>23073</v>
      </c>
      <c r="K85" s="29">
        <v>2230.8333333333335</v>
      </c>
      <c r="L85" s="29">
        <v>19230</v>
      </c>
      <c r="M85" s="14">
        <v>3120.5833333333335</v>
      </c>
      <c r="N85" s="11">
        <v>6657</v>
      </c>
      <c r="O85" s="11">
        <v>0</v>
      </c>
      <c r="P85" s="11">
        <v>443</v>
      </c>
      <c r="Q85" s="11">
        <v>0</v>
      </c>
      <c r="R85" s="11">
        <v>0</v>
      </c>
      <c r="S85" s="11">
        <v>30.64</v>
      </c>
      <c r="T85" s="14">
        <v>2842</v>
      </c>
      <c r="U85" s="14">
        <v>13334</v>
      </c>
      <c r="V85" s="330"/>
      <c r="W85" s="11">
        <v>0</v>
      </c>
      <c r="X85" s="64">
        <v>12255</v>
      </c>
      <c r="Y85" s="64">
        <v>17292</v>
      </c>
      <c r="Z85" s="331">
        <v>1.0406829798205335</v>
      </c>
      <c r="AA85" s="31">
        <v>1.0889288487909561</v>
      </c>
      <c r="AB85" s="11">
        <v>0</v>
      </c>
      <c r="AC85" s="11">
        <v>0</v>
      </c>
      <c r="AE85" s="32">
        <v>-4636235.7257500002</v>
      </c>
      <c r="AF85" s="13">
        <v>-712787.05</v>
      </c>
      <c r="AG85" s="13">
        <v>1730561.8999086642</v>
      </c>
      <c r="AH85" s="13">
        <v>-491614.71700679313</v>
      </c>
      <c r="AI85" s="13">
        <v>-12950.966854761122</v>
      </c>
      <c r="AJ85" s="13">
        <v>1849095</v>
      </c>
      <c r="AK85" s="13">
        <v>688975</v>
      </c>
      <c r="AL85" s="13">
        <v>1471577.4084279276</v>
      </c>
      <c r="AM85" s="13">
        <v>31452.156286973168</v>
      </c>
      <c r="AN85" s="13">
        <v>-7625.7181453230778</v>
      </c>
      <c r="AO85" s="13">
        <v>604880.66728492966</v>
      </c>
      <c r="AP85" s="13">
        <v>1576612.4660045509</v>
      </c>
      <c r="AQ85" s="13">
        <v>2363461.9138938366</v>
      </c>
      <c r="AR85" s="13">
        <v>782339.19321220042</v>
      </c>
      <c r="AS85" s="13">
        <v>1291310.6468326058</v>
      </c>
      <c r="AT85" s="34"/>
      <c r="AU85" s="13"/>
      <c r="AV85" s="34"/>
      <c r="AW85" s="34"/>
      <c r="AX85" s="34"/>
      <c r="AY85" s="13">
        <v>1583190.8299106376</v>
      </c>
      <c r="AZ85" s="13">
        <v>1171402.6386964861</v>
      </c>
      <c r="BA85" s="13">
        <v>1103623.2210843726</v>
      </c>
      <c r="BB85" s="32">
        <v>-2323876.9373060782</v>
      </c>
      <c r="BC85" s="33">
        <v>-159245.57206324919</v>
      </c>
      <c r="BD85" s="33">
        <v>-1146137.8</v>
      </c>
      <c r="BE85" s="33">
        <v>-439224.62</v>
      </c>
      <c r="BF85" s="14"/>
      <c r="BG85" s="14">
        <v>2547951.6398592908</v>
      </c>
      <c r="BH85" s="33">
        <v>2199833.6192991151</v>
      </c>
      <c r="BI85" s="13">
        <v>-3219324</v>
      </c>
      <c r="BJ85" s="13">
        <v>11779</v>
      </c>
      <c r="BK85" s="33">
        <v>-1616964.9349999996</v>
      </c>
    </row>
    <row r="86" spans="1:63" ht="14.25" x14ac:dyDescent="0.2">
      <c r="A86" s="14">
        <v>249</v>
      </c>
      <c r="B86" s="14" t="s">
        <v>357</v>
      </c>
      <c r="C86" s="14">
        <v>9128</v>
      </c>
      <c r="D86" s="14">
        <v>301</v>
      </c>
      <c r="E86" s="14">
        <v>77</v>
      </c>
      <c r="F86" s="14">
        <v>513</v>
      </c>
      <c r="G86" s="14">
        <v>317</v>
      </c>
      <c r="H86" s="14">
        <v>7920</v>
      </c>
      <c r="I86" s="14">
        <v>4358</v>
      </c>
      <c r="K86" s="29">
        <v>426.33333333333331</v>
      </c>
      <c r="L86" s="29">
        <v>3697</v>
      </c>
      <c r="M86" s="14">
        <v>695.5</v>
      </c>
      <c r="N86" s="11">
        <v>396</v>
      </c>
      <c r="O86" s="11">
        <v>0</v>
      </c>
      <c r="P86" s="11">
        <v>12</v>
      </c>
      <c r="Q86" s="11">
        <v>0</v>
      </c>
      <c r="R86" s="11">
        <v>0</v>
      </c>
      <c r="S86" s="11">
        <v>1257.99</v>
      </c>
      <c r="T86" s="14">
        <v>361</v>
      </c>
      <c r="U86" s="14">
        <v>2302</v>
      </c>
      <c r="V86" s="330"/>
      <c r="W86" s="11">
        <v>0.77045000000000008</v>
      </c>
      <c r="X86" s="64">
        <v>3143</v>
      </c>
      <c r="Y86" s="64">
        <v>3202</v>
      </c>
      <c r="Z86" s="331">
        <v>0.92846109627629636</v>
      </c>
      <c r="AA86" s="31">
        <v>0</v>
      </c>
      <c r="AB86" s="11">
        <v>0</v>
      </c>
      <c r="AC86" s="11">
        <v>0</v>
      </c>
      <c r="AE86" s="32">
        <v>-391086.39155</v>
      </c>
      <c r="AF86" s="13">
        <v>-182226.06</v>
      </c>
      <c r="AG86" s="13">
        <v>811247.26835366606</v>
      </c>
      <c r="AH86" s="13">
        <v>-143019.05215680477</v>
      </c>
      <c r="AI86" s="13">
        <v>34260.532714615372</v>
      </c>
      <c r="AJ86" s="13">
        <v>840543</v>
      </c>
      <c r="AK86" s="13">
        <v>275658</v>
      </c>
      <c r="AL86" s="13">
        <v>616042.57695795619</v>
      </c>
      <c r="AM86" s="13">
        <v>27456.298720062765</v>
      </c>
      <c r="AN86" s="13">
        <v>-5142.0061319349597</v>
      </c>
      <c r="AO86" s="13">
        <v>332187.67621183069</v>
      </c>
      <c r="AP86" s="13">
        <v>495814.72137684812</v>
      </c>
      <c r="AQ86" s="13">
        <v>841513.24110166484</v>
      </c>
      <c r="AR86" s="13">
        <v>232149.04226322219</v>
      </c>
      <c r="AS86" s="13">
        <v>434604.91427646816</v>
      </c>
      <c r="AT86" s="34"/>
      <c r="AU86" s="13"/>
      <c r="AV86" s="34"/>
      <c r="AW86" s="34"/>
      <c r="AX86" s="34"/>
      <c r="AY86" s="13">
        <v>556004.31152348837</v>
      </c>
      <c r="AZ86" s="13">
        <v>329383.73628972057</v>
      </c>
      <c r="BA86" s="13">
        <v>315125.90464347741</v>
      </c>
      <c r="BB86" s="32">
        <v>321804.04423444072</v>
      </c>
      <c r="BC86" s="33">
        <v>352123.06729358766</v>
      </c>
      <c r="BD86" s="33">
        <v>-272014.40000000002</v>
      </c>
      <c r="BE86" s="33">
        <v>-104241.76</v>
      </c>
      <c r="BF86" s="14"/>
      <c r="BG86" s="14">
        <v>990191.31830365304</v>
      </c>
      <c r="BH86" s="33">
        <v>3315720.9925055983</v>
      </c>
      <c r="BI86" s="13">
        <v>500035</v>
      </c>
      <c r="BJ86" s="13">
        <v>2040</v>
      </c>
      <c r="BK86" s="33">
        <v>-6890.3250000000116</v>
      </c>
    </row>
    <row r="87" spans="1:63" ht="14.25" x14ac:dyDescent="0.2">
      <c r="A87" s="14">
        <v>250</v>
      </c>
      <c r="B87" s="14" t="s">
        <v>358</v>
      </c>
      <c r="C87" s="14">
        <v>1703</v>
      </c>
      <c r="D87" s="14">
        <v>58</v>
      </c>
      <c r="E87" s="14">
        <v>9</v>
      </c>
      <c r="F87" s="14">
        <v>92</v>
      </c>
      <c r="G87" s="14">
        <v>58</v>
      </c>
      <c r="H87" s="14">
        <v>1486</v>
      </c>
      <c r="I87" s="14">
        <v>808</v>
      </c>
      <c r="K87" s="29">
        <v>52.333333333333336</v>
      </c>
      <c r="L87" s="29">
        <v>720</v>
      </c>
      <c r="M87" s="14">
        <v>84.666666666666671</v>
      </c>
      <c r="N87" s="11">
        <v>36</v>
      </c>
      <c r="O87" s="11">
        <v>0</v>
      </c>
      <c r="P87" s="11">
        <v>0</v>
      </c>
      <c r="Q87" s="11">
        <v>0</v>
      </c>
      <c r="R87" s="11">
        <v>0</v>
      </c>
      <c r="S87" s="11">
        <v>357.21</v>
      </c>
      <c r="T87" s="14">
        <v>71</v>
      </c>
      <c r="U87" s="14">
        <v>404</v>
      </c>
      <c r="V87" s="330"/>
      <c r="W87" s="11">
        <v>1.2127166666666667</v>
      </c>
      <c r="X87" s="64">
        <v>544</v>
      </c>
      <c r="Y87" s="64">
        <v>652</v>
      </c>
      <c r="Z87" s="331">
        <v>0.84293039431686512</v>
      </c>
      <c r="AA87" s="31">
        <v>0</v>
      </c>
      <c r="AB87" s="11">
        <v>0</v>
      </c>
      <c r="AC87" s="11">
        <v>0</v>
      </c>
      <c r="AE87" s="32">
        <v>-31540.26</v>
      </c>
      <c r="AF87" s="13">
        <v>-35000.620000000003</v>
      </c>
      <c r="AG87" s="13">
        <v>96046.634196465311</v>
      </c>
      <c r="AH87" s="13">
        <v>-26302.783415464324</v>
      </c>
      <c r="AI87" s="13">
        <v>879.78150898482272</v>
      </c>
      <c r="AJ87" s="13">
        <v>219048</v>
      </c>
      <c r="AK87" s="13">
        <v>68340</v>
      </c>
      <c r="AL87" s="13">
        <v>185745.72702158507</v>
      </c>
      <c r="AM87" s="13">
        <v>10832.417464142347</v>
      </c>
      <c r="AN87" s="13">
        <v>24966.191205261683</v>
      </c>
      <c r="AO87" s="13">
        <v>84210.026105412355</v>
      </c>
      <c r="AP87" s="13">
        <v>132963.33288116619</v>
      </c>
      <c r="AQ87" s="13">
        <v>193905.06881895455</v>
      </c>
      <c r="AR87" s="13">
        <v>61753.686272541767</v>
      </c>
      <c r="AS87" s="13">
        <v>108331.39077097971</v>
      </c>
      <c r="AT87" s="34"/>
      <c r="AU87" s="13"/>
      <c r="AV87" s="34"/>
      <c r="AW87" s="34"/>
      <c r="AX87" s="34"/>
      <c r="AY87" s="13">
        <v>148028.05784063262</v>
      </c>
      <c r="AZ87" s="13">
        <v>79267.656680659013</v>
      </c>
      <c r="BA87" s="13">
        <v>78376.232778609716</v>
      </c>
      <c r="BB87" s="32">
        <v>-33912.46675835787</v>
      </c>
      <c r="BC87" s="33">
        <v>-18680.972671265328</v>
      </c>
      <c r="BD87" s="33">
        <v>-50749.4</v>
      </c>
      <c r="BE87" s="33">
        <v>-19448.259999999998</v>
      </c>
      <c r="BF87" s="14"/>
      <c r="BG87" s="14">
        <v>327375.77190164418</v>
      </c>
      <c r="BH87" s="33">
        <v>816629.76778005401</v>
      </c>
      <c r="BI87" s="13">
        <v>-387834</v>
      </c>
      <c r="BJ87" s="13">
        <v>332</v>
      </c>
      <c r="BK87" s="33">
        <v>54769.249999999993</v>
      </c>
    </row>
    <row r="88" spans="1:63" ht="14.25" x14ac:dyDescent="0.2">
      <c r="A88" s="14">
        <v>256</v>
      </c>
      <c r="B88" s="14" t="s">
        <v>359</v>
      </c>
      <c r="C88" s="14">
        <v>1492</v>
      </c>
      <c r="D88" s="14">
        <v>83</v>
      </c>
      <c r="E88" s="14">
        <v>17</v>
      </c>
      <c r="F88" s="14">
        <v>124</v>
      </c>
      <c r="G88" s="14">
        <v>53</v>
      </c>
      <c r="H88" s="14">
        <v>1215</v>
      </c>
      <c r="I88" s="14">
        <v>639</v>
      </c>
      <c r="K88" s="29">
        <v>65</v>
      </c>
      <c r="L88" s="29">
        <v>573</v>
      </c>
      <c r="M88" s="14">
        <v>90.333333333333329</v>
      </c>
      <c r="N88" s="11">
        <v>18</v>
      </c>
      <c r="O88" s="11">
        <v>0</v>
      </c>
      <c r="P88" s="11">
        <v>1</v>
      </c>
      <c r="Q88" s="11">
        <v>0</v>
      </c>
      <c r="R88" s="11">
        <v>0</v>
      </c>
      <c r="S88" s="11">
        <v>460.21</v>
      </c>
      <c r="T88" s="14">
        <v>30</v>
      </c>
      <c r="U88" s="14">
        <v>289</v>
      </c>
      <c r="V88" s="330"/>
      <c r="W88" s="11">
        <v>1.6751833333333332</v>
      </c>
      <c r="X88" s="64">
        <v>431</v>
      </c>
      <c r="Y88" s="64">
        <v>485</v>
      </c>
      <c r="Z88" s="331">
        <v>0.83935094341731675</v>
      </c>
      <c r="AA88" s="31">
        <v>0</v>
      </c>
      <c r="AB88" s="11">
        <v>0</v>
      </c>
      <c r="AC88" s="11">
        <v>1</v>
      </c>
      <c r="AE88" s="32">
        <v>-24316.22</v>
      </c>
      <c r="AF88" s="13">
        <v>-30678.370000000003</v>
      </c>
      <c r="AG88" s="13">
        <v>56619.720282913098</v>
      </c>
      <c r="AH88" s="13">
        <v>-37248.037078193491</v>
      </c>
      <c r="AI88" s="13">
        <v>2768.2737199048315</v>
      </c>
      <c r="AJ88" s="13">
        <v>175069</v>
      </c>
      <c r="AK88" s="13">
        <v>57344</v>
      </c>
      <c r="AL88" s="13">
        <v>155676.28894759898</v>
      </c>
      <c r="AM88" s="13">
        <v>8712.868785601755</v>
      </c>
      <c r="AN88" s="13">
        <v>29015.687809191466</v>
      </c>
      <c r="AO88" s="13">
        <v>73844.996498780718</v>
      </c>
      <c r="AP88" s="13">
        <v>86849.927610428742</v>
      </c>
      <c r="AQ88" s="13">
        <v>141637.73046884115</v>
      </c>
      <c r="AR88" s="13">
        <v>38890.740848801601</v>
      </c>
      <c r="AS88" s="13">
        <v>73585.135208790874</v>
      </c>
      <c r="AT88" s="34"/>
      <c r="AU88" s="13"/>
      <c r="AV88" s="34"/>
      <c r="AW88" s="34"/>
      <c r="AX88" s="34"/>
      <c r="AY88" s="13">
        <v>100839.37673970064</v>
      </c>
      <c r="AZ88" s="13">
        <v>53588.463313596978</v>
      </c>
      <c r="BA88" s="13">
        <v>53288.014915222993</v>
      </c>
      <c r="BB88" s="32">
        <v>-362507.93580721266</v>
      </c>
      <c r="BC88" s="33">
        <v>-395491.1268833112</v>
      </c>
      <c r="BD88" s="33">
        <v>-44461.599999999999</v>
      </c>
      <c r="BE88" s="33">
        <v>-17038.64</v>
      </c>
      <c r="BF88" s="14"/>
      <c r="BG88" s="14">
        <v>250741.48741032495</v>
      </c>
      <c r="BH88" s="33">
        <v>928869.40732683789</v>
      </c>
      <c r="BI88" s="13">
        <v>556306</v>
      </c>
      <c r="BJ88" s="13">
        <v>414</v>
      </c>
      <c r="BK88" s="33">
        <v>114838.75</v>
      </c>
    </row>
    <row r="89" spans="1:63" ht="14.25" x14ac:dyDescent="0.2">
      <c r="A89" s="14">
        <v>257</v>
      </c>
      <c r="B89" s="14" t="s">
        <v>360</v>
      </c>
      <c r="C89" s="14">
        <v>41635</v>
      </c>
      <c r="D89" s="14">
        <v>2408</v>
      </c>
      <c r="E89" s="14">
        <v>447</v>
      </c>
      <c r="F89" s="14">
        <v>3065</v>
      </c>
      <c r="G89" s="14">
        <v>1780</v>
      </c>
      <c r="H89" s="14">
        <v>33935</v>
      </c>
      <c r="I89" s="14">
        <v>25119</v>
      </c>
      <c r="K89" s="29">
        <v>1835.5833333333333</v>
      </c>
      <c r="L89" s="29">
        <v>21079</v>
      </c>
      <c r="M89" s="14">
        <v>2410.6666666666665</v>
      </c>
      <c r="N89" s="11">
        <v>5377</v>
      </c>
      <c r="O89" s="11">
        <v>1</v>
      </c>
      <c r="P89" s="11">
        <v>6066</v>
      </c>
      <c r="Q89" s="11">
        <v>3</v>
      </c>
      <c r="R89" s="11">
        <v>655</v>
      </c>
      <c r="S89" s="11">
        <v>367.21</v>
      </c>
      <c r="T89" s="14">
        <v>2265</v>
      </c>
      <c r="U89" s="14">
        <v>14749</v>
      </c>
      <c r="V89" s="330"/>
      <c r="W89" s="11">
        <v>0</v>
      </c>
      <c r="X89" s="64">
        <v>10713</v>
      </c>
      <c r="Y89" s="64">
        <v>19771</v>
      </c>
      <c r="Z89" s="331">
        <v>1.0679993065721178</v>
      </c>
      <c r="AA89" s="31">
        <v>0.98146499980238389</v>
      </c>
      <c r="AB89" s="11">
        <v>0</v>
      </c>
      <c r="AC89" s="11">
        <v>9</v>
      </c>
      <c r="AE89" s="32">
        <v>-2540496.4889500001</v>
      </c>
      <c r="AF89" s="13">
        <v>-769975.22000000009</v>
      </c>
      <c r="AG89" s="13">
        <v>1203900.2007343438</v>
      </c>
      <c r="AH89" s="13">
        <v>-858042.26712741191</v>
      </c>
      <c r="AI89" s="13">
        <v>-189170.42122657201</v>
      </c>
      <c r="AJ89" s="13">
        <v>2071727</v>
      </c>
      <c r="AK89" s="13">
        <v>698246</v>
      </c>
      <c r="AL89" s="13">
        <v>1328514.603771267</v>
      </c>
      <c r="AM89" s="13">
        <v>-6999.6527070428774</v>
      </c>
      <c r="AN89" s="13">
        <v>-330038.78972372197</v>
      </c>
      <c r="AO89" s="13">
        <v>466855.07347990322</v>
      </c>
      <c r="AP89" s="13">
        <v>1443673.5638424095</v>
      </c>
      <c r="AQ89" s="13">
        <v>2195705.4524508668</v>
      </c>
      <c r="AR89" s="13">
        <v>680587.71152935817</v>
      </c>
      <c r="AS89" s="13">
        <v>1222246.1061520812</v>
      </c>
      <c r="AT89" s="34"/>
      <c r="AU89" s="13"/>
      <c r="AV89" s="34"/>
      <c r="AW89" s="34"/>
      <c r="AX89" s="34"/>
      <c r="AY89" s="13">
        <v>1501961.2373288022</v>
      </c>
      <c r="AZ89" s="13">
        <v>1080365.8955797006</v>
      </c>
      <c r="BA89" s="13">
        <v>1013777.2027177487</v>
      </c>
      <c r="BB89" s="32">
        <v>6730177.9833535608</v>
      </c>
      <c r="BC89" s="33">
        <v>2637662.6324531757</v>
      </c>
      <c r="BD89" s="33">
        <v>-1240723</v>
      </c>
      <c r="BE89" s="33">
        <v>-475471.7</v>
      </c>
      <c r="BF89" s="14"/>
      <c r="BG89" s="14">
        <v>2278368.8374737212</v>
      </c>
      <c r="BH89" s="33">
        <v>-1111643.2324221192</v>
      </c>
      <c r="BI89" s="13">
        <v>-2287024</v>
      </c>
      <c r="BJ89" s="13">
        <v>13082</v>
      </c>
      <c r="BK89" s="33">
        <v>-574488.79725000006</v>
      </c>
    </row>
    <row r="90" spans="1:63" ht="14.25" x14ac:dyDescent="0.2">
      <c r="A90" s="14">
        <v>260</v>
      </c>
      <c r="B90" s="14" t="s">
        <v>361</v>
      </c>
      <c r="C90" s="14">
        <v>9566</v>
      </c>
      <c r="D90" s="14">
        <v>261</v>
      </c>
      <c r="E90" s="14">
        <v>54</v>
      </c>
      <c r="F90" s="14">
        <v>486</v>
      </c>
      <c r="G90" s="14">
        <v>278</v>
      </c>
      <c r="H90" s="14">
        <v>8487</v>
      </c>
      <c r="I90" s="14">
        <v>4377</v>
      </c>
      <c r="K90" s="29">
        <v>591</v>
      </c>
      <c r="L90" s="29">
        <v>3672</v>
      </c>
      <c r="M90" s="14">
        <v>800.66666666666663</v>
      </c>
      <c r="N90" s="11">
        <v>817</v>
      </c>
      <c r="O90" s="11">
        <v>0</v>
      </c>
      <c r="P90" s="11">
        <v>3</v>
      </c>
      <c r="Q90" s="11">
        <v>3</v>
      </c>
      <c r="R90" s="11">
        <v>362</v>
      </c>
      <c r="S90" s="11">
        <v>1253.81</v>
      </c>
      <c r="T90" s="14">
        <v>400</v>
      </c>
      <c r="U90" s="14">
        <v>2178</v>
      </c>
      <c r="V90" s="330"/>
      <c r="W90" s="11">
        <v>1.2096</v>
      </c>
      <c r="X90" s="64">
        <v>3020</v>
      </c>
      <c r="Y90" s="64">
        <v>3026</v>
      </c>
      <c r="Z90" s="331">
        <v>0.85667677601285042</v>
      </c>
      <c r="AA90" s="31">
        <v>0</v>
      </c>
      <c r="AB90" s="11">
        <v>0</v>
      </c>
      <c r="AC90" s="11">
        <v>1</v>
      </c>
      <c r="AE90" s="32">
        <v>-320949.14994999999</v>
      </c>
      <c r="AF90" s="13">
        <v>-190812.93000000002</v>
      </c>
      <c r="AG90" s="13">
        <v>452936.70176236902</v>
      </c>
      <c r="AH90" s="13">
        <v>-260861.15683367819</v>
      </c>
      <c r="AI90" s="13">
        <v>149080.79292637121</v>
      </c>
      <c r="AJ90" s="13">
        <v>1158136</v>
      </c>
      <c r="AK90" s="13">
        <v>342783</v>
      </c>
      <c r="AL90" s="13">
        <v>900533.85848457483</v>
      </c>
      <c r="AM90" s="13">
        <v>48990.334723299318</v>
      </c>
      <c r="AN90" s="13">
        <v>122919.64991699434</v>
      </c>
      <c r="AO90" s="13">
        <v>445395.39128702896</v>
      </c>
      <c r="AP90" s="13">
        <v>568926.44705143874</v>
      </c>
      <c r="AQ90" s="13">
        <v>934562.57136835251</v>
      </c>
      <c r="AR90" s="13">
        <v>276798.53308393044</v>
      </c>
      <c r="AS90" s="13">
        <v>502502.53184863873</v>
      </c>
      <c r="AT90" s="34"/>
      <c r="AU90" s="13"/>
      <c r="AV90" s="34"/>
      <c r="AW90" s="34"/>
      <c r="AX90" s="34"/>
      <c r="AY90" s="13">
        <v>659193.28197050793</v>
      </c>
      <c r="AZ90" s="13">
        <v>361744.24990345992</v>
      </c>
      <c r="BA90" s="13">
        <v>346458.70973592956</v>
      </c>
      <c r="BB90" s="32">
        <v>2820993.2121783863</v>
      </c>
      <c r="BC90" s="33">
        <v>1314052.6246491715</v>
      </c>
      <c r="BD90" s="33">
        <v>-285066.8</v>
      </c>
      <c r="BE90" s="33">
        <v>-109243.72</v>
      </c>
      <c r="BF90" s="14"/>
      <c r="BG90" s="14">
        <v>1597811.4076348802</v>
      </c>
      <c r="BH90" s="33">
        <v>5526111.7606845228</v>
      </c>
      <c r="BI90" s="13">
        <v>244155</v>
      </c>
      <c r="BJ90" s="13">
        <v>1829</v>
      </c>
      <c r="BK90" s="33">
        <v>-75881.912499999977</v>
      </c>
    </row>
    <row r="91" spans="1:63" ht="14.25" x14ac:dyDescent="0.2">
      <c r="A91" s="14">
        <v>261</v>
      </c>
      <c r="B91" s="14" t="s">
        <v>362</v>
      </c>
      <c r="C91" s="14">
        <v>6837</v>
      </c>
      <c r="D91" s="14">
        <v>348</v>
      </c>
      <c r="E91" s="14">
        <v>48</v>
      </c>
      <c r="F91" s="14">
        <v>434</v>
      </c>
      <c r="G91" s="14">
        <v>213</v>
      </c>
      <c r="H91" s="14">
        <v>5794</v>
      </c>
      <c r="I91" s="14">
        <v>4168</v>
      </c>
      <c r="K91" s="29">
        <v>289.33333333333331</v>
      </c>
      <c r="L91" s="29">
        <v>3599</v>
      </c>
      <c r="M91" s="14">
        <v>407.08333333333331</v>
      </c>
      <c r="N91" s="11">
        <v>378</v>
      </c>
      <c r="O91" s="11">
        <v>0</v>
      </c>
      <c r="P91" s="11">
        <v>28</v>
      </c>
      <c r="Q91" s="11">
        <v>0</v>
      </c>
      <c r="R91" s="11">
        <v>0</v>
      </c>
      <c r="S91" s="11">
        <v>8095.22</v>
      </c>
      <c r="T91" s="14">
        <v>305</v>
      </c>
      <c r="U91" s="14">
        <v>2343</v>
      </c>
      <c r="V91" s="330"/>
      <c r="W91" s="11">
        <v>1.62395</v>
      </c>
      <c r="X91" s="64">
        <v>4037</v>
      </c>
      <c r="Y91" s="64">
        <v>3526</v>
      </c>
      <c r="Z91" s="331">
        <v>0.84278401928493984</v>
      </c>
      <c r="AA91" s="31">
        <v>1.5849809783923769</v>
      </c>
      <c r="AB91" s="11">
        <v>0</v>
      </c>
      <c r="AC91" s="11">
        <v>26</v>
      </c>
      <c r="AE91" s="32">
        <v>-66663.260500000004</v>
      </c>
      <c r="AF91" s="13">
        <v>-123635.56000000001</v>
      </c>
      <c r="AG91" s="13">
        <v>217308.11656047197</v>
      </c>
      <c r="AH91" s="13">
        <v>-253387.23068324896</v>
      </c>
      <c r="AI91" s="13">
        <v>56004.538707233092</v>
      </c>
      <c r="AJ91" s="13">
        <v>488612</v>
      </c>
      <c r="AK91" s="13">
        <v>183601</v>
      </c>
      <c r="AL91" s="13">
        <v>457147.04143089999</v>
      </c>
      <c r="AM91" s="13">
        <v>22043.779874781118</v>
      </c>
      <c r="AN91" s="13">
        <v>46606.325551929287</v>
      </c>
      <c r="AO91" s="13">
        <v>166777.09429675119</v>
      </c>
      <c r="AP91" s="13">
        <v>428469.15121476783</v>
      </c>
      <c r="AQ91" s="13">
        <v>556199.94981960289</v>
      </c>
      <c r="AR91" s="13">
        <v>214044.87345109828</v>
      </c>
      <c r="AS91" s="13">
        <v>316851.00909643696</v>
      </c>
      <c r="AT91" s="34"/>
      <c r="AU91" s="13"/>
      <c r="AV91" s="34"/>
      <c r="AW91" s="34"/>
      <c r="AX91" s="34"/>
      <c r="AY91" s="13">
        <v>426453.61393505306</v>
      </c>
      <c r="AZ91" s="13">
        <v>256027.24057549203</v>
      </c>
      <c r="BA91" s="13">
        <v>277617.71763263369</v>
      </c>
      <c r="BB91" s="32">
        <v>610566.06775582687</v>
      </c>
      <c r="BC91" s="33">
        <v>1614113.5459525648</v>
      </c>
      <c r="BD91" s="33">
        <v>-203742.6</v>
      </c>
      <c r="BE91" s="33">
        <v>-78078.539999999994</v>
      </c>
      <c r="BF91" s="14"/>
      <c r="BG91" s="14">
        <v>777443.07110600802</v>
      </c>
      <c r="BH91" s="33">
        <v>-554564.20339797006</v>
      </c>
      <c r="BI91" s="13">
        <v>357571</v>
      </c>
      <c r="BJ91" s="13">
        <v>1913</v>
      </c>
      <c r="BK91" s="33">
        <v>-171463.08750000005</v>
      </c>
    </row>
    <row r="92" spans="1:63" ht="14.25" x14ac:dyDescent="0.2">
      <c r="A92" s="14">
        <v>263</v>
      </c>
      <c r="B92" s="14" t="s">
        <v>363</v>
      </c>
      <c r="C92" s="14">
        <v>7354</v>
      </c>
      <c r="D92" s="14">
        <v>344</v>
      </c>
      <c r="E92" s="14">
        <v>69</v>
      </c>
      <c r="F92" s="14">
        <v>451</v>
      </c>
      <c r="G92" s="14">
        <v>248</v>
      </c>
      <c r="H92" s="14">
        <v>6242</v>
      </c>
      <c r="I92" s="14">
        <v>3600</v>
      </c>
      <c r="K92" s="29">
        <v>333.66666666666669</v>
      </c>
      <c r="L92" s="29">
        <v>3146</v>
      </c>
      <c r="M92" s="14">
        <v>441.83333333333337</v>
      </c>
      <c r="N92" s="11">
        <v>151</v>
      </c>
      <c r="O92" s="11">
        <v>0</v>
      </c>
      <c r="P92" s="11">
        <v>0</v>
      </c>
      <c r="Q92" s="11">
        <v>0</v>
      </c>
      <c r="R92" s="11">
        <v>0</v>
      </c>
      <c r="S92" s="11">
        <v>1328.32</v>
      </c>
      <c r="T92" s="14">
        <v>243</v>
      </c>
      <c r="U92" s="14">
        <v>1841</v>
      </c>
      <c r="V92" s="330"/>
      <c r="W92" s="11">
        <v>0.83309999999999995</v>
      </c>
      <c r="X92" s="64">
        <v>2231</v>
      </c>
      <c r="Y92" s="64">
        <v>2709</v>
      </c>
      <c r="Z92" s="331">
        <v>0.89375662361786889</v>
      </c>
      <c r="AA92" s="31">
        <v>0</v>
      </c>
      <c r="AB92" s="11">
        <v>0</v>
      </c>
      <c r="AC92" s="11">
        <v>0</v>
      </c>
      <c r="AE92" s="32">
        <v>-287427.77344999998</v>
      </c>
      <c r="AF92" s="13">
        <v>-150875.34</v>
      </c>
      <c r="AG92" s="13">
        <v>321467.68671890185</v>
      </c>
      <c r="AH92" s="13">
        <v>-185829.06729874</v>
      </c>
      <c r="AI92" s="13">
        <v>25958.482783786341</v>
      </c>
      <c r="AJ92" s="13">
        <v>894473</v>
      </c>
      <c r="AK92" s="13">
        <v>268110</v>
      </c>
      <c r="AL92" s="13">
        <v>682456.22900400998</v>
      </c>
      <c r="AM92" s="13">
        <v>33966.257956521804</v>
      </c>
      <c r="AN92" s="13">
        <v>110226.00985128019</v>
      </c>
      <c r="AO92" s="13">
        <v>363392.41017846076</v>
      </c>
      <c r="AP92" s="13">
        <v>470200.3889638611</v>
      </c>
      <c r="AQ92" s="13">
        <v>789309.29366025375</v>
      </c>
      <c r="AR92" s="13">
        <v>215961.57414765589</v>
      </c>
      <c r="AS92" s="13">
        <v>413121.78828615317</v>
      </c>
      <c r="AT92" s="34"/>
      <c r="AU92" s="13"/>
      <c r="AV92" s="34"/>
      <c r="AW92" s="34"/>
      <c r="AX92" s="34"/>
      <c r="AY92" s="13">
        <v>579002.40619078802</v>
      </c>
      <c r="AZ92" s="13">
        <v>310689.53466281173</v>
      </c>
      <c r="BA92" s="13">
        <v>284031.1811357463</v>
      </c>
      <c r="BB92" s="32">
        <v>1100378.9465230771</v>
      </c>
      <c r="BC92" s="33">
        <v>225225.17994365917</v>
      </c>
      <c r="BD92" s="33">
        <v>-219149.2</v>
      </c>
      <c r="BE92" s="33">
        <v>-83982.68</v>
      </c>
      <c r="BF92" s="14"/>
      <c r="BG92" s="14">
        <v>1289955.2854202141</v>
      </c>
      <c r="BH92" s="33">
        <v>4627018.4718615329</v>
      </c>
      <c r="BI92" s="13">
        <v>-363483</v>
      </c>
      <c r="BJ92" s="13">
        <v>1821</v>
      </c>
      <c r="BK92" s="33">
        <v>247521.67499999999</v>
      </c>
    </row>
    <row r="93" spans="1:63" ht="14.25" x14ac:dyDescent="0.2">
      <c r="A93" s="14">
        <v>265</v>
      </c>
      <c r="B93" s="14" t="s">
        <v>364</v>
      </c>
      <c r="C93" s="14">
        <v>1011</v>
      </c>
      <c r="D93" s="14">
        <v>41</v>
      </c>
      <c r="E93" s="14">
        <v>12</v>
      </c>
      <c r="F93" s="14">
        <v>53</v>
      </c>
      <c r="G93" s="14">
        <v>24</v>
      </c>
      <c r="H93" s="14">
        <v>881</v>
      </c>
      <c r="I93" s="14">
        <v>454</v>
      </c>
      <c r="K93" s="29">
        <v>47.583333333333336</v>
      </c>
      <c r="L93" s="29">
        <v>405</v>
      </c>
      <c r="M93" s="14">
        <v>66.25</v>
      </c>
      <c r="N93" s="11">
        <v>22</v>
      </c>
      <c r="O93" s="11">
        <v>0</v>
      </c>
      <c r="P93" s="11">
        <v>0</v>
      </c>
      <c r="Q93" s="11">
        <v>3</v>
      </c>
      <c r="R93" s="11">
        <v>82</v>
      </c>
      <c r="S93" s="11">
        <v>483.95</v>
      </c>
      <c r="T93" s="14">
        <v>43</v>
      </c>
      <c r="U93" s="14">
        <v>215</v>
      </c>
      <c r="V93" s="330"/>
      <c r="W93" s="11">
        <v>1.7096</v>
      </c>
      <c r="X93" s="64">
        <v>237</v>
      </c>
      <c r="Y93" s="64">
        <v>335</v>
      </c>
      <c r="Z93" s="331">
        <v>0.75496194738102562</v>
      </c>
      <c r="AA93" s="31">
        <v>0</v>
      </c>
      <c r="AB93" s="11">
        <v>0</v>
      </c>
      <c r="AC93" s="11">
        <v>0</v>
      </c>
      <c r="AE93" s="32">
        <v>-32747.8</v>
      </c>
      <c r="AF93" s="13">
        <v>-21265.47</v>
      </c>
      <c r="AG93" s="13">
        <v>41838.376239138408</v>
      </c>
      <c r="AH93" s="13">
        <v>-35962.857949102945</v>
      </c>
      <c r="AI93" s="13">
        <v>1575.2194969567645</v>
      </c>
      <c r="AJ93" s="13">
        <v>130215</v>
      </c>
      <c r="AK93" s="13">
        <v>39878</v>
      </c>
      <c r="AL93" s="13">
        <v>113824.44832960851</v>
      </c>
      <c r="AM93" s="13">
        <v>7034.2469685500973</v>
      </c>
      <c r="AN93" s="13">
        <v>18972.256087466867</v>
      </c>
      <c r="AO93" s="13">
        <v>56149.436150356327</v>
      </c>
      <c r="AP93" s="13">
        <v>64664.567997659287</v>
      </c>
      <c r="AQ93" s="13">
        <v>103518.21061302294</v>
      </c>
      <c r="AR93" s="13">
        <v>34343.098103926037</v>
      </c>
      <c r="AS93" s="13">
        <v>61106.554905231227</v>
      </c>
      <c r="AT93" s="34"/>
      <c r="AU93" s="13"/>
      <c r="AV93" s="34"/>
      <c r="AW93" s="34"/>
      <c r="AX93" s="34"/>
      <c r="AY93" s="13">
        <v>72505.267260058521</v>
      </c>
      <c r="AZ93" s="13">
        <v>38856.099635553583</v>
      </c>
      <c r="BA93" s="13">
        <v>41043.706951925633</v>
      </c>
      <c r="BB93" s="32">
        <v>405673.08716618933</v>
      </c>
      <c r="BC93" s="33">
        <v>133102.95936979365</v>
      </c>
      <c r="BD93" s="33">
        <v>-30127.8</v>
      </c>
      <c r="BE93" s="33">
        <v>-11545.62</v>
      </c>
      <c r="BF93" s="14"/>
      <c r="BG93" s="14">
        <v>175037.09210649616</v>
      </c>
      <c r="BH93" s="33">
        <v>426600.81523480034</v>
      </c>
      <c r="BI93" s="13">
        <v>-272240</v>
      </c>
      <c r="BJ93" s="13">
        <v>210</v>
      </c>
      <c r="BK93" s="33">
        <v>-51324.087500000001</v>
      </c>
    </row>
    <row r="94" spans="1:63" ht="14.25" x14ac:dyDescent="0.2">
      <c r="A94" s="14">
        <v>271</v>
      </c>
      <c r="B94" s="14" t="s">
        <v>365</v>
      </c>
      <c r="C94" s="14">
        <v>6668</v>
      </c>
      <c r="D94" s="14">
        <v>246</v>
      </c>
      <c r="E94" s="14">
        <v>52</v>
      </c>
      <c r="F94" s="14">
        <v>355</v>
      </c>
      <c r="G94" s="14">
        <v>195</v>
      </c>
      <c r="H94" s="14">
        <v>5820</v>
      </c>
      <c r="I94" s="14">
        <v>3449</v>
      </c>
      <c r="K94" s="29">
        <v>277.41666666666669</v>
      </c>
      <c r="L94" s="29">
        <v>2965</v>
      </c>
      <c r="M94" s="14">
        <v>413.5</v>
      </c>
      <c r="N94" s="11">
        <v>243</v>
      </c>
      <c r="O94" s="11">
        <v>0</v>
      </c>
      <c r="P94" s="11">
        <v>19</v>
      </c>
      <c r="Q94" s="11">
        <v>0</v>
      </c>
      <c r="R94" s="11">
        <v>0</v>
      </c>
      <c r="S94" s="11">
        <v>480.42</v>
      </c>
      <c r="T94" s="14">
        <v>283</v>
      </c>
      <c r="U94" s="14">
        <v>1792</v>
      </c>
      <c r="V94" s="330"/>
      <c r="W94" s="11">
        <v>0</v>
      </c>
      <c r="X94" s="64">
        <v>2274</v>
      </c>
      <c r="Y94" s="64">
        <v>2602</v>
      </c>
      <c r="Z94" s="331">
        <v>0.84778784719227263</v>
      </c>
      <c r="AA94" s="31">
        <v>0</v>
      </c>
      <c r="AB94" s="11">
        <v>0</v>
      </c>
      <c r="AC94" s="11">
        <v>0</v>
      </c>
      <c r="AE94" s="32">
        <v>-272806.17249999999</v>
      </c>
      <c r="AF94" s="13">
        <v>-134719.73000000001</v>
      </c>
      <c r="AG94" s="13">
        <v>491867.1777064018</v>
      </c>
      <c r="AH94" s="13">
        <v>-56752.977786651616</v>
      </c>
      <c r="AI94" s="13">
        <v>-8795.2859228294401</v>
      </c>
      <c r="AJ94" s="13">
        <v>687986</v>
      </c>
      <c r="AK94" s="13">
        <v>217878</v>
      </c>
      <c r="AL94" s="13">
        <v>550817.71506448451</v>
      </c>
      <c r="AM94" s="13">
        <v>28134.764337881366</v>
      </c>
      <c r="AN94" s="13">
        <v>78832.714251765457</v>
      </c>
      <c r="AO94" s="13">
        <v>250297.46366490252</v>
      </c>
      <c r="AP94" s="13">
        <v>386403.06824146118</v>
      </c>
      <c r="AQ94" s="13">
        <v>667130.23187730578</v>
      </c>
      <c r="AR94" s="13">
        <v>191411.11518916511</v>
      </c>
      <c r="AS94" s="13">
        <v>341146.33984664205</v>
      </c>
      <c r="AT94" s="34"/>
      <c r="AU94" s="13"/>
      <c r="AV94" s="34"/>
      <c r="AW94" s="34"/>
      <c r="AX94" s="34"/>
      <c r="AY94" s="13">
        <v>445519.83668827493</v>
      </c>
      <c r="AZ94" s="13">
        <v>254752.16362010833</v>
      </c>
      <c r="BA94" s="13">
        <v>254062.03929480663</v>
      </c>
      <c r="BB94" s="32">
        <v>-695416.62654656218</v>
      </c>
      <c r="BC94" s="33">
        <v>-200435.75719801482</v>
      </c>
      <c r="BD94" s="33">
        <v>-198706.4</v>
      </c>
      <c r="BE94" s="33">
        <v>-76148.56</v>
      </c>
      <c r="BF94" s="14"/>
      <c r="BG94" s="14">
        <v>907479.63419405057</v>
      </c>
      <c r="BH94" s="33">
        <v>3098942.0266238549</v>
      </c>
      <c r="BI94" s="13">
        <v>-248677</v>
      </c>
      <c r="BJ94" s="13">
        <v>1570</v>
      </c>
      <c r="BK94" s="33">
        <v>202999.57500000001</v>
      </c>
    </row>
    <row r="95" spans="1:63" ht="14.25" x14ac:dyDescent="0.2">
      <c r="A95" s="14">
        <v>272</v>
      </c>
      <c r="B95" s="14" t="s">
        <v>366</v>
      </c>
      <c r="C95" s="14">
        <v>48367</v>
      </c>
      <c r="D95" s="14">
        <v>2912</v>
      </c>
      <c r="E95" s="14">
        <v>536</v>
      </c>
      <c r="F95" s="14">
        <v>3737</v>
      </c>
      <c r="G95" s="14">
        <v>1991</v>
      </c>
      <c r="H95" s="14">
        <v>39191</v>
      </c>
      <c r="I95" s="14">
        <v>26626</v>
      </c>
      <c r="K95" s="29">
        <v>1966.75</v>
      </c>
      <c r="L95" s="29">
        <v>22213</v>
      </c>
      <c r="M95" s="14">
        <v>2913.75</v>
      </c>
      <c r="N95" s="11">
        <v>2717</v>
      </c>
      <c r="O95" s="11">
        <v>1</v>
      </c>
      <c r="P95" s="11">
        <v>5731</v>
      </c>
      <c r="Q95" s="11">
        <v>0</v>
      </c>
      <c r="R95" s="11">
        <v>0</v>
      </c>
      <c r="S95" s="11">
        <v>1446.38</v>
      </c>
      <c r="T95" s="14">
        <v>1348</v>
      </c>
      <c r="U95" s="14">
        <v>14603</v>
      </c>
      <c r="V95" s="330"/>
      <c r="W95" s="11">
        <v>0</v>
      </c>
      <c r="X95" s="64">
        <v>21321</v>
      </c>
      <c r="Y95" s="64">
        <v>20271</v>
      </c>
      <c r="Z95" s="331">
        <v>0.96889288382771399</v>
      </c>
      <c r="AA95" s="31">
        <v>0.31785300525417615</v>
      </c>
      <c r="AB95" s="11">
        <v>0</v>
      </c>
      <c r="AC95" s="11">
        <v>1</v>
      </c>
      <c r="AE95" s="32">
        <v>-1812696.1643000001</v>
      </c>
      <c r="AF95" s="13">
        <v>-917700.12</v>
      </c>
      <c r="AG95" s="13">
        <v>1723871.8277831194</v>
      </c>
      <c r="AH95" s="13">
        <v>-667511.05780339672</v>
      </c>
      <c r="AI95" s="13">
        <v>82732.42714129528</v>
      </c>
      <c r="AJ95" s="13">
        <v>3497904</v>
      </c>
      <c r="AK95" s="13">
        <v>1150390</v>
      </c>
      <c r="AL95" s="13">
        <v>2560170.552761876</v>
      </c>
      <c r="AM95" s="13">
        <v>94908.111185189307</v>
      </c>
      <c r="AN95" s="13">
        <v>213758.12329429368</v>
      </c>
      <c r="AO95" s="13">
        <v>1350195.8835155452</v>
      </c>
      <c r="AP95" s="13">
        <v>2318477.8260197202</v>
      </c>
      <c r="AQ95" s="13">
        <v>3666399.0029617329</v>
      </c>
      <c r="AR95" s="13">
        <v>1089465.1001585778</v>
      </c>
      <c r="AS95" s="13">
        <v>1979008.618864164</v>
      </c>
      <c r="AT95" s="34"/>
      <c r="AU95" s="13"/>
      <c r="AV95" s="34"/>
      <c r="AW95" s="34"/>
      <c r="AX95" s="34"/>
      <c r="AY95" s="13">
        <v>2506295.7796810432</v>
      </c>
      <c r="AZ95" s="13">
        <v>1547086.8261575757</v>
      </c>
      <c r="BA95" s="13">
        <v>1561766.0650295035</v>
      </c>
      <c r="BB95" s="32">
        <v>-9731663.1440515183</v>
      </c>
      <c r="BC95" s="33">
        <v>-3280097.6519746222</v>
      </c>
      <c r="BD95" s="33">
        <v>-1441336.6</v>
      </c>
      <c r="BE95" s="33">
        <v>-552351.14</v>
      </c>
      <c r="BF95" s="14"/>
      <c r="BG95" s="14">
        <v>3767264.1716596684</v>
      </c>
      <c r="BH95" s="33">
        <v>11202580.932091787</v>
      </c>
      <c r="BI95" s="13">
        <v>790147</v>
      </c>
      <c r="BJ95" s="13">
        <v>16302</v>
      </c>
      <c r="BK95" s="33">
        <v>151993.50249999994</v>
      </c>
    </row>
    <row r="96" spans="1:63" ht="14.25" x14ac:dyDescent="0.2">
      <c r="A96" s="14">
        <v>273</v>
      </c>
      <c r="B96" s="14" t="s">
        <v>367</v>
      </c>
      <c r="C96" s="14">
        <v>3987</v>
      </c>
      <c r="D96" s="14">
        <v>189</v>
      </c>
      <c r="E96" s="14">
        <v>33</v>
      </c>
      <c r="F96" s="14">
        <v>279</v>
      </c>
      <c r="G96" s="14">
        <v>151</v>
      </c>
      <c r="H96" s="14">
        <v>3335</v>
      </c>
      <c r="I96" s="14">
        <v>2133</v>
      </c>
      <c r="K96" s="29">
        <v>183.16666666666666</v>
      </c>
      <c r="L96" s="29">
        <v>1932</v>
      </c>
      <c r="M96" s="14">
        <v>245.5</v>
      </c>
      <c r="N96" s="11">
        <v>117</v>
      </c>
      <c r="O96" s="11">
        <v>0</v>
      </c>
      <c r="P96" s="11">
        <v>26</v>
      </c>
      <c r="Q96" s="11">
        <v>0</v>
      </c>
      <c r="R96" s="11">
        <v>0</v>
      </c>
      <c r="S96" s="11">
        <v>2559.39</v>
      </c>
      <c r="T96" s="14">
        <v>170</v>
      </c>
      <c r="U96" s="14">
        <v>1222</v>
      </c>
      <c r="V96" s="330"/>
      <c r="W96" s="11">
        <v>1.8112166666666667</v>
      </c>
      <c r="X96" s="64">
        <v>1703</v>
      </c>
      <c r="Y96" s="64">
        <v>1784</v>
      </c>
      <c r="Z96" s="331">
        <v>0.9064548238756851</v>
      </c>
      <c r="AA96" s="31">
        <v>0</v>
      </c>
      <c r="AB96" s="11">
        <v>0</v>
      </c>
      <c r="AC96" s="11">
        <v>3</v>
      </c>
      <c r="AE96" s="32">
        <v>-35165.447849999997</v>
      </c>
      <c r="AF96" s="13">
        <v>-75399.25</v>
      </c>
      <c r="AG96" s="13">
        <v>110023.6460623637</v>
      </c>
      <c r="AH96" s="13">
        <v>-106603.05790863062</v>
      </c>
      <c r="AI96" s="13">
        <v>22455.01222938126</v>
      </c>
      <c r="AJ96" s="13">
        <v>309744</v>
      </c>
      <c r="AK96" s="13">
        <v>129398</v>
      </c>
      <c r="AL96" s="13">
        <v>320372.58274171664</v>
      </c>
      <c r="AM96" s="13">
        <v>19615.744552480392</v>
      </c>
      <c r="AN96" s="13">
        <v>-4306.0185481817571</v>
      </c>
      <c r="AO96" s="13">
        <v>105900.97151327858</v>
      </c>
      <c r="AP96" s="13">
        <v>256747.69033972229</v>
      </c>
      <c r="AQ96" s="13">
        <v>335575.45699918334</v>
      </c>
      <c r="AR96" s="13">
        <v>129767.92647972985</v>
      </c>
      <c r="AS96" s="13">
        <v>202432.04249117911</v>
      </c>
      <c r="AT96" s="34"/>
      <c r="AU96" s="13"/>
      <c r="AV96" s="34"/>
      <c r="AW96" s="34"/>
      <c r="AX96" s="34"/>
      <c r="AY96" s="13">
        <v>273195.96903554496</v>
      </c>
      <c r="AZ96" s="13">
        <v>154725.4620348303</v>
      </c>
      <c r="BA96" s="13">
        <v>168463.13837399677</v>
      </c>
      <c r="BB96" s="32">
        <v>-708765.87479334534</v>
      </c>
      <c r="BC96" s="33">
        <v>814792.00651170942</v>
      </c>
      <c r="BD96" s="33">
        <v>-118812.6</v>
      </c>
      <c r="BE96" s="33">
        <v>-45531.54</v>
      </c>
      <c r="BF96" s="14"/>
      <c r="BG96" s="14">
        <v>419755.88225645467</v>
      </c>
      <c r="BH96" s="33">
        <v>-5170.1088781886938</v>
      </c>
      <c r="BI96" s="13">
        <v>-193321</v>
      </c>
      <c r="BJ96" s="13">
        <v>1015</v>
      </c>
      <c r="BK96" s="33">
        <v>84892.337499999994</v>
      </c>
    </row>
    <row r="97" spans="1:63" ht="14.25" x14ac:dyDescent="0.2">
      <c r="A97" s="14">
        <v>275</v>
      </c>
      <c r="B97" s="14" t="s">
        <v>368</v>
      </c>
      <c r="C97" s="14">
        <v>2441</v>
      </c>
      <c r="D97" s="14">
        <v>89</v>
      </c>
      <c r="E97" s="14">
        <v>20</v>
      </c>
      <c r="F97" s="14">
        <v>132</v>
      </c>
      <c r="G97" s="14">
        <v>88</v>
      </c>
      <c r="H97" s="14">
        <v>2112</v>
      </c>
      <c r="I97" s="14">
        <v>1154</v>
      </c>
      <c r="K97" s="29">
        <v>112</v>
      </c>
      <c r="L97" s="29">
        <v>1068</v>
      </c>
      <c r="M97" s="14">
        <v>160.91666666666666</v>
      </c>
      <c r="N97" s="11">
        <v>55</v>
      </c>
      <c r="O97" s="11">
        <v>0</v>
      </c>
      <c r="P97" s="11">
        <v>0</v>
      </c>
      <c r="Q97" s="11">
        <v>0</v>
      </c>
      <c r="R97" s="11">
        <v>0</v>
      </c>
      <c r="S97" s="11">
        <v>512.94000000000005</v>
      </c>
      <c r="T97" s="14">
        <v>63</v>
      </c>
      <c r="U97" s="14">
        <v>594</v>
      </c>
      <c r="V97" s="330"/>
      <c r="W97" s="11">
        <v>0.98441666666666672</v>
      </c>
      <c r="X97" s="64">
        <v>762</v>
      </c>
      <c r="Y97" s="64">
        <v>869</v>
      </c>
      <c r="Z97" s="331">
        <v>0.94797427951733582</v>
      </c>
      <c r="AA97" s="31">
        <v>0</v>
      </c>
      <c r="AB97" s="11">
        <v>0</v>
      </c>
      <c r="AC97" s="11">
        <v>0</v>
      </c>
      <c r="AE97" s="32">
        <v>-68916.535000000003</v>
      </c>
      <c r="AF97" s="13">
        <v>-49811.53</v>
      </c>
      <c r="AG97" s="13">
        <v>143997.92338687764</v>
      </c>
      <c r="AH97" s="13">
        <v>-49918.632184431342</v>
      </c>
      <c r="AI97" s="13">
        <v>4052.1260322775415</v>
      </c>
      <c r="AJ97" s="13">
        <v>294459</v>
      </c>
      <c r="AK97" s="13">
        <v>87146</v>
      </c>
      <c r="AL97" s="13">
        <v>235915.45482719719</v>
      </c>
      <c r="AM97" s="13">
        <v>10266.407253946101</v>
      </c>
      <c r="AN97" s="13">
        <v>901.36929787630459</v>
      </c>
      <c r="AO97" s="13">
        <v>107805.71061647929</v>
      </c>
      <c r="AP97" s="13">
        <v>154011.59345537188</v>
      </c>
      <c r="AQ97" s="13">
        <v>238896.83094941953</v>
      </c>
      <c r="AR97" s="13">
        <v>69074.131125764907</v>
      </c>
      <c r="AS97" s="13">
        <v>127791.46348937791</v>
      </c>
      <c r="AT97" s="34"/>
      <c r="AU97" s="13"/>
      <c r="AV97" s="34"/>
      <c r="AW97" s="34"/>
      <c r="AX97" s="34"/>
      <c r="AY97" s="13">
        <v>182832.14522112111</v>
      </c>
      <c r="AZ97" s="13">
        <v>100309.9299488399</v>
      </c>
      <c r="BA97" s="13">
        <v>89389.739050278033</v>
      </c>
      <c r="BB97" s="32">
        <v>182024.72181221083</v>
      </c>
      <c r="BC97" s="33">
        <v>147437.82518489697</v>
      </c>
      <c r="BD97" s="33">
        <v>-72741.8</v>
      </c>
      <c r="BE97" s="33">
        <v>-27876.22</v>
      </c>
      <c r="BF97" s="14"/>
      <c r="BG97" s="14">
        <v>338910.00028411503</v>
      </c>
      <c r="BH97" s="33">
        <v>1249600.0719835062</v>
      </c>
      <c r="BI97" s="13">
        <v>174530</v>
      </c>
      <c r="BJ97" s="13">
        <v>546</v>
      </c>
      <c r="BK97" s="33">
        <v>-1855.0875000000015</v>
      </c>
    </row>
    <row r="98" spans="1:63" ht="14.25" x14ac:dyDescent="0.2">
      <c r="A98" s="14">
        <v>276</v>
      </c>
      <c r="B98" s="14" t="s">
        <v>369</v>
      </c>
      <c r="C98" s="14">
        <v>15071</v>
      </c>
      <c r="D98" s="14">
        <v>1009</v>
      </c>
      <c r="E98" s="14">
        <v>182</v>
      </c>
      <c r="F98" s="14">
        <v>1309</v>
      </c>
      <c r="G98" s="14">
        <v>696</v>
      </c>
      <c r="H98" s="14">
        <v>11875</v>
      </c>
      <c r="I98" s="14">
        <v>8484</v>
      </c>
      <c r="K98" s="29">
        <v>659.83333333333337</v>
      </c>
      <c r="L98" s="29">
        <v>7463</v>
      </c>
      <c r="M98" s="14">
        <v>910.16666666666674</v>
      </c>
      <c r="N98" s="11">
        <v>359</v>
      </c>
      <c r="O98" s="11">
        <v>0</v>
      </c>
      <c r="P98" s="11">
        <v>10</v>
      </c>
      <c r="Q98" s="11">
        <v>0</v>
      </c>
      <c r="R98" s="11">
        <v>0</v>
      </c>
      <c r="S98" s="11">
        <v>799.82</v>
      </c>
      <c r="T98" s="14">
        <v>337</v>
      </c>
      <c r="U98" s="14">
        <v>5208</v>
      </c>
      <c r="V98" s="330"/>
      <c r="W98" s="11">
        <v>0</v>
      </c>
      <c r="X98" s="64">
        <v>3817</v>
      </c>
      <c r="Y98" s="64">
        <v>6731</v>
      </c>
      <c r="Z98" s="331">
        <v>1.0668120145756228</v>
      </c>
      <c r="AA98" s="31">
        <v>8.1150127379692183E-2</v>
      </c>
      <c r="AB98" s="11">
        <v>0</v>
      </c>
      <c r="AC98" s="11">
        <v>1</v>
      </c>
      <c r="AE98" s="32">
        <v>-478836.46</v>
      </c>
      <c r="AF98" s="13">
        <v>-285402.97000000003</v>
      </c>
      <c r="AG98" s="13">
        <v>506644.39112731232</v>
      </c>
      <c r="AH98" s="13">
        <v>-385548.54958778463</v>
      </c>
      <c r="AI98" s="13">
        <v>78816.232506581466</v>
      </c>
      <c r="AJ98" s="13">
        <v>949206</v>
      </c>
      <c r="AK98" s="13">
        <v>298870</v>
      </c>
      <c r="AL98" s="13">
        <v>652050.1110439254</v>
      </c>
      <c r="AM98" s="13">
        <v>10525.031466713928</v>
      </c>
      <c r="AN98" s="13">
        <v>-23583.385672022665</v>
      </c>
      <c r="AO98" s="13">
        <v>307887.29031200556</v>
      </c>
      <c r="AP98" s="13">
        <v>676315.89455412445</v>
      </c>
      <c r="AQ98" s="13">
        <v>1056294.2022494939</v>
      </c>
      <c r="AR98" s="13">
        <v>278307.35855505778</v>
      </c>
      <c r="AS98" s="13">
        <v>547721.41044256464</v>
      </c>
      <c r="AT98" s="34"/>
      <c r="AU98" s="13"/>
      <c r="AV98" s="34"/>
      <c r="AW98" s="34"/>
      <c r="AX98" s="34"/>
      <c r="AY98" s="13">
        <v>709461.04497525224</v>
      </c>
      <c r="AZ98" s="13">
        <v>454415.90287986922</v>
      </c>
      <c r="BA98" s="13">
        <v>462741.91413479659</v>
      </c>
      <c r="BB98" s="32">
        <v>1190534.1531384191</v>
      </c>
      <c r="BC98" s="33">
        <v>-64064.262017270084</v>
      </c>
      <c r="BD98" s="33">
        <v>-449115.8</v>
      </c>
      <c r="BE98" s="33">
        <v>-172110.82</v>
      </c>
      <c r="BF98" s="14"/>
      <c r="BG98" s="14">
        <v>629824.91208977147</v>
      </c>
      <c r="BH98" s="33">
        <v>5169594.8426757194</v>
      </c>
      <c r="BI98" s="13">
        <v>-1667382</v>
      </c>
      <c r="BJ98" s="13">
        <v>4879</v>
      </c>
      <c r="BK98" s="33">
        <v>-294693.89999999991</v>
      </c>
    </row>
    <row r="99" spans="1:63" ht="14.25" x14ac:dyDescent="0.2">
      <c r="A99" s="14">
        <v>280</v>
      </c>
      <c r="B99" s="14" t="s">
        <v>370</v>
      </c>
      <c r="C99" s="14">
        <v>1986</v>
      </c>
      <c r="D99" s="14">
        <v>73</v>
      </c>
      <c r="E99" s="14">
        <v>16</v>
      </c>
      <c r="F99" s="14">
        <v>130</v>
      </c>
      <c r="G99" s="14">
        <v>75</v>
      </c>
      <c r="H99" s="14">
        <v>1692</v>
      </c>
      <c r="I99" s="14">
        <v>1034</v>
      </c>
      <c r="K99" s="29">
        <v>58.416666666666664</v>
      </c>
      <c r="L99" s="29">
        <v>942</v>
      </c>
      <c r="M99" s="14">
        <v>78.666666666666657</v>
      </c>
      <c r="N99" s="11">
        <v>259</v>
      </c>
      <c r="O99" s="11">
        <v>3</v>
      </c>
      <c r="P99" s="11">
        <v>1656</v>
      </c>
      <c r="Q99" s="11">
        <v>0</v>
      </c>
      <c r="R99" s="11">
        <v>0</v>
      </c>
      <c r="S99" s="11">
        <v>236.26</v>
      </c>
      <c r="T99" s="14">
        <v>98</v>
      </c>
      <c r="U99" s="14">
        <v>554</v>
      </c>
      <c r="V99" s="330"/>
      <c r="W99" s="11">
        <v>1.3017666666666665</v>
      </c>
      <c r="X99" s="64">
        <v>595</v>
      </c>
      <c r="Y99" s="64">
        <v>866</v>
      </c>
      <c r="Z99" s="331">
        <v>0.94373110954804029</v>
      </c>
      <c r="AA99" s="31">
        <v>0</v>
      </c>
      <c r="AB99" s="11">
        <v>0</v>
      </c>
      <c r="AC99" s="11">
        <v>0</v>
      </c>
      <c r="AE99" s="32">
        <v>-35251.754399999998</v>
      </c>
      <c r="AF99" s="13">
        <v>-39726.28</v>
      </c>
      <c r="AG99" s="13">
        <v>86845.478161897903</v>
      </c>
      <c r="AH99" s="13">
        <v>-64122.013965304119</v>
      </c>
      <c r="AI99" s="13">
        <v>-8637.7493217280899</v>
      </c>
      <c r="AJ99" s="13">
        <v>215330</v>
      </c>
      <c r="AK99" s="13">
        <v>87084</v>
      </c>
      <c r="AL99" s="13">
        <v>208552.30023377578</v>
      </c>
      <c r="AM99" s="13">
        <v>13536.378379850774</v>
      </c>
      <c r="AN99" s="13">
        <v>38525.12046635463</v>
      </c>
      <c r="AO99" s="13">
        <v>77394.821795280601</v>
      </c>
      <c r="AP99" s="13">
        <v>160512.82890616357</v>
      </c>
      <c r="AQ99" s="13">
        <v>219656.99072288661</v>
      </c>
      <c r="AR99" s="13">
        <v>86132.626176750142</v>
      </c>
      <c r="AS99" s="13">
        <v>127685.51874162783</v>
      </c>
      <c r="AT99" s="34"/>
      <c r="AU99" s="13"/>
      <c r="AV99" s="34"/>
      <c r="AW99" s="34"/>
      <c r="AX99" s="34"/>
      <c r="AY99" s="13">
        <v>178957.23232617538</v>
      </c>
      <c r="AZ99" s="13">
        <v>102573.40620221374</v>
      </c>
      <c r="BA99" s="13">
        <v>106700.32270903929</v>
      </c>
      <c r="BB99" s="32">
        <v>105036.56164960016</v>
      </c>
      <c r="BC99" s="33">
        <v>223232.55175730857</v>
      </c>
      <c r="BD99" s="33">
        <v>-59182.8</v>
      </c>
      <c r="BE99" s="33">
        <v>-22680.12</v>
      </c>
      <c r="BF99" s="14"/>
      <c r="BG99" s="14">
        <v>370477.68291573314</v>
      </c>
      <c r="BH99" s="33">
        <v>989979.73642799642</v>
      </c>
      <c r="BI99" s="13">
        <v>-292822</v>
      </c>
      <c r="BJ99" s="13">
        <v>511</v>
      </c>
      <c r="BK99" s="33">
        <v>-994680.25</v>
      </c>
    </row>
    <row r="100" spans="1:63" ht="14.25" x14ac:dyDescent="0.2">
      <c r="A100" s="14">
        <v>284</v>
      </c>
      <c r="B100" s="14" t="s">
        <v>371</v>
      </c>
      <c r="C100" s="14">
        <v>2186</v>
      </c>
      <c r="D100" s="14">
        <v>90</v>
      </c>
      <c r="E100" s="14">
        <v>21</v>
      </c>
      <c r="F100" s="14">
        <v>117</v>
      </c>
      <c r="G100" s="14">
        <v>70</v>
      </c>
      <c r="H100" s="14">
        <v>1888</v>
      </c>
      <c r="I100" s="14">
        <v>1094</v>
      </c>
      <c r="K100" s="29">
        <v>69.166666666666671</v>
      </c>
      <c r="L100" s="29">
        <v>937</v>
      </c>
      <c r="M100" s="14">
        <v>104</v>
      </c>
      <c r="N100" s="11">
        <v>100</v>
      </c>
      <c r="O100" s="11">
        <v>0</v>
      </c>
      <c r="P100" s="11">
        <v>9</v>
      </c>
      <c r="Q100" s="11">
        <v>0</v>
      </c>
      <c r="R100" s="11">
        <v>0</v>
      </c>
      <c r="S100" s="11">
        <v>191.5</v>
      </c>
      <c r="T100" s="14">
        <v>87</v>
      </c>
      <c r="U100" s="14">
        <v>575</v>
      </c>
      <c r="V100" s="330"/>
      <c r="W100" s="11">
        <v>7.1333333333333335E-3</v>
      </c>
      <c r="X100" s="64">
        <v>856</v>
      </c>
      <c r="Y100" s="64">
        <v>860</v>
      </c>
      <c r="Z100" s="331">
        <v>0.7677561503269198</v>
      </c>
      <c r="AA100" s="31">
        <v>0</v>
      </c>
      <c r="AB100" s="11">
        <v>0</v>
      </c>
      <c r="AC100" s="11">
        <v>0</v>
      </c>
      <c r="AE100" s="32">
        <v>-41055.495000000003</v>
      </c>
      <c r="AF100" s="13">
        <v>-44029.32</v>
      </c>
      <c r="AG100" s="13">
        <v>87024.389776757715</v>
      </c>
      <c r="AH100" s="13">
        <v>-27924.540557979028</v>
      </c>
      <c r="AI100" s="13">
        <v>-4065.7938192472502</v>
      </c>
      <c r="AJ100" s="13">
        <v>238534</v>
      </c>
      <c r="AK100" s="13">
        <v>77683</v>
      </c>
      <c r="AL100" s="13">
        <v>183775.91836874714</v>
      </c>
      <c r="AM100" s="13">
        <v>9914.9148331244687</v>
      </c>
      <c r="AN100" s="13">
        <v>25160.51397010668</v>
      </c>
      <c r="AO100" s="13">
        <v>84042.742812826997</v>
      </c>
      <c r="AP100" s="13">
        <v>143275.3160113607</v>
      </c>
      <c r="AQ100" s="13">
        <v>216829.09495528831</v>
      </c>
      <c r="AR100" s="13">
        <v>70375.328508975159</v>
      </c>
      <c r="AS100" s="13">
        <v>115007.48072680269</v>
      </c>
      <c r="AT100" s="34"/>
      <c r="AU100" s="13"/>
      <c r="AV100" s="34"/>
      <c r="AW100" s="34"/>
      <c r="AX100" s="34"/>
      <c r="AY100" s="13">
        <v>154574.85982862662</v>
      </c>
      <c r="AZ100" s="13">
        <v>90877.086570370069</v>
      </c>
      <c r="BA100" s="13">
        <v>90519.647067337777</v>
      </c>
      <c r="BB100" s="32">
        <v>495986.30034370022</v>
      </c>
      <c r="BC100" s="33">
        <v>359907.78400169307</v>
      </c>
      <c r="BD100" s="33">
        <v>-65142.8</v>
      </c>
      <c r="BE100" s="33">
        <v>-24964.12</v>
      </c>
      <c r="BF100" s="14"/>
      <c r="BG100" s="14">
        <v>417102.6558812274</v>
      </c>
      <c r="BH100" s="33">
        <v>119336.0247958695</v>
      </c>
      <c r="BI100" s="13">
        <v>909714</v>
      </c>
      <c r="BJ100" s="13">
        <v>524</v>
      </c>
      <c r="BK100" s="33">
        <v>1450590.0874999999</v>
      </c>
    </row>
    <row r="101" spans="1:63" ht="14.25" x14ac:dyDescent="0.2">
      <c r="A101" s="14">
        <v>285</v>
      </c>
      <c r="B101" s="14" t="s">
        <v>372</v>
      </c>
      <c r="C101" s="14">
        <v>50210</v>
      </c>
      <c r="D101" s="14">
        <v>1826</v>
      </c>
      <c r="E101" s="14">
        <v>372</v>
      </c>
      <c r="F101" s="14">
        <v>2695</v>
      </c>
      <c r="G101" s="14">
        <v>1583</v>
      </c>
      <c r="H101" s="14">
        <v>43734</v>
      </c>
      <c r="I101" s="14">
        <v>27902</v>
      </c>
      <c r="K101" s="29">
        <v>3125</v>
      </c>
      <c r="L101" s="29">
        <v>22544</v>
      </c>
      <c r="M101" s="14">
        <v>4286.333333333333</v>
      </c>
      <c r="N101" s="11">
        <v>5569</v>
      </c>
      <c r="O101" s="11">
        <v>0</v>
      </c>
      <c r="P101" s="11">
        <v>477</v>
      </c>
      <c r="Q101" s="11">
        <v>3</v>
      </c>
      <c r="R101" s="11">
        <v>432</v>
      </c>
      <c r="S101" s="11">
        <v>272.13</v>
      </c>
      <c r="T101" s="14">
        <v>2530</v>
      </c>
      <c r="U101" s="14">
        <v>14779</v>
      </c>
      <c r="V101" s="330"/>
      <c r="W101" s="11">
        <v>0</v>
      </c>
      <c r="X101" s="64">
        <v>21513</v>
      </c>
      <c r="Y101" s="64">
        <v>19161</v>
      </c>
      <c r="Z101" s="331">
        <v>0.98827490820596953</v>
      </c>
      <c r="AA101" s="31">
        <v>0</v>
      </c>
      <c r="AB101" s="11">
        <v>0</v>
      </c>
      <c r="AC101" s="11">
        <v>2</v>
      </c>
      <c r="AE101" s="32">
        <v>-3940811.9124500002</v>
      </c>
      <c r="AF101" s="13">
        <v>-992542.28</v>
      </c>
      <c r="AG101" s="13">
        <v>2531911.9897187669</v>
      </c>
      <c r="AH101" s="13">
        <v>-237970.7266722568</v>
      </c>
      <c r="AI101" s="13">
        <v>175391.49199599028</v>
      </c>
      <c r="AJ101" s="13">
        <v>3639803</v>
      </c>
      <c r="AK101" s="13">
        <v>1163250</v>
      </c>
      <c r="AL101" s="13">
        <v>2606864.8577143773</v>
      </c>
      <c r="AM101" s="13">
        <v>98405.038500204086</v>
      </c>
      <c r="AN101" s="13">
        <v>187240.83452947697</v>
      </c>
      <c r="AO101" s="13">
        <v>1470501.8591478586</v>
      </c>
      <c r="AP101" s="13">
        <v>2123241.615270677</v>
      </c>
      <c r="AQ101" s="13">
        <v>3781112.1653880496</v>
      </c>
      <c r="AR101" s="13">
        <v>1085904.423377082</v>
      </c>
      <c r="AS101" s="13">
        <v>2130317.2442567786</v>
      </c>
      <c r="AT101" s="34"/>
      <c r="AU101" s="13"/>
      <c r="AV101" s="34"/>
      <c r="AW101" s="34"/>
      <c r="AX101" s="34"/>
      <c r="AY101" s="13">
        <v>2844522.7250904781</v>
      </c>
      <c r="AZ101" s="13">
        <v>1560283.8845192231</v>
      </c>
      <c r="BA101" s="13">
        <v>1498583.3093870406</v>
      </c>
      <c r="BB101" s="32">
        <v>-9374034.1984421462</v>
      </c>
      <c r="BC101" s="33">
        <v>-1099168.2126853298</v>
      </c>
      <c r="BD101" s="33">
        <v>-1496258</v>
      </c>
      <c r="BE101" s="33">
        <v>-573398.19999999995</v>
      </c>
      <c r="BF101" s="14"/>
      <c r="BG101" s="14">
        <v>4004163.6964050005</v>
      </c>
      <c r="BH101" s="33">
        <v>11576244.733103015</v>
      </c>
      <c r="BI101" s="13">
        <v>528252</v>
      </c>
      <c r="BJ101" s="13">
        <v>12972</v>
      </c>
      <c r="BK101" s="33">
        <v>-1181390.3899999999</v>
      </c>
    </row>
    <row r="102" spans="1:63" ht="14.25" x14ac:dyDescent="0.2">
      <c r="A102" s="14">
        <v>286</v>
      </c>
      <c r="B102" s="14" t="s">
        <v>373</v>
      </c>
      <c r="C102" s="14">
        <v>78386</v>
      </c>
      <c r="D102" s="14">
        <v>2939</v>
      </c>
      <c r="E102" s="14">
        <v>557</v>
      </c>
      <c r="F102" s="14">
        <v>4355</v>
      </c>
      <c r="G102" s="14">
        <v>2379</v>
      </c>
      <c r="H102" s="14">
        <v>68156</v>
      </c>
      <c r="I102" s="14">
        <v>42524</v>
      </c>
      <c r="K102" s="29">
        <v>4156.75</v>
      </c>
      <c r="L102" s="29">
        <v>35228</v>
      </c>
      <c r="M102" s="14">
        <v>5570.583333333333</v>
      </c>
      <c r="N102" s="11">
        <v>4632</v>
      </c>
      <c r="O102" s="11">
        <v>0</v>
      </c>
      <c r="P102" s="11">
        <v>279</v>
      </c>
      <c r="Q102" s="11">
        <v>0</v>
      </c>
      <c r="R102" s="11">
        <v>0</v>
      </c>
      <c r="S102" s="11">
        <v>2557.61</v>
      </c>
      <c r="T102" s="14">
        <v>2997</v>
      </c>
      <c r="U102" s="14">
        <v>22342</v>
      </c>
      <c r="V102" s="330"/>
      <c r="W102" s="11">
        <v>0</v>
      </c>
      <c r="X102" s="64">
        <v>29271</v>
      </c>
      <c r="Y102" s="64">
        <v>30734</v>
      </c>
      <c r="Z102" s="331">
        <v>0.95303029842589115</v>
      </c>
      <c r="AA102" s="31">
        <v>0</v>
      </c>
      <c r="AB102" s="11">
        <v>0</v>
      </c>
      <c r="AC102" s="11">
        <v>2</v>
      </c>
      <c r="AE102" s="32">
        <v>-4167116.0166500001</v>
      </c>
      <c r="AF102" s="13">
        <v>-1559602.27</v>
      </c>
      <c r="AG102" s="13">
        <v>3290555.4031940103</v>
      </c>
      <c r="AH102" s="13">
        <v>-65832.713075424035</v>
      </c>
      <c r="AI102" s="13">
        <v>212361.39484469127</v>
      </c>
      <c r="AJ102" s="13">
        <v>6029989</v>
      </c>
      <c r="AK102" s="13">
        <v>1994317</v>
      </c>
      <c r="AL102" s="13">
        <v>4685514.5673859781</v>
      </c>
      <c r="AM102" s="13">
        <v>204266.15495217545</v>
      </c>
      <c r="AN102" s="13">
        <v>546399.83162475517</v>
      </c>
      <c r="AO102" s="13">
        <v>2240686.4328765911</v>
      </c>
      <c r="AP102" s="13">
        <v>3866084.163918898</v>
      </c>
      <c r="AQ102" s="13">
        <v>6539303.3293673741</v>
      </c>
      <c r="AR102" s="13">
        <v>1904548.4230994999</v>
      </c>
      <c r="AS102" s="13">
        <v>3386639.5899784626</v>
      </c>
      <c r="AT102" s="34"/>
      <c r="AU102" s="13"/>
      <c r="AV102" s="34"/>
      <c r="AW102" s="34"/>
      <c r="AX102" s="34"/>
      <c r="AY102" s="13">
        <v>4234185.5331035471</v>
      </c>
      <c r="AZ102" s="13">
        <v>2571912.5844395114</v>
      </c>
      <c r="BA102" s="13">
        <v>2580661.6238749409</v>
      </c>
      <c r="BB102" s="32">
        <v>-15053612.211614927</v>
      </c>
      <c r="BC102" s="33">
        <v>-4706855.8276157351</v>
      </c>
      <c r="BD102" s="33">
        <v>-2335902.8000000003</v>
      </c>
      <c r="BE102" s="33">
        <v>-895168.12</v>
      </c>
      <c r="BF102" s="14"/>
      <c r="BG102" s="14">
        <v>7191673.680669697</v>
      </c>
      <c r="BH102" s="33">
        <v>14599622.428183997</v>
      </c>
      <c r="BI102" s="13">
        <v>-5668504</v>
      </c>
      <c r="BJ102" s="13">
        <v>19512</v>
      </c>
      <c r="BK102" s="33">
        <v>-233211</v>
      </c>
    </row>
    <row r="103" spans="1:63" ht="14.25" x14ac:dyDescent="0.2">
      <c r="A103" s="14">
        <v>287</v>
      </c>
      <c r="B103" s="14" t="s">
        <v>374</v>
      </c>
      <c r="C103" s="14">
        <v>6121</v>
      </c>
      <c r="D103" s="14">
        <v>250</v>
      </c>
      <c r="E103" s="14">
        <v>42</v>
      </c>
      <c r="F103" s="14">
        <v>332</v>
      </c>
      <c r="G103" s="14">
        <v>193</v>
      </c>
      <c r="H103" s="14">
        <v>5304</v>
      </c>
      <c r="I103" s="14">
        <v>2839</v>
      </c>
      <c r="K103" s="29">
        <v>167</v>
      </c>
      <c r="L103" s="29">
        <v>2591</v>
      </c>
      <c r="M103" s="14">
        <v>228.91666666666666</v>
      </c>
      <c r="N103" s="11">
        <v>444</v>
      </c>
      <c r="O103" s="11">
        <v>3</v>
      </c>
      <c r="P103" s="11">
        <v>3220</v>
      </c>
      <c r="Q103" s="11">
        <v>0</v>
      </c>
      <c r="R103" s="11">
        <v>0</v>
      </c>
      <c r="S103" s="11">
        <v>683.21</v>
      </c>
      <c r="T103" s="14">
        <v>265</v>
      </c>
      <c r="U103" s="14">
        <v>1457</v>
      </c>
      <c r="V103" s="330"/>
      <c r="W103" s="11">
        <v>0.94283333333333341</v>
      </c>
      <c r="X103" s="64">
        <v>2355</v>
      </c>
      <c r="Y103" s="64">
        <v>2414</v>
      </c>
      <c r="Z103" s="331">
        <v>0.83911217824400919</v>
      </c>
      <c r="AA103" s="31">
        <v>0</v>
      </c>
      <c r="AB103" s="11">
        <v>0</v>
      </c>
      <c r="AC103" s="11">
        <v>0</v>
      </c>
      <c r="AE103" s="32">
        <v>-89736.749299999996</v>
      </c>
      <c r="AF103" s="13">
        <v>-123020.84000000001</v>
      </c>
      <c r="AG103" s="13">
        <v>89345.671418381593</v>
      </c>
      <c r="AH103" s="13">
        <v>-135002.72087254873</v>
      </c>
      <c r="AI103" s="13">
        <v>-3919.0599237510614</v>
      </c>
      <c r="AJ103" s="13">
        <v>692802</v>
      </c>
      <c r="AK103" s="13">
        <v>228414</v>
      </c>
      <c r="AL103" s="13">
        <v>568548.20017826033</v>
      </c>
      <c r="AM103" s="13">
        <v>30177.065317712404</v>
      </c>
      <c r="AN103" s="13">
        <v>84240.242776620333</v>
      </c>
      <c r="AO103" s="13">
        <v>255219.49443637565</v>
      </c>
      <c r="AP103" s="13">
        <v>392060.77922991442</v>
      </c>
      <c r="AQ103" s="13">
        <v>659173.87447298644</v>
      </c>
      <c r="AR103" s="13">
        <v>219634.13547785871</v>
      </c>
      <c r="AS103" s="13">
        <v>347455.59014017653</v>
      </c>
      <c r="AT103" s="34"/>
      <c r="AU103" s="13"/>
      <c r="AV103" s="34"/>
      <c r="AW103" s="34"/>
      <c r="AX103" s="34"/>
      <c r="AY103" s="13">
        <v>449304.16220015608</v>
      </c>
      <c r="AZ103" s="13">
        <v>255308.97752183783</v>
      </c>
      <c r="BA103" s="13">
        <v>265153.30000721134</v>
      </c>
      <c r="BB103" s="32">
        <v>1344414.7852380527</v>
      </c>
      <c r="BC103" s="33">
        <v>560967.02162362472</v>
      </c>
      <c r="BD103" s="33">
        <v>-182405.80000000002</v>
      </c>
      <c r="BE103" s="33">
        <v>-69901.819999999992</v>
      </c>
      <c r="BF103" s="14"/>
      <c r="BG103" s="14">
        <v>1070927.1138913853</v>
      </c>
      <c r="BH103" s="33">
        <v>1967028.124123727</v>
      </c>
      <c r="BI103" s="13">
        <v>620302</v>
      </c>
      <c r="BJ103" s="13">
        <v>1323</v>
      </c>
      <c r="BK103" s="33">
        <v>1222856.0125</v>
      </c>
    </row>
    <row r="104" spans="1:63" ht="14.25" x14ac:dyDescent="0.2">
      <c r="A104" s="14">
        <v>288</v>
      </c>
      <c r="B104" s="14" t="s">
        <v>375</v>
      </c>
      <c r="C104" s="14">
        <v>6342</v>
      </c>
      <c r="D104" s="14">
        <v>356</v>
      </c>
      <c r="E104" s="14">
        <v>60</v>
      </c>
      <c r="F104" s="14">
        <v>433</v>
      </c>
      <c r="G104" s="14">
        <v>261</v>
      </c>
      <c r="H104" s="14">
        <v>5232</v>
      </c>
      <c r="I104" s="14">
        <v>3334</v>
      </c>
      <c r="K104" s="29">
        <v>142.25</v>
      </c>
      <c r="L104" s="29">
        <v>2949</v>
      </c>
      <c r="M104" s="14">
        <v>211.25</v>
      </c>
      <c r="N104" s="11">
        <v>327</v>
      </c>
      <c r="O104" s="11">
        <v>3</v>
      </c>
      <c r="P104" s="11">
        <v>4784</v>
      </c>
      <c r="Q104" s="11">
        <v>0</v>
      </c>
      <c r="R104" s="11">
        <v>0</v>
      </c>
      <c r="S104" s="11">
        <v>712.98</v>
      </c>
      <c r="T104" s="14">
        <v>235</v>
      </c>
      <c r="U104" s="14">
        <v>1836</v>
      </c>
      <c r="V104" s="330"/>
      <c r="W104" s="11">
        <v>0</v>
      </c>
      <c r="X104" s="64">
        <v>2178</v>
      </c>
      <c r="Y104" s="64">
        <v>2807</v>
      </c>
      <c r="Z104" s="331">
        <v>1.1254225034046723</v>
      </c>
      <c r="AA104" s="31">
        <v>0</v>
      </c>
      <c r="AB104" s="11">
        <v>0</v>
      </c>
      <c r="AC104" s="11">
        <v>0</v>
      </c>
      <c r="AE104" s="32">
        <v>-86294.324999999997</v>
      </c>
      <c r="AF104" s="13">
        <v>-123251.36</v>
      </c>
      <c r="AG104" s="13">
        <v>191605.2700826042</v>
      </c>
      <c r="AH104" s="13">
        <v>-148559.70583317202</v>
      </c>
      <c r="AI104" s="13">
        <v>-16576.99541075321</v>
      </c>
      <c r="AJ104" s="13">
        <v>575682</v>
      </c>
      <c r="AK104" s="13">
        <v>200208</v>
      </c>
      <c r="AL104" s="13">
        <v>498934.73935790296</v>
      </c>
      <c r="AM104" s="13">
        <v>26028.434395778844</v>
      </c>
      <c r="AN104" s="13">
        <v>65840.183743487374</v>
      </c>
      <c r="AO104" s="13">
        <v>210501.86059898874</v>
      </c>
      <c r="AP104" s="13">
        <v>389555.46061370778</v>
      </c>
      <c r="AQ104" s="13">
        <v>647069.59538668487</v>
      </c>
      <c r="AR104" s="13">
        <v>190445.68935750786</v>
      </c>
      <c r="AS104" s="13">
        <v>321821.65584313881</v>
      </c>
      <c r="AT104" s="34"/>
      <c r="AU104" s="13"/>
      <c r="AV104" s="34"/>
      <c r="AW104" s="34"/>
      <c r="AX104" s="34"/>
      <c r="AY104" s="13">
        <v>427756.4741443714</v>
      </c>
      <c r="AZ104" s="13">
        <v>252190.36591983723</v>
      </c>
      <c r="BA104" s="13">
        <v>250217.11944363761</v>
      </c>
      <c r="BB104" s="32">
        <v>3202.2815455690056</v>
      </c>
      <c r="BC104" s="33">
        <v>-65606.995518389653</v>
      </c>
      <c r="BD104" s="33">
        <v>-188991.6</v>
      </c>
      <c r="BE104" s="33">
        <v>-72425.64</v>
      </c>
      <c r="BF104" s="14"/>
      <c r="BG104" s="14">
        <v>920111.58930911496</v>
      </c>
      <c r="BH104" s="33">
        <v>2153558.8922855393</v>
      </c>
      <c r="BI104" s="13">
        <v>324275</v>
      </c>
      <c r="BJ104" s="13">
        <v>1901</v>
      </c>
      <c r="BK104" s="33">
        <v>-630818.08750000002</v>
      </c>
    </row>
    <row r="105" spans="1:63" ht="14.25" x14ac:dyDescent="0.2">
      <c r="A105" s="14">
        <v>290</v>
      </c>
      <c r="B105" s="14" t="s">
        <v>376</v>
      </c>
      <c r="C105" s="14">
        <v>7483</v>
      </c>
      <c r="D105" s="14">
        <v>221</v>
      </c>
      <c r="E105" s="14">
        <v>36</v>
      </c>
      <c r="F105" s="14">
        <v>325</v>
      </c>
      <c r="G105" s="14">
        <v>226</v>
      </c>
      <c r="H105" s="14">
        <v>6675</v>
      </c>
      <c r="I105" s="14">
        <v>3474</v>
      </c>
      <c r="K105" s="29">
        <v>325.25</v>
      </c>
      <c r="L105" s="29">
        <v>3015</v>
      </c>
      <c r="M105" s="14">
        <v>462.58333333333337</v>
      </c>
      <c r="N105" s="11">
        <v>253</v>
      </c>
      <c r="O105" s="11">
        <v>0</v>
      </c>
      <c r="P105" s="11">
        <v>5</v>
      </c>
      <c r="Q105" s="11">
        <v>0</v>
      </c>
      <c r="R105" s="11">
        <v>0</v>
      </c>
      <c r="S105" s="11">
        <v>4807.3</v>
      </c>
      <c r="T105" s="14">
        <v>209</v>
      </c>
      <c r="U105" s="14">
        <v>1741</v>
      </c>
      <c r="V105" s="330"/>
      <c r="W105" s="11">
        <v>1.4461833333333334</v>
      </c>
      <c r="X105" s="64">
        <v>2565</v>
      </c>
      <c r="Y105" s="64">
        <v>2559</v>
      </c>
      <c r="Z105" s="331">
        <v>1.0315814288630305</v>
      </c>
      <c r="AA105" s="31">
        <v>0</v>
      </c>
      <c r="AB105" s="11">
        <v>0</v>
      </c>
      <c r="AC105" s="11">
        <v>0</v>
      </c>
      <c r="AE105" s="32">
        <v>-198269.19899999999</v>
      </c>
      <c r="AF105" s="13">
        <v>-154486.82</v>
      </c>
      <c r="AG105" s="13">
        <v>332602.48980097397</v>
      </c>
      <c r="AH105" s="13">
        <v>-151837.804748183</v>
      </c>
      <c r="AI105" s="13">
        <v>104541.49741076023</v>
      </c>
      <c r="AJ105" s="13">
        <v>879743</v>
      </c>
      <c r="AK105" s="13">
        <v>272146</v>
      </c>
      <c r="AL105" s="13">
        <v>703979.24392603536</v>
      </c>
      <c r="AM105" s="13">
        <v>36783.396774021327</v>
      </c>
      <c r="AN105" s="13">
        <v>141222.52031815654</v>
      </c>
      <c r="AO105" s="13">
        <v>373179.4735321675</v>
      </c>
      <c r="AP105" s="13">
        <v>459507.82671199803</v>
      </c>
      <c r="AQ105" s="13">
        <v>735798.27417832101</v>
      </c>
      <c r="AR105" s="13">
        <v>213856.4882541266</v>
      </c>
      <c r="AS105" s="13">
        <v>397634.08734254126</v>
      </c>
      <c r="AT105" s="34"/>
      <c r="AU105" s="13"/>
      <c r="AV105" s="34"/>
      <c r="AW105" s="34"/>
      <c r="AX105" s="34"/>
      <c r="AY105" s="13">
        <v>536682.60348458448</v>
      </c>
      <c r="AZ105" s="13">
        <v>280999.23511552333</v>
      </c>
      <c r="BA105" s="13">
        <v>270335.14901891927</v>
      </c>
      <c r="BB105" s="32">
        <v>398281.32944976032</v>
      </c>
      <c r="BC105" s="33">
        <v>443544.55379533878</v>
      </c>
      <c r="BD105" s="33">
        <v>-222993.4</v>
      </c>
      <c r="BE105" s="33">
        <v>-85455.86</v>
      </c>
      <c r="BF105" s="14"/>
      <c r="BG105" s="14">
        <v>1112076.5163458271</v>
      </c>
      <c r="BH105" s="33">
        <v>2367937.700322228</v>
      </c>
      <c r="BI105" s="13">
        <v>-197058</v>
      </c>
      <c r="BJ105" s="13">
        <v>1365</v>
      </c>
      <c r="BK105" s="33">
        <v>-38868.5</v>
      </c>
    </row>
    <row r="106" spans="1:63" ht="14.25" x14ac:dyDescent="0.2">
      <c r="A106" s="14">
        <v>291</v>
      </c>
      <c r="B106" s="14" t="s">
        <v>377</v>
      </c>
      <c r="C106" s="14">
        <v>2038</v>
      </c>
      <c r="D106" s="14">
        <v>47</v>
      </c>
      <c r="E106" s="14">
        <v>15</v>
      </c>
      <c r="F106" s="14">
        <v>71</v>
      </c>
      <c r="G106" s="14">
        <v>48</v>
      </c>
      <c r="H106" s="14">
        <v>1857</v>
      </c>
      <c r="I106" s="14">
        <v>861</v>
      </c>
      <c r="K106" s="29">
        <v>73.25</v>
      </c>
      <c r="L106" s="29">
        <v>761</v>
      </c>
      <c r="M106" s="14">
        <v>102.58333333333333</v>
      </c>
      <c r="N106" s="11">
        <v>48</v>
      </c>
      <c r="O106" s="11">
        <v>0</v>
      </c>
      <c r="P106" s="11">
        <v>10</v>
      </c>
      <c r="Q106" s="11">
        <v>3</v>
      </c>
      <c r="R106" s="11">
        <v>167</v>
      </c>
      <c r="S106" s="11">
        <v>660.93</v>
      </c>
      <c r="T106" s="14">
        <v>60</v>
      </c>
      <c r="U106" s="14">
        <v>437</v>
      </c>
      <c r="V106" s="330"/>
      <c r="W106" s="11">
        <v>1.3818166666666667</v>
      </c>
      <c r="X106" s="64">
        <v>552</v>
      </c>
      <c r="Y106" s="64">
        <v>667</v>
      </c>
      <c r="Z106" s="331">
        <v>1.0462675679156674</v>
      </c>
      <c r="AA106" s="31">
        <v>0</v>
      </c>
      <c r="AB106" s="11">
        <v>0</v>
      </c>
      <c r="AC106" s="11">
        <v>2</v>
      </c>
      <c r="AE106" s="32">
        <v>-47217.925000000003</v>
      </c>
      <c r="AF106" s="13">
        <v>-41512.810000000005</v>
      </c>
      <c r="AG106" s="13">
        <v>104221.2387876336</v>
      </c>
      <c r="AH106" s="13">
        <v>-49565.89915331384</v>
      </c>
      <c r="AI106" s="13">
        <v>-4967.8839537965396</v>
      </c>
      <c r="AJ106" s="13">
        <v>263880</v>
      </c>
      <c r="AK106" s="13">
        <v>73319</v>
      </c>
      <c r="AL106" s="13">
        <v>170391.72029912568</v>
      </c>
      <c r="AM106" s="13">
        <v>10287.71598803778</v>
      </c>
      <c r="AN106" s="13">
        <v>30345.713254875387</v>
      </c>
      <c r="AO106" s="13">
        <v>102649.1409805688</v>
      </c>
      <c r="AP106" s="13">
        <v>114930.21923193669</v>
      </c>
      <c r="AQ106" s="13">
        <v>197835.3142036988</v>
      </c>
      <c r="AR106" s="13">
        <v>57829.095093288051</v>
      </c>
      <c r="AS106" s="13">
        <v>105456.41620269901</v>
      </c>
      <c r="AT106" s="34"/>
      <c r="AU106" s="13"/>
      <c r="AV106" s="34"/>
      <c r="AW106" s="34"/>
      <c r="AX106" s="34"/>
      <c r="AY106" s="13">
        <v>133090.26226246919</v>
      </c>
      <c r="AZ106" s="13">
        <v>77860.175468493384</v>
      </c>
      <c r="BA106" s="13">
        <v>67905.503257851291</v>
      </c>
      <c r="BB106" s="32">
        <v>1054656.6899326986</v>
      </c>
      <c r="BC106" s="33">
        <v>851135.05839778855</v>
      </c>
      <c r="BD106" s="33">
        <v>-60732.4</v>
      </c>
      <c r="BE106" s="33">
        <v>-23273.96</v>
      </c>
      <c r="BF106" s="14"/>
      <c r="BG106" s="14">
        <v>323929.20901218418</v>
      </c>
      <c r="BH106" s="33">
        <v>357453.57575062511</v>
      </c>
      <c r="BI106" s="13">
        <v>118109</v>
      </c>
      <c r="BJ106" s="13">
        <v>301</v>
      </c>
      <c r="BK106" s="33">
        <v>8833.75</v>
      </c>
    </row>
    <row r="107" spans="1:63" ht="14.25" x14ac:dyDescent="0.2">
      <c r="A107" s="14">
        <v>297</v>
      </c>
      <c r="B107" s="14" t="s">
        <v>378</v>
      </c>
      <c r="C107" s="14">
        <v>125666</v>
      </c>
      <c r="D107" s="14">
        <v>6301</v>
      </c>
      <c r="E107" s="14">
        <v>1084</v>
      </c>
      <c r="F107" s="14">
        <v>7479</v>
      </c>
      <c r="G107" s="14">
        <v>3863</v>
      </c>
      <c r="H107" s="14">
        <v>106939</v>
      </c>
      <c r="I107" s="14">
        <v>75954</v>
      </c>
      <c r="K107" s="29">
        <v>6632.833333333333</v>
      </c>
      <c r="L107" s="29">
        <v>59661</v>
      </c>
      <c r="M107" s="14">
        <v>8644.5</v>
      </c>
      <c r="N107" s="11">
        <v>8391</v>
      </c>
      <c r="O107" s="11">
        <v>0</v>
      </c>
      <c r="P107" s="11">
        <v>131</v>
      </c>
      <c r="Q107" s="11">
        <v>3</v>
      </c>
      <c r="R107" s="11">
        <v>784</v>
      </c>
      <c r="S107" s="11">
        <v>3241.73</v>
      </c>
      <c r="T107" s="14">
        <v>4208</v>
      </c>
      <c r="U107" s="14">
        <v>39007</v>
      </c>
      <c r="V107" s="330"/>
      <c r="W107" s="11">
        <v>0</v>
      </c>
      <c r="X107" s="64">
        <v>55391</v>
      </c>
      <c r="Y107" s="64">
        <v>53782</v>
      </c>
      <c r="Z107" s="331">
        <v>1.0477900462369285</v>
      </c>
      <c r="AA107" s="31">
        <v>1.1183691940382712</v>
      </c>
      <c r="AB107" s="11">
        <v>0</v>
      </c>
      <c r="AC107" s="11">
        <v>0</v>
      </c>
      <c r="AE107" s="32">
        <v>-9946861.8574999999</v>
      </c>
      <c r="AF107" s="13">
        <v>-2309234.1</v>
      </c>
      <c r="AG107" s="13">
        <v>2566588.426436061</v>
      </c>
      <c r="AH107" s="13">
        <v>-859659.71798057132</v>
      </c>
      <c r="AI107" s="13">
        <v>8825.1470395899378</v>
      </c>
      <c r="AJ107" s="13">
        <v>8192552</v>
      </c>
      <c r="AK107" s="13">
        <v>2780481</v>
      </c>
      <c r="AL107" s="13">
        <v>6685946.6703576334</v>
      </c>
      <c r="AM107" s="13">
        <v>274340.20533327683</v>
      </c>
      <c r="AN107" s="13">
        <v>542984.48595950566</v>
      </c>
      <c r="AO107" s="13">
        <v>3006730.6654707086</v>
      </c>
      <c r="AP107" s="13">
        <v>6029936.9606600516</v>
      </c>
      <c r="AQ107" s="13">
        <v>8709832.9709610548</v>
      </c>
      <c r="AR107" s="13">
        <v>3071318.8947315691</v>
      </c>
      <c r="AS107" s="13">
        <v>5163829.5766633023</v>
      </c>
      <c r="AT107" s="34"/>
      <c r="AU107" s="13"/>
      <c r="AV107" s="34"/>
      <c r="AW107" s="34"/>
      <c r="AX107" s="34"/>
      <c r="AY107" s="13">
        <v>6676813.1039691158</v>
      </c>
      <c r="AZ107" s="13">
        <v>4176087.9500834094</v>
      </c>
      <c r="BA107" s="13">
        <v>4057761.5031701182</v>
      </c>
      <c r="BB107" s="32">
        <v>-12747671.117118452</v>
      </c>
      <c r="BC107" s="33">
        <v>-1124116.9187064259</v>
      </c>
      <c r="BD107" s="33">
        <v>-3744846.8000000003</v>
      </c>
      <c r="BE107" s="33">
        <v>-1435105.72</v>
      </c>
      <c r="BF107" s="14"/>
      <c r="BG107" s="14">
        <v>11932899.55317059</v>
      </c>
      <c r="BH107" s="33">
        <v>24749627.856076535</v>
      </c>
      <c r="BI107" s="13">
        <v>3832807</v>
      </c>
      <c r="BJ107" s="13">
        <v>41247</v>
      </c>
      <c r="BK107" s="33">
        <v>-3804607.7875000006</v>
      </c>
    </row>
    <row r="108" spans="1:63" ht="14.25" x14ac:dyDescent="0.2">
      <c r="A108" s="14">
        <v>300</v>
      </c>
      <c r="B108" s="14" t="s">
        <v>379</v>
      </c>
      <c r="C108" s="14">
        <v>3335</v>
      </c>
      <c r="D108" s="14">
        <v>124</v>
      </c>
      <c r="E108" s="14">
        <v>25</v>
      </c>
      <c r="F108" s="14">
        <v>186</v>
      </c>
      <c r="G108" s="14">
        <v>111</v>
      </c>
      <c r="H108" s="14">
        <v>2889</v>
      </c>
      <c r="I108" s="14">
        <v>1659</v>
      </c>
      <c r="K108" s="29">
        <v>72.916666666666671</v>
      </c>
      <c r="L108" s="29">
        <v>1446</v>
      </c>
      <c r="M108" s="14">
        <v>96.666666666666671</v>
      </c>
      <c r="N108" s="11">
        <v>83</v>
      </c>
      <c r="O108" s="11">
        <v>0</v>
      </c>
      <c r="P108" s="11">
        <v>6</v>
      </c>
      <c r="Q108" s="11">
        <v>0</v>
      </c>
      <c r="R108" s="11">
        <v>0</v>
      </c>
      <c r="S108" s="11">
        <v>462.37</v>
      </c>
      <c r="T108" s="14">
        <v>108</v>
      </c>
      <c r="U108" s="14">
        <v>865</v>
      </c>
      <c r="V108" s="330"/>
      <c r="W108" s="11">
        <v>0.40506666666666669</v>
      </c>
      <c r="X108" s="64">
        <v>1295</v>
      </c>
      <c r="Y108" s="64">
        <v>1343</v>
      </c>
      <c r="Z108" s="331">
        <v>0.9962660108715139</v>
      </c>
      <c r="AA108" s="31">
        <v>0</v>
      </c>
      <c r="AB108" s="11">
        <v>0</v>
      </c>
      <c r="AC108" s="11">
        <v>0</v>
      </c>
      <c r="AE108" s="32">
        <v>-67140.429999999993</v>
      </c>
      <c r="AF108" s="13">
        <v>-67888.14</v>
      </c>
      <c r="AG108" s="13">
        <v>68336.454363216923</v>
      </c>
      <c r="AH108" s="13">
        <v>-84587.759494735074</v>
      </c>
      <c r="AI108" s="13">
        <v>-14528.129123555154</v>
      </c>
      <c r="AJ108" s="13">
        <v>402441</v>
      </c>
      <c r="AK108" s="13">
        <v>120659</v>
      </c>
      <c r="AL108" s="13">
        <v>305156.29299167148</v>
      </c>
      <c r="AM108" s="13">
        <v>18450.74644536792</v>
      </c>
      <c r="AN108" s="13">
        <v>1795.9278249640176</v>
      </c>
      <c r="AO108" s="13">
        <v>137432.4563507495</v>
      </c>
      <c r="AP108" s="13">
        <v>220951.71960317195</v>
      </c>
      <c r="AQ108" s="13">
        <v>351056.0725939158</v>
      </c>
      <c r="AR108" s="13">
        <v>102632.65252673901</v>
      </c>
      <c r="AS108" s="13">
        <v>178955.60971562</v>
      </c>
      <c r="AT108" s="34"/>
      <c r="AU108" s="13"/>
      <c r="AV108" s="34"/>
      <c r="AW108" s="34"/>
      <c r="AX108" s="34"/>
      <c r="AY108" s="13">
        <v>245777.77707706019</v>
      </c>
      <c r="AZ108" s="13">
        <v>136817.47891971437</v>
      </c>
      <c r="BA108" s="13">
        <v>134980.98751311164</v>
      </c>
      <c r="BB108" s="32">
        <v>1409171.1510585283</v>
      </c>
      <c r="BC108" s="32">
        <v>599400.37909800769</v>
      </c>
      <c r="BD108" s="32">
        <v>-99383</v>
      </c>
      <c r="BE108" s="32">
        <v>-38085.699999999997</v>
      </c>
      <c r="BF108" s="14"/>
      <c r="BG108" s="14">
        <v>554576.58785292692</v>
      </c>
      <c r="BH108" s="33">
        <v>1643637.2721073977</v>
      </c>
      <c r="BI108" s="13">
        <v>1923391</v>
      </c>
      <c r="BJ108" s="13">
        <v>820</v>
      </c>
      <c r="BK108" s="33">
        <v>496633.42500000005</v>
      </c>
    </row>
    <row r="109" spans="1:63" ht="14.25" x14ac:dyDescent="0.2">
      <c r="A109" s="14">
        <v>301</v>
      </c>
      <c r="B109" s="14" t="s">
        <v>380</v>
      </c>
      <c r="C109" s="14">
        <v>19509</v>
      </c>
      <c r="D109" s="14">
        <v>806</v>
      </c>
      <c r="E109" s="14">
        <v>162</v>
      </c>
      <c r="F109" s="14">
        <v>1253</v>
      </c>
      <c r="G109" s="14">
        <v>716</v>
      </c>
      <c r="H109" s="14">
        <v>16572</v>
      </c>
      <c r="I109" s="14">
        <v>9759</v>
      </c>
      <c r="K109" s="29">
        <v>615.16666666666663</v>
      </c>
      <c r="L109" s="29">
        <v>8483</v>
      </c>
      <c r="M109" s="14">
        <v>940.08333333333326</v>
      </c>
      <c r="N109" s="11">
        <v>643</v>
      </c>
      <c r="O109" s="11">
        <v>0</v>
      </c>
      <c r="P109" s="11">
        <v>81</v>
      </c>
      <c r="Q109" s="11">
        <v>0</v>
      </c>
      <c r="R109" s="11">
        <v>0</v>
      </c>
      <c r="S109" s="11">
        <v>1724.77</v>
      </c>
      <c r="T109" s="14">
        <v>669</v>
      </c>
      <c r="U109" s="14">
        <v>5280</v>
      </c>
      <c r="V109" s="330"/>
      <c r="W109" s="11">
        <v>0</v>
      </c>
      <c r="X109" s="64">
        <v>6780</v>
      </c>
      <c r="Y109" s="64">
        <v>7691</v>
      </c>
      <c r="Z109" s="331">
        <v>1.0003608626679319</v>
      </c>
      <c r="AA109" s="31">
        <v>0</v>
      </c>
      <c r="AB109" s="11">
        <v>0</v>
      </c>
      <c r="AC109" s="11">
        <v>0</v>
      </c>
      <c r="AE109" s="32">
        <v>-585639.83984999999</v>
      </c>
      <c r="AF109" s="13">
        <v>-392959.76</v>
      </c>
      <c r="AG109" s="13">
        <v>724219.97566554113</v>
      </c>
      <c r="AH109" s="13">
        <v>-257017.93895805685</v>
      </c>
      <c r="AI109" s="13">
        <v>8135.9975855680532</v>
      </c>
      <c r="AJ109" s="13">
        <v>2077689</v>
      </c>
      <c r="AK109" s="13">
        <v>680804</v>
      </c>
      <c r="AL109" s="13">
        <v>1686262.0985350716</v>
      </c>
      <c r="AM109" s="13">
        <v>83240.06106929644</v>
      </c>
      <c r="AN109" s="13">
        <v>147392.01109430741</v>
      </c>
      <c r="AO109" s="13">
        <v>733409.50225792173</v>
      </c>
      <c r="AP109" s="13">
        <v>1300647.7488145032</v>
      </c>
      <c r="AQ109" s="13">
        <v>1980529.4052533626</v>
      </c>
      <c r="AR109" s="13">
        <v>582317.83506982622</v>
      </c>
      <c r="AS109" s="13">
        <v>1046313.1277298393</v>
      </c>
      <c r="AT109" s="34"/>
      <c r="AU109" s="13"/>
      <c r="AV109" s="34"/>
      <c r="AW109" s="34"/>
      <c r="AX109" s="34"/>
      <c r="AY109" s="13">
        <v>1428875.7360085375</v>
      </c>
      <c r="AZ109" s="13">
        <v>790397.88292639551</v>
      </c>
      <c r="BA109" s="13">
        <v>789163.16519491782</v>
      </c>
      <c r="BB109" s="32">
        <v>-1709106.965171943</v>
      </c>
      <c r="BC109" s="33">
        <v>-1534122.3809821026</v>
      </c>
      <c r="BD109" s="33">
        <v>-581368.20000000007</v>
      </c>
      <c r="BE109" s="33">
        <v>-222792.78</v>
      </c>
      <c r="BF109" s="14"/>
      <c r="BG109" s="14">
        <v>3141360.4339566231</v>
      </c>
      <c r="BH109" s="33">
        <v>10355361.918266688</v>
      </c>
      <c r="BI109" s="13">
        <v>-1045042</v>
      </c>
      <c r="BJ109" s="13">
        <v>4973</v>
      </c>
      <c r="BK109" s="33">
        <v>291425.41249999998</v>
      </c>
    </row>
    <row r="110" spans="1:63" ht="14.25" x14ac:dyDescent="0.2">
      <c r="A110" s="14">
        <v>304</v>
      </c>
      <c r="B110" s="14" t="s">
        <v>381</v>
      </c>
      <c r="C110" s="14">
        <v>970</v>
      </c>
      <c r="D110" s="14">
        <v>19</v>
      </c>
      <c r="E110" s="14">
        <v>5</v>
      </c>
      <c r="F110" s="14">
        <v>35</v>
      </c>
      <c r="G110" s="14">
        <v>16</v>
      </c>
      <c r="H110" s="14">
        <v>895</v>
      </c>
      <c r="I110" s="14">
        <v>465</v>
      </c>
      <c r="K110" s="29">
        <v>36.333333333333336</v>
      </c>
      <c r="L110" s="29">
        <v>400</v>
      </c>
      <c r="M110" s="14">
        <v>51.75</v>
      </c>
      <c r="N110" s="11">
        <v>50</v>
      </c>
      <c r="O110" s="11">
        <v>0</v>
      </c>
      <c r="P110" s="11">
        <v>18</v>
      </c>
      <c r="Q110" s="11">
        <v>1</v>
      </c>
      <c r="R110" s="11">
        <v>0</v>
      </c>
      <c r="S110" s="11">
        <v>166.76</v>
      </c>
      <c r="T110" s="14">
        <v>36</v>
      </c>
      <c r="U110" s="14">
        <v>223</v>
      </c>
      <c r="V110" s="330"/>
      <c r="W110" s="11">
        <v>1.30155</v>
      </c>
      <c r="X110" s="64">
        <v>298</v>
      </c>
      <c r="Y110" s="64">
        <v>363</v>
      </c>
      <c r="Z110" s="331">
        <v>0.80728449024083937</v>
      </c>
      <c r="AA110" s="31">
        <v>0</v>
      </c>
      <c r="AB110" s="11">
        <v>0</v>
      </c>
      <c r="AC110" s="11">
        <v>0</v>
      </c>
      <c r="AE110" s="32">
        <v>-18173.96</v>
      </c>
      <c r="AF110" s="13">
        <v>-18480.02</v>
      </c>
      <c r="AG110" s="13">
        <v>17393.835863849803</v>
      </c>
      <c r="AH110" s="13">
        <v>0</v>
      </c>
      <c r="AI110" s="13">
        <v>2367.5602039482219</v>
      </c>
      <c r="AJ110" s="13">
        <v>85842</v>
      </c>
      <c r="AK110" s="13">
        <v>32620</v>
      </c>
      <c r="AL110" s="13">
        <v>75487.329943168224</v>
      </c>
      <c r="AM110" s="13">
        <v>4273.1891553568776</v>
      </c>
      <c r="AN110" s="13">
        <v>8143.4788131841997</v>
      </c>
      <c r="AO110" s="13">
        <v>29434.574132182515</v>
      </c>
      <c r="AP110" s="13">
        <v>45615.810298082986</v>
      </c>
      <c r="AQ110" s="13">
        <v>79648.678302925182</v>
      </c>
      <c r="AR110" s="13">
        <v>28605.933380118007</v>
      </c>
      <c r="AS110" s="13">
        <v>43665.685961733012</v>
      </c>
      <c r="AT110" s="34"/>
      <c r="AU110" s="13"/>
      <c r="AV110" s="34"/>
      <c r="AW110" s="34"/>
      <c r="AX110" s="34"/>
      <c r="AY110" s="13">
        <v>53307.657033444571</v>
      </c>
      <c r="AZ110" s="13">
        <v>33698.084041973554</v>
      </c>
      <c r="BA110" s="13">
        <v>33087.165478755873</v>
      </c>
      <c r="BB110" s="32">
        <v>-267775.09514843271</v>
      </c>
      <c r="BC110" s="32">
        <v>-4015.375662493012</v>
      </c>
      <c r="BD110" s="32">
        <v>-28906</v>
      </c>
      <c r="BE110" s="32">
        <v>-11077.4</v>
      </c>
      <c r="BF110" s="14"/>
      <c r="BG110" s="14">
        <v>152091.24737088001</v>
      </c>
      <c r="BH110" s="33">
        <v>-90313.519966667271</v>
      </c>
      <c r="BI110" s="13">
        <v>-208856</v>
      </c>
      <c r="BJ110" s="13">
        <v>129</v>
      </c>
      <c r="BK110" s="33">
        <v>-257945.5</v>
      </c>
    </row>
    <row r="111" spans="1:63" ht="14.25" x14ac:dyDescent="0.2">
      <c r="A111" s="14">
        <v>305</v>
      </c>
      <c r="B111" s="14" t="s">
        <v>382</v>
      </c>
      <c r="C111" s="14">
        <v>14876</v>
      </c>
      <c r="D111" s="14">
        <v>602</v>
      </c>
      <c r="E111" s="14">
        <v>106</v>
      </c>
      <c r="F111" s="14">
        <v>963</v>
      </c>
      <c r="G111" s="14">
        <v>553</v>
      </c>
      <c r="H111" s="14">
        <v>12652</v>
      </c>
      <c r="I111" s="14">
        <v>7661</v>
      </c>
      <c r="K111" s="29">
        <v>728.58333333333337</v>
      </c>
      <c r="L111" s="29">
        <v>6559</v>
      </c>
      <c r="M111" s="14">
        <v>996.58333333333337</v>
      </c>
      <c r="N111" s="11">
        <v>651</v>
      </c>
      <c r="O111" s="11">
        <v>0</v>
      </c>
      <c r="P111" s="11">
        <v>43</v>
      </c>
      <c r="Q111" s="11">
        <v>0</v>
      </c>
      <c r="R111" s="11">
        <v>0</v>
      </c>
      <c r="S111" s="11">
        <v>4979.17</v>
      </c>
      <c r="T111" s="14">
        <v>488</v>
      </c>
      <c r="U111" s="14">
        <v>4035</v>
      </c>
      <c r="V111" s="330"/>
      <c r="W111" s="11">
        <v>0.90171666666666672</v>
      </c>
      <c r="X111" s="64">
        <v>5985</v>
      </c>
      <c r="Y111" s="64">
        <v>5772</v>
      </c>
      <c r="Z111" s="331">
        <v>0.8279349334059376</v>
      </c>
      <c r="AA111" s="31">
        <v>0</v>
      </c>
      <c r="AB111" s="11">
        <v>0</v>
      </c>
      <c r="AC111" s="11">
        <v>6</v>
      </c>
      <c r="AE111" s="32">
        <v>-416514.81284999999</v>
      </c>
      <c r="AF111" s="13">
        <v>-292241.73000000004</v>
      </c>
      <c r="AG111" s="13">
        <v>826203.6637767629</v>
      </c>
      <c r="AH111" s="13">
        <v>-291822.22997000901</v>
      </c>
      <c r="AI111" s="13">
        <v>28417.665862195659</v>
      </c>
      <c r="AJ111" s="13">
        <v>1313963</v>
      </c>
      <c r="AK111" s="13">
        <v>435634</v>
      </c>
      <c r="AL111" s="13">
        <v>1098414.4865117071</v>
      </c>
      <c r="AM111" s="13">
        <v>52714.551751714826</v>
      </c>
      <c r="AN111" s="13">
        <v>141116.00218029704</v>
      </c>
      <c r="AO111" s="13">
        <v>546955.32508172083</v>
      </c>
      <c r="AP111" s="13">
        <v>838660.79325437604</v>
      </c>
      <c r="AQ111" s="13">
        <v>1266459.4287688755</v>
      </c>
      <c r="AR111" s="13">
        <v>388094.82597514911</v>
      </c>
      <c r="AS111" s="13">
        <v>695696.60555438756</v>
      </c>
      <c r="AT111" s="34"/>
      <c r="AU111" s="13"/>
      <c r="AV111" s="34"/>
      <c r="AW111" s="34"/>
      <c r="AX111" s="34"/>
      <c r="AY111" s="13">
        <v>928099.37177820492</v>
      </c>
      <c r="AZ111" s="13">
        <v>537144.29740270332</v>
      </c>
      <c r="BA111" s="13">
        <v>538113.65114000207</v>
      </c>
      <c r="BB111" s="32">
        <v>708301.42696446052</v>
      </c>
      <c r="BC111" s="33">
        <v>750751.62394537916</v>
      </c>
      <c r="BD111" s="33">
        <v>-443304.8</v>
      </c>
      <c r="BE111" s="33">
        <v>-169883.92</v>
      </c>
      <c r="BF111" s="14"/>
      <c r="BG111" s="14">
        <v>1562818.3498663672</v>
      </c>
      <c r="BH111" s="33">
        <v>3433250.3386248783</v>
      </c>
      <c r="BI111" s="13">
        <v>-171849</v>
      </c>
      <c r="BJ111" s="13">
        <v>3725</v>
      </c>
      <c r="BK111" s="33">
        <v>-210243.25</v>
      </c>
    </row>
    <row r="112" spans="1:63" ht="14.25" x14ac:dyDescent="0.2">
      <c r="A112" s="14">
        <v>312</v>
      </c>
      <c r="B112" s="14" t="s">
        <v>384</v>
      </c>
      <c r="C112" s="14">
        <v>1155</v>
      </c>
      <c r="D112" s="14">
        <v>45</v>
      </c>
      <c r="E112" s="14">
        <v>14</v>
      </c>
      <c r="F112" s="14">
        <v>85</v>
      </c>
      <c r="G112" s="14">
        <v>49</v>
      </c>
      <c r="H112" s="14">
        <v>962</v>
      </c>
      <c r="I112" s="14">
        <v>469</v>
      </c>
      <c r="K112" s="29">
        <v>34.333333333333336</v>
      </c>
      <c r="L112" s="29">
        <v>440</v>
      </c>
      <c r="M112" s="14">
        <v>54.25</v>
      </c>
      <c r="N112" s="11">
        <v>29</v>
      </c>
      <c r="O112" s="11">
        <v>0</v>
      </c>
      <c r="P112" s="11">
        <v>1</v>
      </c>
      <c r="Q112" s="11">
        <v>0</v>
      </c>
      <c r="R112" s="11">
        <v>0</v>
      </c>
      <c r="S112" s="11">
        <v>448.22</v>
      </c>
      <c r="T112" s="14">
        <v>35</v>
      </c>
      <c r="U112" s="14">
        <v>243</v>
      </c>
      <c r="V112" s="330"/>
      <c r="W112" s="11">
        <v>1.3499166666666667</v>
      </c>
      <c r="X112" s="64">
        <v>397</v>
      </c>
      <c r="Y112" s="64">
        <v>374</v>
      </c>
      <c r="Z112" s="331">
        <v>0.82334021954946746</v>
      </c>
      <c r="AA112" s="31">
        <v>0</v>
      </c>
      <c r="AB112" s="11">
        <v>0</v>
      </c>
      <c r="AC112" s="11">
        <v>0</v>
      </c>
      <c r="AE112" s="32">
        <v>-22345.735000000001</v>
      </c>
      <c r="AF112" s="13">
        <v>-24742.48</v>
      </c>
      <c r="AG112" s="13">
        <v>87511.863550312206</v>
      </c>
      <c r="AH112" s="13">
        <v>-24749.087552653938</v>
      </c>
      <c r="AI112" s="13">
        <v>-1929.3742091583663</v>
      </c>
      <c r="AJ112" s="13">
        <v>144901</v>
      </c>
      <c r="AK112" s="13">
        <v>45985</v>
      </c>
      <c r="AL112" s="13">
        <v>129179.66506163221</v>
      </c>
      <c r="AM112" s="13">
        <v>6978.7757563079076</v>
      </c>
      <c r="AN112" s="13">
        <v>17248.587342765153</v>
      </c>
      <c r="AO112" s="13">
        <v>61124.315563230717</v>
      </c>
      <c r="AP112" s="13">
        <v>69743.672955669972</v>
      </c>
      <c r="AQ112" s="13">
        <v>130961.70997997127</v>
      </c>
      <c r="AR112" s="13">
        <v>33993.843416983786</v>
      </c>
      <c r="AS112" s="13">
        <v>69898.033972014266</v>
      </c>
      <c r="AT112" s="34"/>
      <c r="AU112" s="13"/>
      <c r="AV112" s="34"/>
      <c r="AW112" s="34"/>
      <c r="AX112" s="34"/>
      <c r="AY112" s="13">
        <v>90282.750615545679</v>
      </c>
      <c r="AZ112" s="13">
        <v>52029.590349817961</v>
      </c>
      <c r="BA112" s="13">
        <v>44144.137840538402</v>
      </c>
      <c r="BB112" s="32">
        <v>-92523.861880266297</v>
      </c>
      <c r="BC112" s="33">
        <v>-96903.279869666032</v>
      </c>
      <c r="BD112" s="33">
        <v>-34419</v>
      </c>
      <c r="BE112" s="33">
        <v>-13190.1</v>
      </c>
      <c r="BF112" s="14"/>
      <c r="BG112" s="14">
        <v>200853.25067884152</v>
      </c>
      <c r="BH112" s="33">
        <v>388029.66696440201</v>
      </c>
      <c r="BI112" s="13">
        <v>-345827</v>
      </c>
      <c r="BJ112" s="13">
        <v>253</v>
      </c>
      <c r="BK112" s="33">
        <v>88.337499999999636</v>
      </c>
    </row>
    <row r="113" spans="1:63" ht="14.25" x14ac:dyDescent="0.2">
      <c r="A113" s="14">
        <v>316</v>
      </c>
      <c r="B113" s="14" t="s">
        <v>385</v>
      </c>
      <c r="C113" s="14">
        <v>4093</v>
      </c>
      <c r="D113" s="14">
        <v>136</v>
      </c>
      <c r="E113" s="14">
        <v>33</v>
      </c>
      <c r="F113" s="14">
        <v>233</v>
      </c>
      <c r="G113" s="14">
        <v>133</v>
      </c>
      <c r="H113" s="14">
        <v>3558</v>
      </c>
      <c r="I113" s="14">
        <v>2247</v>
      </c>
      <c r="K113" s="29">
        <v>197.58333333333334</v>
      </c>
      <c r="L113" s="29">
        <v>1925</v>
      </c>
      <c r="M113" s="14">
        <v>299.83333333333337</v>
      </c>
      <c r="N113" s="11">
        <v>224</v>
      </c>
      <c r="O113" s="11">
        <v>0</v>
      </c>
      <c r="P113" s="11">
        <v>22</v>
      </c>
      <c r="Q113" s="11">
        <v>0</v>
      </c>
      <c r="R113" s="11">
        <v>0</v>
      </c>
      <c r="S113" s="11">
        <v>256.68</v>
      </c>
      <c r="T113" s="14">
        <v>254</v>
      </c>
      <c r="U113" s="14">
        <v>1175</v>
      </c>
      <c r="V113" s="330"/>
      <c r="W113" s="11">
        <v>0</v>
      </c>
      <c r="X113" s="64">
        <v>1566</v>
      </c>
      <c r="Y113" s="64">
        <v>1693</v>
      </c>
      <c r="Z113" s="331">
        <v>0.97881299549718415</v>
      </c>
      <c r="AA113" s="31">
        <v>0</v>
      </c>
      <c r="AB113" s="11">
        <v>0</v>
      </c>
      <c r="AC113" s="11">
        <v>0</v>
      </c>
      <c r="AE113" s="32">
        <v>-310841.68</v>
      </c>
      <c r="AF113" s="13">
        <v>-83102.460000000006</v>
      </c>
      <c r="AG113" s="13">
        <v>221465.72235582871</v>
      </c>
      <c r="AH113" s="13">
        <v>-15223.634432285022</v>
      </c>
      <c r="AI113" s="13">
        <v>36362.393355928725</v>
      </c>
      <c r="AJ113" s="13">
        <v>389680</v>
      </c>
      <c r="AK113" s="13">
        <v>123884</v>
      </c>
      <c r="AL113" s="13">
        <v>273763.61576453398</v>
      </c>
      <c r="AM113" s="13">
        <v>13590.197081574734</v>
      </c>
      <c r="AN113" s="13">
        <v>61909.680832856684</v>
      </c>
      <c r="AO113" s="13">
        <v>128987.01462709896</v>
      </c>
      <c r="AP113" s="13">
        <v>247071.45361683314</v>
      </c>
      <c r="AQ113" s="13">
        <v>415674.04633404157</v>
      </c>
      <c r="AR113" s="13">
        <v>112439.5435973581</v>
      </c>
      <c r="AS113" s="13">
        <v>194656.08423247086</v>
      </c>
      <c r="AT113" s="34"/>
      <c r="AU113" s="13"/>
      <c r="AV113" s="34"/>
      <c r="AW113" s="34"/>
      <c r="AX113" s="34"/>
      <c r="AY113" s="13">
        <v>267585.24522862566</v>
      </c>
      <c r="AZ113" s="13">
        <v>156440.36653986745</v>
      </c>
      <c r="BA113" s="13">
        <v>151920.66194798614</v>
      </c>
      <c r="BB113" s="32">
        <v>-213263.92770545735</v>
      </c>
      <c r="BC113" s="33">
        <v>-69605.367111538551</v>
      </c>
      <c r="BD113" s="33">
        <v>-121971.40000000001</v>
      </c>
      <c r="BE113" s="33">
        <v>-46742.06</v>
      </c>
      <c r="BF113" s="14"/>
      <c r="BG113" s="14">
        <v>482181.24951287732</v>
      </c>
      <c r="BH113" s="33">
        <v>443932.88550476247</v>
      </c>
      <c r="BI113" s="13">
        <v>-736743</v>
      </c>
      <c r="BJ113" s="13">
        <v>905</v>
      </c>
      <c r="BK113" s="33">
        <v>38780.162500000006</v>
      </c>
    </row>
    <row r="114" spans="1:63" ht="14.25" x14ac:dyDescent="0.2">
      <c r="A114" s="14">
        <v>317</v>
      </c>
      <c r="B114" s="14" t="s">
        <v>386</v>
      </c>
      <c r="C114" s="14">
        <v>2373</v>
      </c>
      <c r="D114" s="14">
        <v>122</v>
      </c>
      <c r="E114" s="14">
        <v>24</v>
      </c>
      <c r="F114" s="14">
        <v>176</v>
      </c>
      <c r="G114" s="14">
        <v>111</v>
      </c>
      <c r="H114" s="14">
        <v>1940</v>
      </c>
      <c r="I114" s="14">
        <v>1134</v>
      </c>
      <c r="K114" s="29">
        <v>95.75</v>
      </c>
      <c r="L114" s="29">
        <v>981</v>
      </c>
      <c r="M114" s="14">
        <v>129.08333333333334</v>
      </c>
      <c r="N114" s="11">
        <v>34</v>
      </c>
      <c r="O114" s="11">
        <v>0</v>
      </c>
      <c r="P114" s="11">
        <v>2</v>
      </c>
      <c r="Q114" s="11">
        <v>0</v>
      </c>
      <c r="R114" s="11">
        <v>0</v>
      </c>
      <c r="S114" s="11">
        <v>698.27</v>
      </c>
      <c r="T114" s="14">
        <v>76</v>
      </c>
      <c r="U114" s="14">
        <v>572</v>
      </c>
      <c r="V114" s="330"/>
      <c r="W114" s="11">
        <v>1.2173500000000002</v>
      </c>
      <c r="X114" s="64">
        <v>945</v>
      </c>
      <c r="Y114" s="64">
        <v>857</v>
      </c>
      <c r="Z114" s="331">
        <v>0.81382833275628985</v>
      </c>
      <c r="AA114" s="31">
        <v>0</v>
      </c>
      <c r="AB114" s="11">
        <v>0</v>
      </c>
      <c r="AC114" s="11">
        <v>0</v>
      </c>
      <c r="AE114" s="32">
        <v>-70954.167499999996</v>
      </c>
      <c r="AF114" s="13">
        <v>-48754.98</v>
      </c>
      <c r="AG114" s="13">
        <v>72162.395143372414</v>
      </c>
      <c r="AH114" s="13">
        <v>-92212.643879894313</v>
      </c>
      <c r="AI114" s="13">
        <v>-7762.4271767028622</v>
      </c>
      <c r="AJ114" s="13">
        <v>296680</v>
      </c>
      <c r="AK114" s="13">
        <v>93301</v>
      </c>
      <c r="AL114" s="13">
        <v>241156.9708270324</v>
      </c>
      <c r="AM114" s="13">
        <v>12942.928733045273</v>
      </c>
      <c r="AN114" s="13">
        <v>34878.62628951513</v>
      </c>
      <c r="AO114" s="13">
        <v>119431.05590188224</v>
      </c>
      <c r="AP114" s="13">
        <v>172131.00315916064</v>
      </c>
      <c r="AQ114" s="13">
        <v>235013.86050171551</v>
      </c>
      <c r="AR114" s="13">
        <v>78449.331645717946</v>
      </c>
      <c r="AS114" s="13">
        <v>136398.27916938005</v>
      </c>
      <c r="AT114" s="34"/>
      <c r="AU114" s="13"/>
      <c r="AV114" s="34"/>
      <c r="AW114" s="34"/>
      <c r="AX114" s="34"/>
      <c r="AY114" s="13">
        <v>188629.82254182707</v>
      </c>
      <c r="AZ114" s="13">
        <v>103257.26256105775</v>
      </c>
      <c r="BA114" s="13">
        <v>104314.36724106102</v>
      </c>
      <c r="BB114" s="32">
        <v>603531.88054677029</v>
      </c>
      <c r="BC114" s="33">
        <v>140512.39580791583</v>
      </c>
      <c r="BD114" s="33">
        <v>-70715.400000000009</v>
      </c>
      <c r="BE114" s="33">
        <v>-27099.66</v>
      </c>
      <c r="BF114" s="14"/>
      <c r="BG114" s="14">
        <v>451733.10934786889</v>
      </c>
      <c r="BH114" s="33">
        <v>1621605.52445666</v>
      </c>
      <c r="BI114" s="13">
        <v>161977</v>
      </c>
      <c r="BJ114" s="13">
        <v>693</v>
      </c>
      <c r="BK114" s="33">
        <v>-28268</v>
      </c>
    </row>
    <row r="115" spans="1:63" ht="14.25" x14ac:dyDescent="0.2">
      <c r="A115" s="14">
        <v>398</v>
      </c>
      <c r="B115" s="14" t="s">
        <v>389</v>
      </c>
      <c r="C115" s="14">
        <v>121337</v>
      </c>
      <c r="D115" s="14">
        <v>5541</v>
      </c>
      <c r="E115" s="14">
        <v>1057</v>
      </c>
      <c r="F115" s="14">
        <v>7002</v>
      </c>
      <c r="G115" s="14">
        <v>3931</v>
      </c>
      <c r="H115" s="14">
        <v>103806</v>
      </c>
      <c r="I115" s="14">
        <v>69925</v>
      </c>
      <c r="K115" s="29">
        <v>8076.5</v>
      </c>
      <c r="L115" s="29">
        <v>56479</v>
      </c>
      <c r="M115" s="14">
        <v>10917.5</v>
      </c>
      <c r="N115" s="11">
        <v>12533</v>
      </c>
      <c r="O115" s="11">
        <v>0</v>
      </c>
      <c r="P115" s="11">
        <v>537</v>
      </c>
      <c r="Q115" s="11">
        <v>0</v>
      </c>
      <c r="R115" s="11">
        <v>0</v>
      </c>
      <c r="S115" s="11">
        <v>459.55</v>
      </c>
      <c r="T115" s="14">
        <v>6146</v>
      </c>
      <c r="U115" s="14">
        <v>37534</v>
      </c>
      <c r="V115" s="330"/>
      <c r="W115" s="11">
        <v>0</v>
      </c>
      <c r="X115" s="64">
        <v>51282</v>
      </c>
      <c r="Y115" s="64">
        <v>48395</v>
      </c>
      <c r="Z115" s="331">
        <v>0.9784197009703236</v>
      </c>
      <c r="AA115" s="31">
        <v>0.36264295704155902</v>
      </c>
      <c r="AB115" s="11">
        <v>0</v>
      </c>
      <c r="AC115" s="11">
        <v>19</v>
      </c>
      <c r="AE115" s="32">
        <v>-12628062.795050001</v>
      </c>
      <c r="AF115" s="13">
        <v>-2304892.64</v>
      </c>
      <c r="AG115" s="13">
        <v>3107047.1546566971</v>
      </c>
      <c r="AH115" s="13">
        <v>-1687568.4393553536</v>
      </c>
      <c r="AI115" s="13">
        <v>366420.25968400668</v>
      </c>
      <c r="AJ115" s="13">
        <v>8053889</v>
      </c>
      <c r="AK115" s="13">
        <v>2744547</v>
      </c>
      <c r="AL115" s="13">
        <v>6470503.7430433687</v>
      </c>
      <c r="AM115" s="13">
        <v>262175.49585462728</v>
      </c>
      <c r="AN115" s="13">
        <v>117375.99346749118</v>
      </c>
      <c r="AO115" s="13">
        <v>3024360.3881341554</v>
      </c>
      <c r="AP115" s="13">
        <v>5639445.0988301244</v>
      </c>
      <c r="AQ115" s="13">
        <v>8570366.7796735</v>
      </c>
      <c r="AR115" s="13">
        <v>2792435.931143376</v>
      </c>
      <c r="AS115" s="13">
        <v>4955703.4512135433</v>
      </c>
      <c r="AT115" s="34"/>
      <c r="AU115" s="13"/>
      <c r="AV115" s="34"/>
      <c r="AW115" s="34"/>
      <c r="AX115" s="34"/>
      <c r="AY115" s="13">
        <v>6448426.1231816737</v>
      </c>
      <c r="AZ115" s="13">
        <v>3859549.9066037489</v>
      </c>
      <c r="BA115" s="13">
        <v>3788662.6302005113</v>
      </c>
      <c r="BB115" s="32">
        <v>9529173.0882378947</v>
      </c>
      <c r="BC115" s="33">
        <v>10081610.905818775</v>
      </c>
      <c r="BD115" s="33">
        <v>-3615842.6</v>
      </c>
      <c r="BE115" s="33">
        <v>-1385668.54</v>
      </c>
      <c r="BF115" s="14"/>
      <c r="BG115" s="14">
        <v>10544870.424038386</v>
      </c>
      <c r="BH115" s="33">
        <v>26647206.125991024</v>
      </c>
      <c r="BI115" s="13">
        <v>491507</v>
      </c>
      <c r="BJ115" s="13">
        <v>35763</v>
      </c>
      <c r="BK115" s="33">
        <v>-10159642.872500002</v>
      </c>
    </row>
    <row r="116" spans="1:63" ht="14.25" x14ac:dyDescent="0.2">
      <c r="A116" s="14">
        <v>399</v>
      </c>
      <c r="B116" s="14" t="s">
        <v>390</v>
      </c>
      <c r="C116" s="14">
        <v>7656</v>
      </c>
      <c r="D116" s="14">
        <v>358</v>
      </c>
      <c r="E116" s="14">
        <v>62</v>
      </c>
      <c r="F116" s="14">
        <v>663</v>
      </c>
      <c r="G116" s="14">
        <v>382</v>
      </c>
      <c r="H116" s="14">
        <v>6191</v>
      </c>
      <c r="I116" s="14">
        <v>4040</v>
      </c>
      <c r="K116" s="29">
        <v>216.58333333333334</v>
      </c>
      <c r="L116" s="29">
        <v>3599</v>
      </c>
      <c r="M116" s="14">
        <v>297.75</v>
      </c>
      <c r="N116" s="11">
        <v>166</v>
      </c>
      <c r="O116" s="11">
        <v>0</v>
      </c>
      <c r="P116" s="11">
        <v>88</v>
      </c>
      <c r="Q116" s="11">
        <v>0</v>
      </c>
      <c r="R116" s="11">
        <v>0</v>
      </c>
      <c r="S116" s="11">
        <v>505.18</v>
      </c>
      <c r="T116" s="14">
        <v>180</v>
      </c>
      <c r="U116" s="14">
        <v>2460</v>
      </c>
      <c r="V116" s="330"/>
      <c r="W116" s="11">
        <v>0</v>
      </c>
      <c r="X116" s="64">
        <v>1730</v>
      </c>
      <c r="Y116" s="64">
        <v>3322</v>
      </c>
      <c r="Z116" s="331">
        <v>0.82505157387224892</v>
      </c>
      <c r="AA116" s="31">
        <v>0</v>
      </c>
      <c r="AB116" s="11">
        <v>0</v>
      </c>
      <c r="AC116" s="11">
        <v>0</v>
      </c>
      <c r="AE116" s="32">
        <v>-162994.815</v>
      </c>
      <c r="AF116" s="13">
        <v>-153603.16</v>
      </c>
      <c r="AG116" s="13">
        <v>216844.37315656018</v>
      </c>
      <c r="AH116" s="13">
        <v>-83752.313463572951</v>
      </c>
      <c r="AI116" s="13">
        <v>-12903.384674114888</v>
      </c>
      <c r="AJ116" s="13">
        <v>630442</v>
      </c>
      <c r="AK116" s="13">
        <v>196494</v>
      </c>
      <c r="AL116" s="13">
        <v>488277.61159213737</v>
      </c>
      <c r="AM116" s="13">
        <v>13438.707080138607</v>
      </c>
      <c r="AN116" s="13">
        <v>56865.719571891517</v>
      </c>
      <c r="AO116" s="13">
        <v>183097.91458002324</v>
      </c>
      <c r="AP116" s="13">
        <v>402271.60290042392</v>
      </c>
      <c r="AQ116" s="13">
        <v>650793.64443367044</v>
      </c>
      <c r="AR116" s="13">
        <v>171958.51660430492</v>
      </c>
      <c r="AS116" s="13">
        <v>332204.5728419575</v>
      </c>
      <c r="AT116" s="34"/>
      <c r="AU116" s="13"/>
      <c r="AV116" s="34"/>
      <c r="AW116" s="34"/>
      <c r="AX116" s="34"/>
      <c r="AY116" s="13">
        <v>434540.94731835771</v>
      </c>
      <c r="AZ116" s="13">
        <v>262891.72609692113</v>
      </c>
      <c r="BA116" s="13">
        <v>262524.05321612995</v>
      </c>
      <c r="BB116" s="32">
        <v>-1522000.7555946151</v>
      </c>
      <c r="BC116" s="32">
        <v>-1482750.881325966</v>
      </c>
      <c r="BD116" s="32">
        <v>-228148.80000000002</v>
      </c>
      <c r="BE116" s="32">
        <v>-87431.52</v>
      </c>
      <c r="BF116" s="14"/>
      <c r="BG116" s="14">
        <v>588645.23825872922</v>
      </c>
      <c r="BH116" s="33">
        <v>2430088.9477835274</v>
      </c>
      <c r="BI116" s="13">
        <v>-189109</v>
      </c>
      <c r="BJ116" s="13">
        <v>2282</v>
      </c>
      <c r="BK116" s="33">
        <v>-39575.199999999997</v>
      </c>
    </row>
    <row r="117" spans="1:63" ht="14.25" x14ac:dyDescent="0.2">
      <c r="A117" s="14">
        <v>400</v>
      </c>
      <c r="B117" s="14" t="s">
        <v>391</v>
      </c>
      <c r="C117" s="14">
        <v>8479</v>
      </c>
      <c r="D117" s="14">
        <v>392</v>
      </c>
      <c r="E117" s="14">
        <v>76</v>
      </c>
      <c r="F117" s="14">
        <v>614</v>
      </c>
      <c r="G117" s="14">
        <v>350</v>
      </c>
      <c r="H117" s="14">
        <v>7047</v>
      </c>
      <c r="I117" s="14">
        <v>4638</v>
      </c>
      <c r="K117" s="29">
        <v>285</v>
      </c>
      <c r="L117" s="29">
        <v>3917</v>
      </c>
      <c r="M117" s="14">
        <v>457.91666666666663</v>
      </c>
      <c r="N117" s="11">
        <v>1111</v>
      </c>
      <c r="O117" s="11">
        <v>0</v>
      </c>
      <c r="P117" s="11">
        <v>23</v>
      </c>
      <c r="Q117" s="11">
        <v>0</v>
      </c>
      <c r="R117" s="11">
        <v>0</v>
      </c>
      <c r="S117" s="11">
        <v>532.02</v>
      </c>
      <c r="T117" s="14">
        <v>693</v>
      </c>
      <c r="U117" s="14">
        <v>2701</v>
      </c>
      <c r="V117" s="330"/>
      <c r="W117" s="11">
        <v>0</v>
      </c>
      <c r="X117" s="64">
        <v>3664</v>
      </c>
      <c r="Y117" s="64">
        <v>3630</v>
      </c>
      <c r="Z117" s="331">
        <v>0.9519615725651781</v>
      </c>
      <c r="AA117" s="31">
        <v>9.4112128438635548E-2</v>
      </c>
      <c r="AB117" s="11">
        <v>0</v>
      </c>
      <c r="AC117" s="11">
        <v>0</v>
      </c>
      <c r="AE117" s="32">
        <v>-157130.17655</v>
      </c>
      <c r="AF117" s="13">
        <v>-162670.28</v>
      </c>
      <c r="AG117" s="13">
        <v>275336.38565458701</v>
      </c>
      <c r="AH117" s="13">
        <v>-232038.58395367936</v>
      </c>
      <c r="AI117" s="13">
        <v>9147.1955774362723</v>
      </c>
      <c r="AJ117" s="13">
        <v>739591</v>
      </c>
      <c r="AK117" s="13">
        <v>245424</v>
      </c>
      <c r="AL117" s="13">
        <v>599915.16302027856</v>
      </c>
      <c r="AM117" s="13">
        <v>28362.250534183589</v>
      </c>
      <c r="AN117" s="13">
        <v>66734.710210224977</v>
      </c>
      <c r="AO117" s="13">
        <v>271181.82292428904</v>
      </c>
      <c r="AP117" s="13">
        <v>489938.90179089195</v>
      </c>
      <c r="AQ117" s="13">
        <v>793644.9780317354</v>
      </c>
      <c r="AR117" s="13">
        <v>232345.14997021123</v>
      </c>
      <c r="AS117" s="13">
        <v>403381.89974042116</v>
      </c>
      <c r="AT117" s="34"/>
      <c r="AU117" s="13"/>
      <c r="AV117" s="34"/>
      <c r="AW117" s="34"/>
      <c r="AX117" s="34"/>
      <c r="AY117" s="13">
        <v>551483.99093799328</v>
      </c>
      <c r="AZ117" s="13">
        <v>343548.02898840891</v>
      </c>
      <c r="BA117" s="13">
        <v>315003.03618434741</v>
      </c>
      <c r="BB117" s="32">
        <v>1537828.7900891798</v>
      </c>
      <c r="BC117" s="33">
        <v>799097.98726655066</v>
      </c>
      <c r="BD117" s="33">
        <v>-252674.2</v>
      </c>
      <c r="BE117" s="33">
        <v>-96830.18</v>
      </c>
      <c r="BF117" s="14"/>
      <c r="BG117" s="14">
        <v>1136093.1458500903</v>
      </c>
      <c r="BH117" s="33">
        <v>3122787.9028264717</v>
      </c>
      <c r="BI117" s="13">
        <v>1272503</v>
      </c>
      <c r="BJ117" s="13">
        <v>2349</v>
      </c>
      <c r="BK117" s="33">
        <v>88.337499999994179</v>
      </c>
    </row>
    <row r="118" spans="1:63" ht="14.25" x14ac:dyDescent="0.2">
      <c r="A118" s="14">
        <v>407</v>
      </c>
      <c r="B118" s="14" t="s">
        <v>395</v>
      </c>
      <c r="C118" s="14">
        <v>2429</v>
      </c>
      <c r="D118" s="14">
        <v>92</v>
      </c>
      <c r="E118" s="14">
        <v>21</v>
      </c>
      <c r="F118" s="14">
        <v>142</v>
      </c>
      <c r="G118" s="14">
        <v>70</v>
      </c>
      <c r="H118" s="14">
        <v>2104</v>
      </c>
      <c r="I118" s="14">
        <v>1265</v>
      </c>
      <c r="K118" s="29">
        <v>101.16666666666667</v>
      </c>
      <c r="L118" s="29">
        <v>1131</v>
      </c>
      <c r="M118" s="14">
        <v>138.33333333333334</v>
      </c>
      <c r="N118" s="11">
        <v>182</v>
      </c>
      <c r="O118" s="11">
        <v>1</v>
      </c>
      <c r="P118" s="11">
        <v>716</v>
      </c>
      <c r="Q118" s="11">
        <v>0</v>
      </c>
      <c r="R118" s="11">
        <v>0</v>
      </c>
      <c r="S118" s="11">
        <v>329.89</v>
      </c>
      <c r="T118" s="14">
        <v>152</v>
      </c>
      <c r="U118" s="14">
        <v>696</v>
      </c>
      <c r="V118" s="330"/>
      <c r="W118" s="11">
        <v>0.19713333333333333</v>
      </c>
      <c r="X118" s="64">
        <v>768</v>
      </c>
      <c r="Y118" s="64">
        <v>1009</v>
      </c>
      <c r="Z118" s="331">
        <v>0.86930343279365618</v>
      </c>
      <c r="AA118" s="31">
        <v>0</v>
      </c>
      <c r="AB118" s="11">
        <v>0</v>
      </c>
      <c r="AC118" s="11">
        <v>0</v>
      </c>
      <c r="AE118" s="32">
        <v>-91504.302500000005</v>
      </c>
      <c r="AF118" s="13">
        <v>-50349.41</v>
      </c>
      <c r="AG118" s="13">
        <v>34873.246195508516</v>
      </c>
      <c r="AH118" s="13">
        <v>-44594.667955254983</v>
      </c>
      <c r="AI118" s="13">
        <v>3609.9241428323221</v>
      </c>
      <c r="AJ118" s="13">
        <v>266070</v>
      </c>
      <c r="AK118" s="13">
        <v>86843</v>
      </c>
      <c r="AL118" s="13">
        <v>215737.08744909434</v>
      </c>
      <c r="AM118" s="13">
        <v>10073.129408609553</v>
      </c>
      <c r="AN118" s="13">
        <v>43753.060374109133</v>
      </c>
      <c r="AO118" s="13">
        <v>86084.274449258723</v>
      </c>
      <c r="AP118" s="13">
        <v>157534.16499683561</v>
      </c>
      <c r="AQ118" s="13">
        <v>288427.13641734491</v>
      </c>
      <c r="AR118" s="13">
        <v>80419.069269676475</v>
      </c>
      <c r="AS118" s="13">
        <v>136460.93930966299</v>
      </c>
      <c r="AT118" s="34"/>
      <c r="AU118" s="13"/>
      <c r="AV118" s="34"/>
      <c r="AW118" s="34"/>
      <c r="AX118" s="34"/>
      <c r="AY118" s="13">
        <v>183935.80408534728</v>
      </c>
      <c r="AZ118" s="13">
        <v>105383.38737483059</v>
      </c>
      <c r="BA118" s="13">
        <v>105196.79286940781</v>
      </c>
      <c r="BB118" s="32">
        <v>219185.76756665396</v>
      </c>
      <c r="BC118" s="33">
        <v>-10642.858861218319</v>
      </c>
      <c r="BD118" s="33">
        <v>-72384.2</v>
      </c>
      <c r="BE118" s="33">
        <v>-27739.18</v>
      </c>
      <c r="BF118" s="14"/>
      <c r="BG118" s="14">
        <v>490929.99477875925</v>
      </c>
      <c r="BH118" s="33">
        <v>1106426.6104451679</v>
      </c>
      <c r="BI118" s="13">
        <v>-582751</v>
      </c>
      <c r="BJ118" s="13">
        <v>551</v>
      </c>
      <c r="BK118" s="33">
        <v>-904487.66250000009</v>
      </c>
    </row>
    <row r="119" spans="1:63" ht="14.25" x14ac:dyDescent="0.2">
      <c r="A119" s="14">
        <v>402</v>
      </c>
      <c r="B119" s="14" t="s">
        <v>392</v>
      </c>
      <c r="C119" s="14">
        <v>8865</v>
      </c>
      <c r="D119" s="14">
        <v>374</v>
      </c>
      <c r="E119" s="14">
        <v>61</v>
      </c>
      <c r="F119" s="14">
        <v>536</v>
      </c>
      <c r="G119" s="14">
        <v>331</v>
      </c>
      <c r="H119" s="14">
        <v>7563</v>
      </c>
      <c r="I119" s="14">
        <v>4600</v>
      </c>
      <c r="K119" s="29">
        <v>398.66666666666669</v>
      </c>
      <c r="L119" s="29">
        <v>3979</v>
      </c>
      <c r="M119" s="14">
        <v>581.91666666666674</v>
      </c>
      <c r="N119" s="11">
        <v>272</v>
      </c>
      <c r="O119" s="11">
        <v>0</v>
      </c>
      <c r="P119" s="11">
        <v>12</v>
      </c>
      <c r="Q119" s="11">
        <v>0</v>
      </c>
      <c r="R119" s="11">
        <v>0</v>
      </c>
      <c r="S119" s="11">
        <v>1096.92</v>
      </c>
      <c r="T119" s="14">
        <v>331</v>
      </c>
      <c r="U119" s="14">
        <v>2467</v>
      </c>
      <c r="V119" s="330"/>
      <c r="W119" s="11">
        <v>0.42025000000000001</v>
      </c>
      <c r="X119" s="64">
        <v>2648</v>
      </c>
      <c r="Y119" s="64">
        <v>3448</v>
      </c>
      <c r="Z119" s="331">
        <v>1.0833611416394735</v>
      </c>
      <c r="AA119" s="31">
        <v>0</v>
      </c>
      <c r="AB119" s="11">
        <v>0</v>
      </c>
      <c r="AC119" s="11">
        <v>0</v>
      </c>
      <c r="AE119" s="32">
        <v>-403419.6838</v>
      </c>
      <c r="AF119" s="13">
        <v>-179767.18000000002</v>
      </c>
      <c r="AG119" s="13">
        <v>410445.25392134901</v>
      </c>
      <c r="AH119" s="13">
        <v>-93473.168479766566</v>
      </c>
      <c r="AI119" s="13">
        <v>50136.460445747682</v>
      </c>
      <c r="AJ119" s="13">
        <v>958412</v>
      </c>
      <c r="AK119" s="13">
        <v>288726</v>
      </c>
      <c r="AL119" s="13">
        <v>687361.07363778411</v>
      </c>
      <c r="AM119" s="13">
        <v>29107.534124884838</v>
      </c>
      <c r="AN119" s="13">
        <v>88418.254182641511</v>
      </c>
      <c r="AO119" s="13">
        <v>332831.15187680483</v>
      </c>
      <c r="AP119" s="13">
        <v>530175.95071211283</v>
      </c>
      <c r="AQ119" s="13">
        <v>829064.53109672817</v>
      </c>
      <c r="AR119" s="13">
        <v>247037.21744427693</v>
      </c>
      <c r="AS119" s="13">
        <v>448973.02594657306</v>
      </c>
      <c r="AT119" s="34"/>
      <c r="AU119" s="13"/>
      <c r="AV119" s="34"/>
      <c r="AW119" s="34"/>
      <c r="AX119" s="34"/>
      <c r="AY119" s="13">
        <v>636059.39353613171</v>
      </c>
      <c r="AZ119" s="13">
        <v>350457.2032952205</v>
      </c>
      <c r="BA119" s="13">
        <v>338391.2877663282</v>
      </c>
      <c r="BB119" s="32">
        <v>-1869385.7573780392</v>
      </c>
      <c r="BC119" s="33">
        <v>-1350786.5288083039</v>
      </c>
      <c r="BD119" s="33">
        <v>-264177</v>
      </c>
      <c r="BE119" s="33">
        <v>-101238.3</v>
      </c>
      <c r="BF119" s="14"/>
      <c r="BG119" s="14">
        <v>1209772.4831475597</v>
      </c>
      <c r="BH119" s="33">
        <v>4797964.2892548116</v>
      </c>
      <c r="BI119" s="13">
        <v>150310</v>
      </c>
      <c r="BJ119" s="13">
        <v>2204</v>
      </c>
      <c r="BK119" s="33">
        <v>425044.71500000003</v>
      </c>
    </row>
    <row r="120" spans="1:63" ht="14.25" x14ac:dyDescent="0.2">
      <c r="A120" s="14">
        <v>403</v>
      </c>
      <c r="B120" s="14" t="s">
        <v>393</v>
      </c>
      <c r="C120" s="14">
        <v>2758</v>
      </c>
      <c r="D120" s="14">
        <v>102</v>
      </c>
      <c r="E120" s="14">
        <v>26</v>
      </c>
      <c r="F120" s="14">
        <v>188</v>
      </c>
      <c r="G120" s="14">
        <v>87</v>
      </c>
      <c r="H120" s="14">
        <v>2355</v>
      </c>
      <c r="I120" s="14">
        <v>1208</v>
      </c>
      <c r="K120" s="29">
        <v>63.666666666666664</v>
      </c>
      <c r="L120" s="29">
        <v>1058</v>
      </c>
      <c r="M120" s="14">
        <v>90.666666666666657</v>
      </c>
      <c r="N120" s="11">
        <v>184</v>
      </c>
      <c r="O120" s="11">
        <v>0</v>
      </c>
      <c r="P120" s="11">
        <v>11</v>
      </c>
      <c r="Q120" s="11">
        <v>0</v>
      </c>
      <c r="R120" s="11">
        <v>0</v>
      </c>
      <c r="S120" s="11">
        <v>420.88</v>
      </c>
      <c r="T120" s="14">
        <v>91</v>
      </c>
      <c r="U120" s="14">
        <v>636</v>
      </c>
      <c r="V120" s="330"/>
      <c r="W120" s="11">
        <v>0.9875166666666666</v>
      </c>
      <c r="X120" s="64">
        <v>805</v>
      </c>
      <c r="Y120" s="64">
        <v>934</v>
      </c>
      <c r="Z120" s="331">
        <v>0.87285173907385283</v>
      </c>
      <c r="AA120" s="31">
        <v>0</v>
      </c>
      <c r="AB120" s="11">
        <v>0</v>
      </c>
      <c r="AC120" s="11">
        <v>0</v>
      </c>
      <c r="AE120" s="32">
        <v>-58445.964999999997</v>
      </c>
      <c r="AF120" s="13">
        <v>-56189.25</v>
      </c>
      <c r="AG120" s="13">
        <v>71252.250560115805</v>
      </c>
      <c r="AH120" s="13">
        <v>-60639.979679538374</v>
      </c>
      <c r="AI120" s="13">
        <v>-2032.6446107529628</v>
      </c>
      <c r="AJ120" s="13">
        <v>344633</v>
      </c>
      <c r="AK120" s="13">
        <v>101443</v>
      </c>
      <c r="AL120" s="13">
        <v>292774.96621069574</v>
      </c>
      <c r="AM120" s="13">
        <v>17263.521425798896</v>
      </c>
      <c r="AN120" s="13">
        <v>43252.75609648673</v>
      </c>
      <c r="AO120" s="13">
        <v>132095.14889464315</v>
      </c>
      <c r="AP120" s="13">
        <v>189115.0652921132</v>
      </c>
      <c r="AQ120" s="13">
        <v>300305.97934636351</v>
      </c>
      <c r="AR120" s="13">
        <v>92165.833590875278</v>
      </c>
      <c r="AS120" s="13">
        <v>155718.07021177432</v>
      </c>
      <c r="AT120" s="34"/>
      <c r="AU120" s="13"/>
      <c r="AV120" s="34"/>
      <c r="AW120" s="34"/>
      <c r="AX120" s="34"/>
      <c r="AY120" s="13">
        <v>210110.42957606629</v>
      </c>
      <c r="AZ120" s="13">
        <v>114076.3068294636</v>
      </c>
      <c r="BA120" s="13">
        <v>112308.07030802236</v>
      </c>
      <c r="BB120" s="32">
        <v>275941.70974205603</v>
      </c>
      <c r="BC120" s="33">
        <v>-11919.325650768731</v>
      </c>
      <c r="BD120" s="33">
        <v>-82188.400000000009</v>
      </c>
      <c r="BE120" s="33">
        <v>-31496.36</v>
      </c>
      <c r="BF120" s="14"/>
      <c r="BG120" s="14">
        <v>480159.70077048137</v>
      </c>
      <c r="BH120" s="33">
        <v>1649236.0143315599</v>
      </c>
      <c r="BI120" s="13">
        <v>123758</v>
      </c>
      <c r="BJ120" s="13">
        <v>639</v>
      </c>
      <c r="BK120" s="33">
        <v>-77737</v>
      </c>
    </row>
    <row r="121" spans="1:63" ht="14.25" x14ac:dyDescent="0.2">
      <c r="A121" s="14">
        <v>405</v>
      </c>
      <c r="B121" s="14" t="s">
        <v>394</v>
      </c>
      <c r="C121" s="14">
        <v>73327</v>
      </c>
      <c r="D121" s="14">
        <v>2994</v>
      </c>
      <c r="E121" s="14">
        <v>548</v>
      </c>
      <c r="F121" s="14">
        <v>4163</v>
      </c>
      <c r="G121" s="14">
        <v>2270</v>
      </c>
      <c r="H121" s="14">
        <v>63352</v>
      </c>
      <c r="I121" s="14">
        <v>43157</v>
      </c>
      <c r="K121" s="29">
        <v>4020.4166666666665</v>
      </c>
      <c r="L121" s="29">
        <v>33303</v>
      </c>
      <c r="M121" s="14">
        <v>5438.25</v>
      </c>
      <c r="N121" s="11">
        <v>8209</v>
      </c>
      <c r="O121" s="11">
        <v>0</v>
      </c>
      <c r="P121" s="11">
        <v>120</v>
      </c>
      <c r="Q121" s="11">
        <v>0</v>
      </c>
      <c r="R121" s="11">
        <v>0</v>
      </c>
      <c r="S121" s="11">
        <v>1434.13</v>
      </c>
      <c r="T121" s="14">
        <v>3090</v>
      </c>
      <c r="U121" s="14">
        <v>21867</v>
      </c>
      <c r="V121" s="330"/>
      <c r="W121" s="11">
        <v>0</v>
      </c>
      <c r="X121" s="64">
        <v>31615</v>
      </c>
      <c r="Y121" s="64">
        <v>29403</v>
      </c>
      <c r="Z121" s="331">
        <v>0.98418726702481885</v>
      </c>
      <c r="AA121" s="31">
        <v>0.31724416151424073</v>
      </c>
      <c r="AB121" s="11">
        <v>0</v>
      </c>
      <c r="AC121" s="11">
        <v>2</v>
      </c>
      <c r="AE121" s="32">
        <v>-4625384.3104499998</v>
      </c>
      <c r="AF121" s="13">
        <v>-1395837.02</v>
      </c>
      <c r="AG121" s="13">
        <v>3915041.4755051285</v>
      </c>
      <c r="AH121" s="13">
        <v>-529732.34355988272</v>
      </c>
      <c r="AI121" s="13">
        <v>141087.98296544538</v>
      </c>
      <c r="AJ121" s="13">
        <v>5098431</v>
      </c>
      <c r="AK121" s="13">
        <v>1727824</v>
      </c>
      <c r="AL121" s="13">
        <v>4014176.8117610975</v>
      </c>
      <c r="AM121" s="13">
        <v>165037.33740353709</v>
      </c>
      <c r="AN121" s="13">
        <v>403872.25324905419</v>
      </c>
      <c r="AO121" s="13">
        <v>1978357.3557773354</v>
      </c>
      <c r="AP121" s="13">
        <v>3604287.8033408341</v>
      </c>
      <c r="AQ121" s="13">
        <v>5400271.8362803282</v>
      </c>
      <c r="AR121" s="13">
        <v>1799754.4576979543</v>
      </c>
      <c r="AS121" s="13">
        <v>3080522.5380868055</v>
      </c>
      <c r="AT121" s="34"/>
      <c r="AU121" s="13"/>
      <c r="AV121" s="34"/>
      <c r="AW121" s="34"/>
      <c r="AX121" s="34"/>
      <c r="AY121" s="13">
        <v>3906566.6862919768</v>
      </c>
      <c r="AZ121" s="13">
        <v>2440255.3923524325</v>
      </c>
      <c r="BA121" s="13">
        <v>2382133.1219214201</v>
      </c>
      <c r="BB121" s="32">
        <v>-2680554.9973284649</v>
      </c>
      <c r="BC121" s="33">
        <v>-307070.57040012348</v>
      </c>
      <c r="BD121" s="33">
        <v>-2185144.6</v>
      </c>
      <c r="BE121" s="33">
        <v>-837394.34</v>
      </c>
      <c r="BF121" s="14"/>
      <c r="BG121" s="14">
        <v>7520798.1396381585</v>
      </c>
      <c r="BH121" s="33">
        <v>8623858.5899032541</v>
      </c>
      <c r="BI121" s="13">
        <v>-3172399</v>
      </c>
      <c r="BJ121" s="13">
        <v>22830</v>
      </c>
      <c r="BK121" s="33">
        <v>-1912241.8624999998</v>
      </c>
    </row>
    <row r="122" spans="1:63" ht="14.25" x14ac:dyDescent="0.2">
      <c r="A122" s="14">
        <v>408</v>
      </c>
      <c r="B122" s="14" t="s">
        <v>396</v>
      </c>
      <c r="C122" s="14">
        <v>14028</v>
      </c>
      <c r="D122" s="14">
        <v>682</v>
      </c>
      <c r="E122" s="14">
        <v>147</v>
      </c>
      <c r="F122" s="14">
        <v>1060</v>
      </c>
      <c r="G122" s="14">
        <v>579</v>
      </c>
      <c r="H122" s="14">
        <v>11560</v>
      </c>
      <c r="I122" s="14">
        <v>7518</v>
      </c>
      <c r="K122" s="29">
        <v>417.58333333333331</v>
      </c>
      <c r="L122" s="29">
        <v>6326</v>
      </c>
      <c r="M122" s="14">
        <v>644.58333333333326</v>
      </c>
      <c r="N122" s="11">
        <v>642</v>
      </c>
      <c r="O122" s="11">
        <v>0</v>
      </c>
      <c r="P122" s="11">
        <v>22</v>
      </c>
      <c r="Q122" s="11">
        <v>0</v>
      </c>
      <c r="R122" s="11">
        <v>0</v>
      </c>
      <c r="S122" s="11">
        <v>737.27</v>
      </c>
      <c r="T122" s="14">
        <v>471</v>
      </c>
      <c r="U122" s="14">
        <v>4185</v>
      </c>
      <c r="V122" s="330"/>
      <c r="W122" s="11">
        <v>0</v>
      </c>
      <c r="X122" s="64">
        <v>4498</v>
      </c>
      <c r="Y122" s="64">
        <v>5842</v>
      </c>
      <c r="Z122" s="331">
        <v>1.0530849587159254</v>
      </c>
      <c r="AA122" s="31">
        <v>0</v>
      </c>
      <c r="AB122" s="11">
        <v>0</v>
      </c>
      <c r="AC122" s="11">
        <v>0</v>
      </c>
      <c r="AE122" s="32">
        <v>-421917.24465000001</v>
      </c>
      <c r="AF122" s="13">
        <v>-273185.41000000003</v>
      </c>
      <c r="AG122" s="13">
        <v>444363.51897678513</v>
      </c>
      <c r="AH122" s="13">
        <v>-276579.97049068619</v>
      </c>
      <c r="AI122" s="13">
        <v>14038.207526272512</v>
      </c>
      <c r="AJ122" s="13">
        <v>1158445</v>
      </c>
      <c r="AK122" s="13">
        <v>386915</v>
      </c>
      <c r="AL122" s="13">
        <v>964292.59465748887</v>
      </c>
      <c r="AM122" s="13">
        <v>40385.642318928454</v>
      </c>
      <c r="AN122" s="13">
        <v>123093.3811491682</v>
      </c>
      <c r="AO122" s="13">
        <v>419128.21563631925</v>
      </c>
      <c r="AP122" s="13">
        <v>779181.72149064229</v>
      </c>
      <c r="AQ122" s="13">
        <v>1226683.438706409</v>
      </c>
      <c r="AR122" s="13">
        <v>340504.40546555363</v>
      </c>
      <c r="AS122" s="13">
        <v>640987.21071604337</v>
      </c>
      <c r="AT122" s="34"/>
      <c r="AU122" s="13"/>
      <c r="AV122" s="34"/>
      <c r="AW122" s="34"/>
      <c r="AX122" s="34"/>
      <c r="AY122" s="13">
        <v>858364.1379680133</v>
      </c>
      <c r="AZ122" s="13">
        <v>495348.96301279042</v>
      </c>
      <c r="BA122" s="13">
        <v>494637.54456375039</v>
      </c>
      <c r="BB122" s="32">
        <v>580006.69596974109</v>
      </c>
      <c r="BC122" s="33">
        <v>-59592.401542619977</v>
      </c>
      <c r="BD122" s="33">
        <v>-418034.4</v>
      </c>
      <c r="BE122" s="33">
        <v>-160199.76</v>
      </c>
      <c r="BF122" s="14"/>
      <c r="BG122" s="14">
        <v>1451545.7815111864</v>
      </c>
      <c r="BH122" s="33">
        <v>5834160.3932959847</v>
      </c>
      <c r="BI122" s="13">
        <v>318734</v>
      </c>
      <c r="BJ122" s="13">
        <v>4179</v>
      </c>
      <c r="BK122" s="33">
        <v>-144696.82500000001</v>
      </c>
    </row>
    <row r="123" spans="1:63" ht="14.25" x14ac:dyDescent="0.2">
      <c r="A123" s="14">
        <v>410</v>
      </c>
      <c r="B123" s="14" t="s">
        <v>397</v>
      </c>
      <c r="C123" s="14">
        <v>18878</v>
      </c>
      <c r="D123" s="14">
        <v>1208</v>
      </c>
      <c r="E123" s="14">
        <v>228</v>
      </c>
      <c r="F123" s="14">
        <v>1839</v>
      </c>
      <c r="G123" s="14">
        <v>970</v>
      </c>
      <c r="H123" s="14">
        <v>14633</v>
      </c>
      <c r="I123" s="14">
        <v>9877</v>
      </c>
      <c r="K123" s="29">
        <v>877.5</v>
      </c>
      <c r="L123" s="29">
        <v>8536</v>
      </c>
      <c r="M123" s="14">
        <v>1208.5</v>
      </c>
      <c r="N123" s="11">
        <v>445</v>
      </c>
      <c r="O123" s="11">
        <v>0</v>
      </c>
      <c r="P123" s="11">
        <v>24</v>
      </c>
      <c r="Q123" s="11">
        <v>0</v>
      </c>
      <c r="R123" s="11">
        <v>0</v>
      </c>
      <c r="S123" s="11">
        <v>648.49</v>
      </c>
      <c r="T123" s="14">
        <v>518</v>
      </c>
      <c r="U123" s="14">
        <v>5977</v>
      </c>
      <c r="V123" s="330"/>
      <c r="W123" s="11">
        <v>0</v>
      </c>
      <c r="X123" s="64">
        <v>5286</v>
      </c>
      <c r="Y123" s="64">
        <v>7545</v>
      </c>
      <c r="Z123" s="331">
        <v>0.91728522452668082</v>
      </c>
      <c r="AA123" s="31">
        <v>0.15994561975992325</v>
      </c>
      <c r="AB123" s="11">
        <v>0</v>
      </c>
      <c r="AC123" s="11">
        <v>2</v>
      </c>
      <c r="AE123" s="32">
        <v>-684600.54775000003</v>
      </c>
      <c r="AF123" s="13">
        <v>-361589.83</v>
      </c>
      <c r="AG123" s="13">
        <v>691918.92126286472</v>
      </c>
      <c r="AH123" s="13">
        <v>-405850.95812471124</v>
      </c>
      <c r="AI123" s="13">
        <v>34530.105214782641</v>
      </c>
      <c r="AJ123" s="13">
        <v>1303995</v>
      </c>
      <c r="AK123" s="13">
        <v>416357</v>
      </c>
      <c r="AL123" s="13">
        <v>855099.59973532311</v>
      </c>
      <c r="AM123" s="13">
        <v>20238.895043797431</v>
      </c>
      <c r="AN123" s="13">
        <v>20659.495845095145</v>
      </c>
      <c r="AO123" s="13">
        <v>443704.67546912801</v>
      </c>
      <c r="AP123" s="13">
        <v>862823.33421523066</v>
      </c>
      <c r="AQ123" s="13">
        <v>1423658.3558661467</v>
      </c>
      <c r="AR123" s="13">
        <v>329080.52114859771</v>
      </c>
      <c r="AS123" s="13">
        <v>707053.80691465898</v>
      </c>
      <c r="AT123" s="34"/>
      <c r="AU123" s="13"/>
      <c r="AV123" s="34"/>
      <c r="AW123" s="34"/>
      <c r="AX123" s="34"/>
      <c r="AY123" s="13">
        <v>878122.61911998317</v>
      </c>
      <c r="AZ123" s="13">
        <v>572510.26800445758</v>
      </c>
      <c r="BA123" s="13">
        <v>562502.01727804972</v>
      </c>
      <c r="BB123" s="32">
        <v>-3718134.796940987</v>
      </c>
      <c r="BC123" s="33">
        <v>-2350793.0016973577</v>
      </c>
      <c r="BD123" s="33">
        <v>-562564.4</v>
      </c>
      <c r="BE123" s="33">
        <v>-215586.76</v>
      </c>
      <c r="BF123" s="14"/>
      <c r="BG123" s="14">
        <v>891981.24677169661</v>
      </c>
      <c r="BH123" s="33">
        <v>7940516.2780958051</v>
      </c>
      <c r="BI123" s="13">
        <v>-661952</v>
      </c>
      <c r="BJ123" s="13">
        <v>6199</v>
      </c>
      <c r="BK123" s="33">
        <v>148866.3550000001</v>
      </c>
    </row>
    <row r="124" spans="1:63" ht="14.25" x14ac:dyDescent="0.2">
      <c r="A124" s="14">
        <v>416</v>
      </c>
      <c r="B124" s="14" t="s">
        <v>398</v>
      </c>
      <c r="C124" s="14">
        <v>2849</v>
      </c>
      <c r="D124" s="14">
        <v>136</v>
      </c>
      <c r="E124" s="14">
        <v>27</v>
      </c>
      <c r="F124" s="14">
        <v>216</v>
      </c>
      <c r="G124" s="14">
        <v>122</v>
      </c>
      <c r="H124" s="14">
        <v>2348</v>
      </c>
      <c r="I124" s="14">
        <v>1503</v>
      </c>
      <c r="K124" s="29">
        <v>126.91666666666667</v>
      </c>
      <c r="L124" s="29">
        <v>1310</v>
      </c>
      <c r="M124" s="14">
        <v>149.33333333333334</v>
      </c>
      <c r="N124" s="11">
        <v>69</v>
      </c>
      <c r="O124" s="11">
        <v>0</v>
      </c>
      <c r="P124" s="11">
        <v>2</v>
      </c>
      <c r="Q124" s="11">
        <v>0</v>
      </c>
      <c r="R124" s="11">
        <v>0</v>
      </c>
      <c r="S124" s="11">
        <v>218.01</v>
      </c>
      <c r="T124" s="14">
        <v>82</v>
      </c>
      <c r="U124" s="14">
        <v>858</v>
      </c>
      <c r="V124" s="330"/>
      <c r="W124" s="11">
        <v>0</v>
      </c>
      <c r="X124" s="64">
        <v>480</v>
      </c>
      <c r="Y124" s="64">
        <v>1181</v>
      </c>
      <c r="Z124" s="331">
        <v>0.90573086722203655</v>
      </c>
      <c r="AA124" s="31">
        <v>0</v>
      </c>
      <c r="AB124" s="11">
        <v>0</v>
      </c>
      <c r="AC124" s="11">
        <v>0</v>
      </c>
      <c r="AE124" s="32">
        <v>-103076.88</v>
      </c>
      <c r="AF124" s="13">
        <v>-56938.44</v>
      </c>
      <c r="AG124" s="13">
        <v>111354.64634443299</v>
      </c>
      <c r="AH124" s="13">
        <v>-40534.916352569933</v>
      </c>
      <c r="AI124" s="13">
        <v>2327.9078938808452</v>
      </c>
      <c r="AJ124" s="13">
        <v>279320</v>
      </c>
      <c r="AK124" s="13">
        <v>82236</v>
      </c>
      <c r="AL124" s="13">
        <v>190087.50948810115</v>
      </c>
      <c r="AM124" s="13">
        <v>5433.9903436895065</v>
      </c>
      <c r="AN124" s="13">
        <v>12855.739432420762</v>
      </c>
      <c r="AO124" s="13">
        <v>85809.04218262987</v>
      </c>
      <c r="AP124" s="13">
        <v>150215.59532392293</v>
      </c>
      <c r="AQ124" s="13">
        <v>236626.36320856414</v>
      </c>
      <c r="AR124" s="13">
        <v>65877.87675757242</v>
      </c>
      <c r="AS124" s="13">
        <v>122636.70339636307</v>
      </c>
      <c r="AT124" s="34"/>
      <c r="AU124" s="13"/>
      <c r="AV124" s="34"/>
      <c r="AW124" s="34"/>
      <c r="AX124" s="34"/>
      <c r="AY124" s="13">
        <v>171760.77178995038</v>
      </c>
      <c r="AZ124" s="13">
        <v>101282.43888344728</v>
      </c>
      <c r="BA124" s="13">
        <v>93918.493291873965</v>
      </c>
      <c r="BB124" s="32">
        <v>-449151.69105400209</v>
      </c>
      <c r="BC124" s="33">
        <v>-235025.70579396776</v>
      </c>
      <c r="BD124" s="33">
        <v>-84900.2</v>
      </c>
      <c r="BE124" s="33">
        <v>-32535.579999999998</v>
      </c>
      <c r="BF124" s="14"/>
      <c r="BG124" s="14">
        <v>246885.11435226284</v>
      </c>
      <c r="BH124" s="33">
        <v>1231686.5616980614</v>
      </c>
      <c r="BI124" s="13">
        <v>-633501</v>
      </c>
      <c r="BJ124" s="13">
        <v>740</v>
      </c>
      <c r="BK124" s="33">
        <v>-84044.297499999986</v>
      </c>
    </row>
    <row r="125" spans="1:63" ht="14.25" x14ac:dyDescent="0.2">
      <c r="A125" s="14">
        <v>418</v>
      </c>
      <c r="B125" s="14" t="s">
        <v>399</v>
      </c>
      <c r="C125" s="14">
        <v>24854</v>
      </c>
      <c r="D125" s="14">
        <v>1730</v>
      </c>
      <c r="E125" s="14">
        <v>299</v>
      </c>
      <c r="F125" s="14">
        <v>2157</v>
      </c>
      <c r="G125" s="14">
        <v>1211</v>
      </c>
      <c r="H125" s="14">
        <v>19457</v>
      </c>
      <c r="I125" s="14">
        <v>14226</v>
      </c>
      <c r="K125" s="29">
        <v>903.33333333333337</v>
      </c>
      <c r="L125" s="29">
        <v>12129</v>
      </c>
      <c r="M125" s="14">
        <v>1272.1666666666667</v>
      </c>
      <c r="N125" s="11">
        <v>788</v>
      </c>
      <c r="O125" s="11">
        <v>0</v>
      </c>
      <c r="P125" s="11">
        <v>76</v>
      </c>
      <c r="Q125" s="11">
        <v>0</v>
      </c>
      <c r="R125" s="11">
        <v>0</v>
      </c>
      <c r="S125" s="11">
        <v>268.47000000000003</v>
      </c>
      <c r="T125" s="14">
        <v>561</v>
      </c>
      <c r="U125" s="14">
        <v>8695</v>
      </c>
      <c r="V125" s="330"/>
      <c r="W125" s="11">
        <v>0</v>
      </c>
      <c r="X125" s="64">
        <v>7890</v>
      </c>
      <c r="Y125" s="64">
        <v>11473</v>
      </c>
      <c r="Z125" s="331">
        <v>1.1455174380893889</v>
      </c>
      <c r="AA125" s="31">
        <v>0.94440418327376519</v>
      </c>
      <c r="AB125" s="11">
        <v>0</v>
      </c>
      <c r="AC125" s="11">
        <v>0</v>
      </c>
      <c r="AE125" s="32">
        <v>-1058694.2623000001</v>
      </c>
      <c r="AF125" s="13">
        <v>-457735.88</v>
      </c>
      <c r="AG125" s="13">
        <v>1003107.1265508151</v>
      </c>
      <c r="AH125" s="13">
        <v>-456320.85216059815</v>
      </c>
      <c r="AI125" s="13">
        <v>-118962.70888238039</v>
      </c>
      <c r="AJ125" s="13">
        <v>1342222</v>
      </c>
      <c r="AK125" s="13">
        <v>425216</v>
      </c>
      <c r="AL125" s="13">
        <v>845415.06188228237</v>
      </c>
      <c r="AM125" s="13">
        <v>8296.3702924914178</v>
      </c>
      <c r="AN125" s="13">
        <v>-22793.950664415817</v>
      </c>
      <c r="AO125" s="13">
        <v>436658.97893666575</v>
      </c>
      <c r="AP125" s="13">
        <v>906480.76205307432</v>
      </c>
      <c r="AQ125" s="13">
        <v>1500871.9621401401</v>
      </c>
      <c r="AR125" s="13">
        <v>378895.34219319944</v>
      </c>
      <c r="AS125" s="13">
        <v>753953.55172618153</v>
      </c>
      <c r="AT125" s="34"/>
      <c r="AU125" s="13"/>
      <c r="AV125" s="34"/>
      <c r="AW125" s="34"/>
      <c r="AX125" s="34"/>
      <c r="AY125" s="13">
        <v>931237.01612118457</v>
      </c>
      <c r="AZ125" s="13">
        <v>627832.10117558273</v>
      </c>
      <c r="BA125" s="13">
        <v>623377.33157469693</v>
      </c>
      <c r="BB125" s="32">
        <v>87527.887049725701</v>
      </c>
      <c r="BC125" s="33">
        <v>-103892.56187797709</v>
      </c>
      <c r="BD125" s="33">
        <v>-740649.20000000007</v>
      </c>
      <c r="BE125" s="33">
        <v>-283832.68</v>
      </c>
      <c r="BF125" s="14"/>
      <c r="BG125" s="14">
        <v>952438.30062918225</v>
      </c>
      <c r="BH125" s="33">
        <v>1306746.3677039647</v>
      </c>
      <c r="BI125" s="13">
        <v>-2454480</v>
      </c>
      <c r="BJ125" s="13">
        <v>8619</v>
      </c>
      <c r="BK125" s="33">
        <v>-659439.4375</v>
      </c>
    </row>
    <row r="126" spans="1:63" ht="14.25" x14ac:dyDescent="0.2">
      <c r="A126" s="14">
        <v>420</v>
      </c>
      <c r="B126" s="14" t="s">
        <v>400</v>
      </c>
      <c r="C126" s="14">
        <v>8971</v>
      </c>
      <c r="D126" s="14">
        <v>390</v>
      </c>
      <c r="E126" s="14">
        <v>85</v>
      </c>
      <c r="F126" s="14">
        <v>472</v>
      </c>
      <c r="G126" s="14">
        <v>293</v>
      </c>
      <c r="H126" s="14">
        <v>7731</v>
      </c>
      <c r="I126" s="14">
        <v>4501</v>
      </c>
      <c r="K126" s="29">
        <v>390.58333333333331</v>
      </c>
      <c r="L126" s="29">
        <v>3918</v>
      </c>
      <c r="M126" s="14">
        <v>506.75</v>
      </c>
      <c r="N126" s="11">
        <v>266</v>
      </c>
      <c r="O126" s="11">
        <v>0</v>
      </c>
      <c r="P126" s="11">
        <v>12</v>
      </c>
      <c r="Q126" s="11">
        <v>0</v>
      </c>
      <c r="R126" s="11">
        <v>0</v>
      </c>
      <c r="S126" s="11">
        <v>1136.26</v>
      </c>
      <c r="T126" s="14">
        <v>275</v>
      </c>
      <c r="U126" s="14">
        <v>2384</v>
      </c>
      <c r="V126" s="330"/>
      <c r="W126" s="11">
        <v>0</v>
      </c>
      <c r="X126" s="64">
        <v>2746</v>
      </c>
      <c r="Y126" s="64">
        <v>3415</v>
      </c>
      <c r="Z126" s="331">
        <v>1.0328275501805384</v>
      </c>
      <c r="AA126" s="31">
        <v>0</v>
      </c>
      <c r="AB126" s="11">
        <v>0</v>
      </c>
      <c r="AC126" s="11">
        <v>0</v>
      </c>
      <c r="AE126" s="32">
        <v>-325653.75439999998</v>
      </c>
      <c r="AF126" s="13">
        <v>-180612.42</v>
      </c>
      <c r="AG126" s="13">
        <v>269247.38487045898</v>
      </c>
      <c r="AH126" s="13">
        <v>-107101.77091500496</v>
      </c>
      <c r="AI126" s="13">
        <v>69872.165136445226</v>
      </c>
      <c r="AJ126" s="13">
        <v>916807</v>
      </c>
      <c r="AK126" s="13">
        <v>274888</v>
      </c>
      <c r="AL126" s="13">
        <v>642507.60305360006</v>
      </c>
      <c r="AM126" s="13">
        <v>26076.264178597019</v>
      </c>
      <c r="AN126" s="13">
        <v>100966.89511105619</v>
      </c>
      <c r="AO126" s="13">
        <v>316588.37062268355</v>
      </c>
      <c r="AP126" s="13">
        <v>483606.50641529675</v>
      </c>
      <c r="AQ126" s="13">
        <v>771459.61964288226</v>
      </c>
      <c r="AR126" s="13">
        <v>225046.2031277343</v>
      </c>
      <c r="AS126" s="13">
        <v>416066.22868548939</v>
      </c>
      <c r="AT126" s="34"/>
      <c r="AU126" s="13"/>
      <c r="AV126" s="34"/>
      <c r="AW126" s="34"/>
      <c r="AX126" s="34"/>
      <c r="AY126" s="13">
        <v>545904.30050564336</v>
      </c>
      <c r="AZ126" s="13">
        <v>314502.15227749647</v>
      </c>
      <c r="BA126" s="13">
        <v>300131.16157739377</v>
      </c>
      <c r="BB126" s="32">
        <v>830477.12585432839</v>
      </c>
      <c r="BC126" s="33">
        <v>-26771.685690859114</v>
      </c>
      <c r="BD126" s="33">
        <v>-267335.8</v>
      </c>
      <c r="BE126" s="33">
        <v>-102448.81999999999</v>
      </c>
      <c r="BF126" s="14"/>
      <c r="BG126" s="14">
        <v>1004786.1760467186</v>
      </c>
      <c r="BH126" s="33">
        <v>2628421.4579555523</v>
      </c>
      <c r="BI126" s="13">
        <v>-1118102</v>
      </c>
      <c r="BJ126" s="13">
        <v>1968</v>
      </c>
      <c r="BK126" s="33">
        <v>-138636.8725</v>
      </c>
    </row>
    <row r="127" spans="1:63" ht="14.25" x14ac:dyDescent="0.2">
      <c r="A127" s="14">
        <v>421</v>
      </c>
      <c r="B127" s="14" t="s">
        <v>401</v>
      </c>
      <c r="C127" s="14">
        <v>665</v>
      </c>
      <c r="D127" s="14">
        <v>39</v>
      </c>
      <c r="E127" s="14">
        <v>4</v>
      </c>
      <c r="F127" s="14">
        <v>45</v>
      </c>
      <c r="G127" s="14">
        <v>18</v>
      </c>
      <c r="H127" s="14">
        <v>559</v>
      </c>
      <c r="I127" s="14">
        <v>308</v>
      </c>
      <c r="K127" s="29">
        <v>14.416666666666666</v>
      </c>
      <c r="L127" s="29">
        <v>263</v>
      </c>
      <c r="M127" s="14">
        <v>20.75</v>
      </c>
      <c r="N127" s="11">
        <v>16</v>
      </c>
      <c r="O127" s="11">
        <v>0</v>
      </c>
      <c r="P127" s="11">
        <v>1</v>
      </c>
      <c r="Q127" s="11">
        <v>0</v>
      </c>
      <c r="R127" s="11">
        <v>0</v>
      </c>
      <c r="S127" s="11">
        <v>480.08</v>
      </c>
      <c r="T127" s="14">
        <v>14</v>
      </c>
      <c r="U127" s="14">
        <v>138</v>
      </c>
      <c r="V127" s="330"/>
      <c r="W127" s="11">
        <v>1.5782666666666665</v>
      </c>
      <c r="X127" s="64">
        <v>227</v>
      </c>
      <c r="Y127" s="64">
        <v>244</v>
      </c>
      <c r="Z127" s="331">
        <v>0.90077637113940012</v>
      </c>
      <c r="AA127" s="31">
        <v>0</v>
      </c>
      <c r="AB127" s="11">
        <v>0</v>
      </c>
      <c r="AC127" s="11">
        <v>0</v>
      </c>
      <c r="AE127" s="32">
        <v>-18593.2</v>
      </c>
      <c r="AF127" s="13">
        <v>-13869.62</v>
      </c>
      <c r="AG127" s="13">
        <v>14029.129123728864</v>
      </c>
      <c r="AH127" s="13">
        <v>-24724.742989185594</v>
      </c>
      <c r="AI127" s="13">
        <v>325.37006677441059</v>
      </c>
      <c r="AJ127" s="13">
        <v>87058</v>
      </c>
      <c r="AK127" s="13">
        <v>27619</v>
      </c>
      <c r="AL127" s="13">
        <v>77405.559725266779</v>
      </c>
      <c r="AM127" s="13">
        <v>3950.5922864278295</v>
      </c>
      <c r="AN127" s="13">
        <v>13927.977188081828</v>
      </c>
      <c r="AO127" s="13">
        <v>33393.642525289819</v>
      </c>
      <c r="AP127" s="13">
        <v>41412.724454893098</v>
      </c>
      <c r="AQ127" s="13">
        <v>78470.138882357875</v>
      </c>
      <c r="AR127" s="13">
        <v>23278.636365199982</v>
      </c>
      <c r="AS127" s="13">
        <v>41380.884639625365</v>
      </c>
      <c r="AT127" s="34"/>
      <c r="AU127" s="13"/>
      <c r="AV127" s="34"/>
      <c r="AW127" s="34"/>
      <c r="AX127" s="34"/>
      <c r="AY127" s="13">
        <v>58612.481388770488</v>
      </c>
      <c r="AZ127" s="13">
        <v>28266.975387932522</v>
      </c>
      <c r="BA127" s="13">
        <v>29220.932860695222</v>
      </c>
      <c r="BB127" s="32">
        <v>339846.08488809998</v>
      </c>
      <c r="BC127" s="33">
        <v>98538.681911701977</v>
      </c>
      <c r="BD127" s="33">
        <v>-19817</v>
      </c>
      <c r="BE127" s="33">
        <v>-7594.3</v>
      </c>
      <c r="BF127" s="14"/>
      <c r="BG127" s="14">
        <v>136011.22421622631</v>
      </c>
      <c r="BH127" s="33">
        <v>26927.479013271695</v>
      </c>
      <c r="BI127" s="13">
        <v>-128109</v>
      </c>
      <c r="BJ127" s="13">
        <v>173</v>
      </c>
      <c r="BK127" s="33">
        <v>-8833.75</v>
      </c>
    </row>
    <row r="128" spans="1:63" ht="14.25" x14ac:dyDescent="0.2">
      <c r="A128" s="14">
        <v>422</v>
      </c>
      <c r="B128" s="14" t="s">
        <v>402</v>
      </c>
      <c r="C128" s="14">
        <v>10049</v>
      </c>
      <c r="D128" s="14">
        <v>266</v>
      </c>
      <c r="E128" s="14">
        <v>47</v>
      </c>
      <c r="F128" s="14">
        <v>449</v>
      </c>
      <c r="G128" s="14">
        <v>238</v>
      </c>
      <c r="H128" s="14">
        <v>9049</v>
      </c>
      <c r="I128" s="14">
        <v>4650</v>
      </c>
      <c r="K128" s="29">
        <v>645.91666666666663</v>
      </c>
      <c r="L128" s="29">
        <v>3869</v>
      </c>
      <c r="M128" s="14">
        <v>870.08333333333326</v>
      </c>
      <c r="N128" s="11">
        <v>655</v>
      </c>
      <c r="O128" s="11">
        <v>0</v>
      </c>
      <c r="P128" s="11">
        <v>8</v>
      </c>
      <c r="Q128" s="11">
        <v>3</v>
      </c>
      <c r="R128" s="11">
        <v>268</v>
      </c>
      <c r="S128" s="11">
        <v>3417.74</v>
      </c>
      <c r="T128" s="14">
        <v>399</v>
      </c>
      <c r="U128" s="14">
        <v>2326</v>
      </c>
      <c r="V128" s="330"/>
      <c r="W128" s="11">
        <v>1.20475</v>
      </c>
      <c r="X128" s="64">
        <v>3282</v>
      </c>
      <c r="Y128" s="64">
        <v>3206</v>
      </c>
      <c r="Z128" s="331">
        <v>0.85016698347733111</v>
      </c>
      <c r="AA128" s="31">
        <v>0</v>
      </c>
      <c r="AB128" s="11">
        <v>0</v>
      </c>
      <c r="AC128" s="11">
        <v>0</v>
      </c>
      <c r="AE128" s="32">
        <v>-436248.95315000002</v>
      </c>
      <c r="AF128" s="13">
        <v>-205911.99000000002</v>
      </c>
      <c r="AG128" s="13">
        <v>530407.05315925088</v>
      </c>
      <c r="AH128" s="13">
        <v>-107767.63720849884</v>
      </c>
      <c r="AI128" s="13">
        <v>122448.83340217418</v>
      </c>
      <c r="AJ128" s="13">
        <v>1068144</v>
      </c>
      <c r="AK128" s="13">
        <v>308816</v>
      </c>
      <c r="AL128" s="13">
        <v>830643.17921371618</v>
      </c>
      <c r="AM128" s="13">
        <v>50258.222704214997</v>
      </c>
      <c r="AN128" s="13">
        <v>160868.26536115995</v>
      </c>
      <c r="AO128" s="13">
        <v>477634.48709788191</v>
      </c>
      <c r="AP128" s="13">
        <v>576044.78739238111</v>
      </c>
      <c r="AQ128" s="13">
        <v>990194.30494164641</v>
      </c>
      <c r="AR128" s="13">
        <v>262197.11248605064</v>
      </c>
      <c r="AS128" s="13">
        <v>511283.10121302592</v>
      </c>
      <c r="AT128" s="34"/>
      <c r="AU128" s="13"/>
      <c r="AV128" s="34"/>
      <c r="AW128" s="34"/>
      <c r="AX128" s="34"/>
      <c r="AY128" s="13">
        <v>647151.11544255272</v>
      </c>
      <c r="AZ128" s="13">
        <v>369920.0194040598</v>
      </c>
      <c r="BA128" s="13">
        <v>332000.80174736638</v>
      </c>
      <c r="BB128" s="32">
        <v>-303805.50825229962</v>
      </c>
      <c r="BC128" s="33">
        <v>-43839.448811976334</v>
      </c>
      <c r="BD128" s="33">
        <v>-299460.2</v>
      </c>
      <c r="BE128" s="33">
        <v>-114759.58</v>
      </c>
      <c r="BF128" s="14"/>
      <c r="BG128" s="14">
        <v>1476759.7458536215</v>
      </c>
      <c r="BH128" s="33">
        <v>2664680.9825411793</v>
      </c>
      <c r="BI128" s="13">
        <v>-150855</v>
      </c>
      <c r="BJ128" s="13">
        <v>1739</v>
      </c>
      <c r="BK128" s="33">
        <v>69168.262499999953</v>
      </c>
    </row>
    <row r="129" spans="1:63" ht="14.25" x14ac:dyDescent="0.2">
      <c r="A129" s="14">
        <v>423</v>
      </c>
      <c r="B129" s="14" t="s">
        <v>403</v>
      </c>
      <c r="C129" s="14">
        <v>20666</v>
      </c>
      <c r="D129" s="14">
        <v>1253</v>
      </c>
      <c r="E129" s="14">
        <v>220</v>
      </c>
      <c r="F129" s="14">
        <v>1674</v>
      </c>
      <c r="G129" s="14">
        <v>944</v>
      </c>
      <c r="H129" s="14">
        <v>16575</v>
      </c>
      <c r="I129" s="14">
        <v>11690</v>
      </c>
      <c r="K129" s="29">
        <v>615.08333333333337</v>
      </c>
      <c r="L129" s="29">
        <v>10164</v>
      </c>
      <c r="M129" s="14">
        <v>869.33333333333337</v>
      </c>
      <c r="N129" s="11">
        <v>972</v>
      </c>
      <c r="O129" s="11">
        <v>0</v>
      </c>
      <c r="P129" s="11">
        <v>318</v>
      </c>
      <c r="Q129" s="11">
        <v>0</v>
      </c>
      <c r="R129" s="11">
        <v>0</v>
      </c>
      <c r="S129" s="11">
        <v>300.52999999999997</v>
      </c>
      <c r="T129" s="14">
        <v>590</v>
      </c>
      <c r="U129" s="14">
        <v>7106</v>
      </c>
      <c r="V129" s="330"/>
      <c r="W129" s="11">
        <v>0</v>
      </c>
      <c r="X129" s="64">
        <v>7012</v>
      </c>
      <c r="Y129" s="64">
        <v>9733</v>
      </c>
      <c r="Z129" s="331">
        <v>1.0337900202603223</v>
      </c>
      <c r="AA129" s="31">
        <v>0.61292650393872294</v>
      </c>
      <c r="AB129" s="11">
        <v>0</v>
      </c>
      <c r="AC129" s="11">
        <v>3</v>
      </c>
      <c r="AE129" s="32">
        <v>-440572.75744999998</v>
      </c>
      <c r="AF129" s="13">
        <v>-387004.66000000003</v>
      </c>
      <c r="AG129" s="13">
        <v>595485.90554074803</v>
      </c>
      <c r="AH129" s="13">
        <v>-369031.65193488105</v>
      </c>
      <c r="AI129" s="13">
        <v>-83449.12181213568</v>
      </c>
      <c r="AJ129" s="13">
        <v>1240823</v>
      </c>
      <c r="AK129" s="13">
        <v>412341</v>
      </c>
      <c r="AL129" s="13">
        <v>713439.90128232166</v>
      </c>
      <c r="AM129" s="13">
        <v>8667.1804605950256</v>
      </c>
      <c r="AN129" s="13">
        <v>-59692.685427677498</v>
      </c>
      <c r="AO129" s="13">
        <v>360453.81163362268</v>
      </c>
      <c r="AP129" s="13">
        <v>779973.23766218405</v>
      </c>
      <c r="AQ129" s="13">
        <v>1391968.517984017</v>
      </c>
      <c r="AR129" s="13">
        <v>350090.31404010975</v>
      </c>
      <c r="AS129" s="13">
        <v>658548.93178500328</v>
      </c>
      <c r="AT129" s="34"/>
      <c r="AU129" s="13"/>
      <c r="AV129" s="34"/>
      <c r="AW129" s="34"/>
      <c r="AX129" s="34"/>
      <c r="AY129" s="13">
        <v>795753.74382946594</v>
      </c>
      <c r="AZ129" s="13">
        <v>559146.96623078233</v>
      </c>
      <c r="BA129" s="13">
        <v>544109.63749557349</v>
      </c>
      <c r="BB129" s="32">
        <v>2692273.7804819779</v>
      </c>
      <c r="BC129" s="33">
        <v>-48713.045795537735</v>
      </c>
      <c r="BD129" s="33">
        <v>-615846.80000000005</v>
      </c>
      <c r="BE129" s="33">
        <v>-236005.72</v>
      </c>
      <c r="BF129" s="14"/>
      <c r="BG129" s="14">
        <v>1202064.7375822957</v>
      </c>
      <c r="BH129" s="33">
        <v>1164204.72186961</v>
      </c>
      <c r="BI129" s="13">
        <v>-2377042</v>
      </c>
      <c r="BJ129" s="13">
        <v>6266</v>
      </c>
      <c r="BK129" s="33">
        <v>-555678.21</v>
      </c>
    </row>
    <row r="130" spans="1:63" ht="14.25" x14ac:dyDescent="0.2">
      <c r="A130" s="14">
        <v>425</v>
      </c>
      <c r="B130" s="14" t="s">
        <v>404</v>
      </c>
      <c r="C130" s="14">
        <v>10190</v>
      </c>
      <c r="D130" s="14">
        <v>922</v>
      </c>
      <c r="E130" s="14">
        <v>171</v>
      </c>
      <c r="F130" s="14">
        <v>1345</v>
      </c>
      <c r="G130" s="14">
        <v>728</v>
      </c>
      <c r="H130" s="14">
        <v>7024</v>
      </c>
      <c r="I130" s="14">
        <v>5412</v>
      </c>
      <c r="K130" s="29">
        <v>310.58333333333331</v>
      </c>
      <c r="L130" s="29">
        <v>4562</v>
      </c>
      <c r="M130" s="14">
        <v>433.58333333333331</v>
      </c>
      <c r="N130" s="11">
        <v>98</v>
      </c>
      <c r="O130" s="11">
        <v>0</v>
      </c>
      <c r="P130" s="11">
        <v>11</v>
      </c>
      <c r="Q130" s="11">
        <v>0</v>
      </c>
      <c r="R130" s="11">
        <v>0</v>
      </c>
      <c r="S130" s="11">
        <v>637.36</v>
      </c>
      <c r="T130" s="14">
        <v>172</v>
      </c>
      <c r="U130" s="14">
        <v>3413</v>
      </c>
      <c r="V130" s="330"/>
      <c r="W130" s="11">
        <v>0</v>
      </c>
      <c r="X130" s="64">
        <v>2503</v>
      </c>
      <c r="Y130" s="64">
        <v>4293</v>
      </c>
      <c r="Z130" s="331">
        <v>1.0894019979045626</v>
      </c>
      <c r="AA130" s="31">
        <v>0</v>
      </c>
      <c r="AB130" s="11">
        <v>0</v>
      </c>
      <c r="AC130" s="11">
        <v>7</v>
      </c>
      <c r="AE130" s="32">
        <v>-148744.85999999999</v>
      </c>
      <c r="AF130" s="13">
        <v>-196671.98</v>
      </c>
      <c r="AG130" s="13">
        <v>255461.48908469806</v>
      </c>
      <c r="AH130" s="13">
        <v>-439419.57576373965</v>
      </c>
      <c r="AI130" s="13">
        <v>-16228.559604740265</v>
      </c>
      <c r="AJ130" s="13">
        <v>593519</v>
      </c>
      <c r="AK130" s="13">
        <v>166010</v>
      </c>
      <c r="AL130" s="13">
        <v>333043.66964089219</v>
      </c>
      <c r="AM130" s="13">
        <v>-639.76875028549762</v>
      </c>
      <c r="AN130" s="13">
        <v>-12296.181836887137</v>
      </c>
      <c r="AO130" s="13">
        <v>206898.77974201023</v>
      </c>
      <c r="AP130" s="13">
        <v>384628.31613368576</v>
      </c>
      <c r="AQ130" s="13">
        <v>580936.63250783016</v>
      </c>
      <c r="AR130" s="13">
        <v>119767.59798885522</v>
      </c>
      <c r="AS130" s="13">
        <v>301142.6827639761</v>
      </c>
      <c r="AT130" s="34"/>
      <c r="AU130" s="13"/>
      <c r="AV130" s="34"/>
      <c r="AW130" s="34"/>
      <c r="AX130" s="34"/>
      <c r="AY130" s="13">
        <v>419271.47203865193</v>
      </c>
      <c r="AZ130" s="13">
        <v>265227.01883729501</v>
      </c>
      <c r="BA130" s="13">
        <v>271050.50550123875</v>
      </c>
      <c r="BB130" s="32">
        <v>-655908.62277299759</v>
      </c>
      <c r="BC130" s="32">
        <v>-1190001.9566056086</v>
      </c>
      <c r="BD130" s="32">
        <v>-303662</v>
      </c>
      <c r="BE130" s="32">
        <v>-116369.8</v>
      </c>
      <c r="BF130" s="14"/>
      <c r="BG130" s="14">
        <v>329072.26346831903</v>
      </c>
      <c r="BH130" s="33">
        <v>5320493.9853960956</v>
      </c>
      <c r="BI130" s="13">
        <v>1547504</v>
      </c>
      <c r="BJ130" s="13">
        <v>4620</v>
      </c>
      <c r="BK130" s="33">
        <v>246426.29</v>
      </c>
    </row>
    <row r="131" spans="1:63" ht="14.25" x14ac:dyDescent="0.2">
      <c r="A131" s="14">
        <v>426</v>
      </c>
      <c r="B131" s="14" t="s">
        <v>405</v>
      </c>
      <c r="C131" s="14">
        <v>11913</v>
      </c>
      <c r="D131" s="14">
        <v>610</v>
      </c>
      <c r="E131" s="14">
        <v>126</v>
      </c>
      <c r="F131" s="14">
        <v>915</v>
      </c>
      <c r="G131" s="14">
        <v>514</v>
      </c>
      <c r="H131" s="14">
        <v>9748</v>
      </c>
      <c r="I131" s="14">
        <v>6513</v>
      </c>
      <c r="K131" s="29">
        <v>637.75</v>
      </c>
      <c r="L131" s="29">
        <v>5598</v>
      </c>
      <c r="M131" s="14">
        <v>873.41666666666663</v>
      </c>
      <c r="N131" s="11">
        <v>323</v>
      </c>
      <c r="O131" s="11">
        <v>0</v>
      </c>
      <c r="P131" s="11">
        <v>5</v>
      </c>
      <c r="Q131" s="11">
        <v>3</v>
      </c>
      <c r="R131" s="11">
        <v>465</v>
      </c>
      <c r="S131" s="11">
        <v>727.48</v>
      </c>
      <c r="T131" s="14">
        <v>336</v>
      </c>
      <c r="U131" s="14">
        <v>3728</v>
      </c>
      <c r="V131" s="330"/>
      <c r="W131" s="11">
        <v>0</v>
      </c>
      <c r="X131" s="64">
        <v>3481</v>
      </c>
      <c r="Y131" s="64">
        <v>4960</v>
      </c>
      <c r="Z131" s="331">
        <v>1.0294443592043161</v>
      </c>
      <c r="AA131" s="31">
        <v>0</v>
      </c>
      <c r="AB131" s="11">
        <v>0</v>
      </c>
      <c r="AC131" s="11">
        <v>0</v>
      </c>
      <c r="AE131" s="32">
        <v>-477963.20500000002</v>
      </c>
      <c r="AF131" s="13">
        <v>-230404.74000000002</v>
      </c>
      <c r="AG131" s="13">
        <v>406244.44872973999</v>
      </c>
      <c r="AH131" s="13">
        <v>-213046.2528905097</v>
      </c>
      <c r="AI131" s="13">
        <v>108918.41144145781</v>
      </c>
      <c r="AJ131" s="13">
        <v>1003309</v>
      </c>
      <c r="AK131" s="13">
        <v>306424</v>
      </c>
      <c r="AL131" s="13">
        <v>750447.30381600012</v>
      </c>
      <c r="AM131" s="13">
        <v>30134.696365814489</v>
      </c>
      <c r="AN131" s="13">
        <v>133757.863734118</v>
      </c>
      <c r="AO131" s="13">
        <v>345272.99082662462</v>
      </c>
      <c r="AP131" s="13">
        <v>626254.99055567558</v>
      </c>
      <c r="AQ131" s="13">
        <v>1002006.8323394094</v>
      </c>
      <c r="AR131" s="13">
        <v>274048.85143614374</v>
      </c>
      <c r="AS131" s="13">
        <v>527260.1509002985</v>
      </c>
      <c r="AT131" s="34"/>
      <c r="AU131" s="13"/>
      <c r="AV131" s="34"/>
      <c r="AW131" s="34"/>
      <c r="AX131" s="34"/>
      <c r="AY131" s="13">
        <v>682821.22311437759</v>
      </c>
      <c r="AZ131" s="13">
        <v>419009.01298950042</v>
      </c>
      <c r="BA131" s="13">
        <v>410759.27132979163</v>
      </c>
      <c r="BB131" s="32">
        <v>-1689718.2459034517</v>
      </c>
      <c r="BC131" s="33">
        <v>-813666.46332229814</v>
      </c>
      <c r="BD131" s="33">
        <v>-355007.4</v>
      </c>
      <c r="BE131" s="33">
        <v>-136046.46</v>
      </c>
      <c r="BF131" s="14"/>
      <c r="BG131" s="14">
        <v>992565.28183143667</v>
      </c>
      <c r="BH131" s="33">
        <v>5760236.2431890173</v>
      </c>
      <c r="BI131" s="13">
        <v>-1919035</v>
      </c>
      <c r="BJ131" s="13">
        <v>3379</v>
      </c>
      <c r="BK131" s="33">
        <v>-866855.88750000019</v>
      </c>
    </row>
    <row r="132" spans="1:63" ht="14.25" x14ac:dyDescent="0.2">
      <c r="A132" s="14">
        <v>444</v>
      </c>
      <c r="B132" s="14" t="s">
        <v>413</v>
      </c>
      <c r="C132" s="14">
        <v>45687</v>
      </c>
      <c r="D132" s="14">
        <v>1946</v>
      </c>
      <c r="E132" s="14">
        <v>411</v>
      </c>
      <c r="F132" s="14">
        <v>2900</v>
      </c>
      <c r="G132" s="14">
        <v>1774</v>
      </c>
      <c r="H132" s="14">
        <v>38656</v>
      </c>
      <c r="I132" s="14">
        <v>25279</v>
      </c>
      <c r="K132" s="29">
        <v>2093.3333333333335</v>
      </c>
      <c r="L132" s="29">
        <v>21450</v>
      </c>
      <c r="M132" s="14">
        <v>2833.5833333333335</v>
      </c>
      <c r="N132" s="11">
        <v>3116</v>
      </c>
      <c r="O132" s="11">
        <v>1</v>
      </c>
      <c r="P132" s="11">
        <v>1568</v>
      </c>
      <c r="Q132" s="11">
        <v>0</v>
      </c>
      <c r="R132" s="11">
        <v>0</v>
      </c>
      <c r="S132" s="11">
        <v>940.2</v>
      </c>
      <c r="T132" s="14">
        <v>2202</v>
      </c>
      <c r="U132" s="14">
        <v>13766</v>
      </c>
      <c r="V132" s="330"/>
      <c r="W132" s="11">
        <v>0</v>
      </c>
      <c r="X132" s="64">
        <v>14993</v>
      </c>
      <c r="Y132" s="64">
        <v>19293</v>
      </c>
      <c r="Z132" s="331">
        <v>1.0179846120816165</v>
      </c>
      <c r="AA132" s="31">
        <v>0</v>
      </c>
      <c r="AB132" s="11">
        <v>0</v>
      </c>
      <c r="AC132" s="11">
        <v>2</v>
      </c>
      <c r="AE132" s="32">
        <v>-2554957.4190500001</v>
      </c>
      <c r="AF132" s="13">
        <v>-881470.06</v>
      </c>
      <c r="AG132" s="13">
        <v>2117799.1890837396</v>
      </c>
      <c r="AH132" s="13">
        <v>-539546.59676926374</v>
      </c>
      <c r="AI132" s="13">
        <v>-118601.37245352357</v>
      </c>
      <c r="AJ132" s="13">
        <v>3336584</v>
      </c>
      <c r="AK132" s="13">
        <v>1126591</v>
      </c>
      <c r="AL132" s="13">
        <v>2365028.4992995057</v>
      </c>
      <c r="AM132" s="13">
        <v>53694.911466725047</v>
      </c>
      <c r="AN132" s="13">
        <v>63083.837696464943</v>
      </c>
      <c r="AO132" s="13">
        <v>819845.1466709238</v>
      </c>
      <c r="AP132" s="13">
        <v>2276281.1469600773</v>
      </c>
      <c r="AQ132" s="13">
        <v>3548105.7248152178</v>
      </c>
      <c r="AR132" s="13">
        <v>1036342.8025234072</v>
      </c>
      <c r="AS132" s="13">
        <v>1798553.4888966852</v>
      </c>
      <c r="AT132" s="34"/>
      <c r="AU132" s="13"/>
      <c r="AV132" s="34"/>
      <c r="AW132" s="34"/>
      <c r="AX132" s="34"/>
      <c r="AY132" s="13">
        <v>2242191.8107692068</v>
      </c>
      <c r="AZ132" s="13">
        <v>1413610.0224912281</v>
      </c>
      <c r="BA132" s="13">
        <v>1484927.033414721</v>
      </c>
      <c r="BB132" s="32">
        <v>2478386.7976316563</v>
      </c>
      <c r="BC132" s="33">
        <v>1983331.2612191553</v>
      </c>
      <c r="BD132" s="33">
        <v>-1361472.6</v>
      </c>
      <c r="BE132" s="33">
        <v>-521745.54</v>
      </c>
      <c r="BF132" s="14"/>
      <c r="BG132" s="14">
        <v>4067964.5260628872</v>
      </c>
      <c r="BH132" s="33">
        <v>4361149.6003389405</v>
      </c>
      <c r="BI132" s="13">
        <v>409451</v>
      </c>
      <c r="BJ132" s="13">
        <v>12386</v>
      </c>
      <c r="BK132" s="33">
        <v>2818107.5900000003</v>
      </c>
    </row>
    <row r="133" spans="1:63" ht="14.25" x14ac:dyDescent="0.2">
      <c r="A133" s="14">
        <v>430</v>
      </c>
      <c r="B133" s="14" t="s">
        <v>406</v>
      </c>
      <c r="C133" s="14">
        <v>15295</v>
      </c>
      <c r="D133" s="14">
        <v>635</v>
      </c>
      <c r="E133" s="14">
        <v>106</v>
      </c>
      <c r="F133" s="14">
        <v>867</v>
      </c>
      <c r="G133" s="14">
        <v>498</v>
      </c>
      <c r="H133" s="14">
        <v>13189</v>
      </c>
      <c r="I133" s="14">
        <v>7789</v>
      </c>
      <c r="K133" s="29">
        <v>690.91666666666663</v>
      </c>
      <c r="L133" s="29">
        <v>6551</v>
      </c>
      <c r="M133" s="14">
        <v>1036.3333333333333</v>
      </c>
      <c r="N133" s="11">
        <v>932</v>
      </c>
      <c r="O133" s="11">
        <v>0</v>
      </c>
      <c r="P133" s="11">
        <v>35</v>
      </c>
      <c r="Q133" s="11">
        <v>0</v>
      </c>
      <c r="R133" s="11">
        <v>0</v>
      </c>
      <c r="S133" s="11">
        <v>848.1</v>
      </c>
      <c r="T133" s="14">
        <v>716</v>
      </c>
      <c r="U133" s="14">
        <v>4165</v>
      </c>
      <c r="V133" s="330"/>
      <c r="W133" s="11">
        <v>0</v>
      </c>
      <c r="X133" s="64">
        <v>6067</v>
      </c>
      <c r="Y133" s="64">
        <v>5823</v>
      </c>
      <c r="Z133" s="331">
        <v>0.83087271624623205</v>
      </c>
      <c r="AA133" s="31">
        <v>0</v>
      </c>
      <c r="AB133" s="11">
        <v>0</v>
      </c>
      <c r="AC133" s="11">
        <v>0</v>
      </c>
      <c r="AE133" s="32">
        <v>-621836.44579999999</v>
      </c>
      <c r="AF133" s="13">
        <v>-302941.7</v>
      </c>
      <c r="AG133" s="13">
        <v>798173.09282262519</v>
      </c>
      <c r="AH133" s="13">
        <v>-230939.12293310839</v>
      </c>
      <c r="AI133" s="13">
        <v>23430.860048870032</v>
      </c>
      <c r="AJ133" s="13">
        <v>1444612</v>
      </c>
      <c r="AK133" s="13">
        <v>489811</v>
      </c>
      <c r="AL133" s="13">
        <v>1178579.4314645445</v>
      </c>
      <c r="AM133" s="13">
        <v>63543.663759858078</v>
      </c>
      <c r="AN133" s="13">
        <v>133455.78187747271</v>
      </c>
      <c r="AO133" s="13">
        <v>556060.40309728321</v>
      </c>
      <c r="AP133" s="13">
        <v>920743.56647319521</v>
      </c>
      <c r="AQ133" s="13">
        <v>1523583.4065890629</v>
      </c>
      <c r="AR133" s="13">
        <v>452307.59742876521</v>
      </c>
      <c r="AS133" s="13">
        <v>755542.00888937956</v>
      </c>
      <c r="AT133" s="34"/>
      <c r="AU133" s="13"/>
      <c r="AV133" s="34"/>
      <c r="AW133" s="34"/>
      <c r="AX133" s="34"/>
      <c r="AY133" s="13">
        <v>1000468.9533967766</v>
      </c>
      <c r="AZ133" s="13">
        <v>585624.03290906292</v>
      </c>
      <c r="BA133" s="13">
        <v>585980.37330476323</v>
      </c>
      <c r="BB133" s="32">
        <v>1261488.4010607996</v>
      </c>
      <c r="BC133" s="33">
        <v>-65057.53915483415</v>
      </c>
      <c r="BD133" s="33">
        <v>-455791</v>
      </c>
      <c r="BE133" s="33">
        <v>-174668.9</v>
      </c>
      <c r="BF133" s="14"/>
      <c r="BG133" s="14">
        <v>2319745.6876526102</v>
      </c>
      <c r="BH133" s="33">
        <v>6532069.7233023737</v>
      </c>
      <c r="BI133" s="13">
        <v>-1759653</v>
      </c>
      <c r="BJ133" s="13">
        <v>3793</v>
      </c>
      <c r="BK133" s="33">
        <v>149255.04000000004</v>
      </c>
    </row>
    <row r="134" spans="1:63" ht="14.25" x14ac:dyDescent="0.2">
      <c r="A134" s="14">
        <v>433</v>
      </c>
      <c r="B134" s="14" t="s">
        <v>407</v>
      </c>
      <c r="C134" s="14">
        <v>7657</v>
      </c>
      <c r="D134" s="14">
        <v>348</v>
      </c>
      <c r="E134" s="14">
        <v>58</v>
      </c>
      <c r="F134" s="14">
        <v>499</v>
      </c>
      <c r="G134" s="14">
        <v>317</v>
      </c>
      <c r="H134" s="14">
        <v>6435</v>
      </c>
      <c r="I134" s="14">
        <v>4138</v>
      </c>
      <c r="K134" s="29">
        <v>224.33333333333334</v>
      </c>
      <c r="L134" s="29">
        <v>3544</v>
      </c>
      <c r="M134" s="14">
        <v>345.66666666666669</v>
      </c>
      <c r="N134" s="11">
        <v>287</v>
      </c>
      <c r="O134" s="11">
        <v>0</v>
      </c>
      <c r="P134" s="11">
        <v>36</v>
      </c>
      <c r="Q134" s="11">
        <v>0</v>
      </c>
      <c r="R134" s="11">
        <v>0</v>
      </c>
      <c r="S134" s="11">
        <v>597.70000000000005</v>
      </c>
      <c r="T134" s="14">
        <v>302</v>
      </c>
      <c r="U134" s="14">
        <v>2265</v>
      </c>
      <c r="V134" s="330"/>
      <c r="W134" s="11">
        <v>0</v>
      </c>
      <c r="X134" s="64">
        <v>1868</v>
      </c>
      <c r="Y134" s="64">
        <v>3304</v>
      </c>
      <c r="Z134" s="331">
        <v>0.99577783944895359</v>
      </c>
      <c r="AA134" s="31">
        <v>0</v>
      </c>
      <c r="AB134" s="11">
        <v>0</v>
      </c>
      <c r="AC134" s="11">
        <v>0</v>
      </c>
      <c r="AE134" s="32">
        <v>-228907.24400000001</v>
      </c>
      <c r="AF134" s="13">
        <v>-150856.13</v>
      </c>
      <c r="AG134" s="13">
        <v>265265.14442149957</v>
      </c>
      <c r="AH134" s="13">
        <v>-103423.4718886413</v>
      </c>
      <c r="AI134" s="13">
        <v>-21790.629479522031</v>
      </c>
      <c r="AJ134" s="13">
        <v>727932</v>
      </c>
      <c r="AK134" s="13">
        <v>226573</v>
      </c>
      <c r="AL134" s="13">
        <v>508996.28072444606</v>
      </c>
      <c r="AM134" s="13">
        <v>13819.042114133674</v>
      </c>
      <c r="AN134" s="13">
        <v>58262.31202182018</v>
      </c>
      <c r="AO134" s="13">
        <v>171978.04434284213</v>
      </c>
      <c r="AP134" s="13">
        <v>428050.02531079057</v>
      </c>
      <c r="AQ134" s="13">
        <v>684417.27799681155</v>
      </c>
      <c r="AR134" s="13">
        <v>200257.29572065148</v>
      </c>
      <c r="AS134" s="13">
        <v>347559.862140443</v>
      </c>
      <c r="AT134" s="34"/>
      <c r="AU134" s="13"/>
      <c r="AV134" s="34"/>
      <c r="AW134" s="34"/>
      <c r="AX134" s="34"/>
      <c r="AY134" s="13">
        <v>463012.08584468858</v>
      </c>
      <c r="AZ134" s="13">
        <v>284641.12191934296</v>
      </c>
      <c r="BA134" s="13">
        <v>278928.74699777825</v>
      </c>
      <c r="BB134" s="32">
        <v>55291.691277203128</v>
      </c>
      <c r="BC134" s="33">
        <v>-32752.785272271947</v>
      </c>
      <c r="BD134" s="33">
        <v>-228178.6</v>
      </c>
      <c r="BE134" s="33">
        <v>-87442.94</v>
      </c>
      <c r="BF134" s="14"/>
      <c r="BG134" s="14">
        <v>865495.32239434181</v>
      </c>
      <c r="BH134" s="33">
        <v>2212893.1715544118</v>
      </c>
      <c r="BI134" s="13">
        <v>-856026</v>
      </c>
      <c r="BJ134" s="13">
        <v>1992</v>
      </c>
      <c r="BK134" s="33">
        <v>125439.25</v>
      </c>
    </row>
    <row r="135" spans="1:63" ht="14.25" x14ac:dyDescent="0.2">
      <c r="A135" s="14">
        <v>434</v>
      </c>
      <c r="B135" s="14" t="s">
        <v>408</v>
      </c>
      <c r="C135" s="14">
        <v>14352</v>
      </c>
      <c r="D135" s="14">
        <v>549</v>
      </c>
      <c r="E135" s="14">
        <v>98</v>
      </c>
      <c r="F135" s="14">
        <v>828</v>
      </c>
      <c r="G135" s="14">
        <v>462</v>
      </c>
      <c r="H135" s="14">
        <v>12415</v>
      </c>
      <c r="I135" s="14">
        <v>7591</v>
      </c>
      <c r="K135" s="29">
        <v>724.83333333333337</v>
      </c>
      <c r="L135" s="29">
        <v>6622</v>
      </c>
      <c r="M135" s="14">
        <v>937.33333333333337</v>
      </c>
      <c r="N135" s="11">
        <v>883</v>
      </c>
      <c r="O135" s="11">
        <v>1</v>
      </c>
      <c r="P135" s="11">
        <v>5562</v>
      </c>
      <c r="Q135" s="11">
        <v>3</v>
      </c>
      <c r="R135" s="11">
        <v>686</v>
      </c>
      <c r="S135" s="11">
        <v>820.06</v>
      </c>
      <c r="T135" s="14">
        <v>667</v>
      </c>
      <c r="U135" s="14">
        <v>4140</v>
      </c>
      <c r="V135" s="330"/>
      <c r="W135" s="11">
        <v>0</v>
      </c>
      <c r="X135" s="64">
        <v>4704</v>
      </c>
      <c r="Y135" s="64">
        <v>5844</v>
      </c>
      <c r="Z135" s="331">
        <v>0.95994486882859009</v>
      </c>
      <c r="AA135" s="31">
        <v>0</v>
      </c>
      <c r="AB135" s="11">
        <v>0</v>
      </c>
      <c r="AC135" s="11">
        <v>0</v>
      </c>
      <c r="AE135" s="32">
        <v>-573024.28599999996</v>
      </c>
      <c r="AF135" s="13">
        <v>-283251.45</v>
      </c>
      <c r="AG135" s="13">
        <v>379376.06370399124</v>
      </c>
      <c r="AH135" s="13">
        <v>-147885.87050974756</v>
      </c>
      <c r="AI135" s="13">
        <v>2920.2634133606916</v>
      </c>
      <c r="AJ135" s="13">
        <v>1210696</v>
      </c>
      <c r="AK135" s="13">
        <v>410614</v>
      </c>
      <c r="AL135" s="13">
        <v>925084.89293401095</v>
      </c>
      <c r="AM135" s="13">
        <v>34547.962405567661</v>
      </c>
      <c r="AN135" s="13">
        <v>125012.20418803902</v>
      </c>
      <c r="AO135" s="13">
        <v>361109.18623529928</v>
      </c>
      <c r="AP135" s="13">
        <v>740508.55052407295</v>
      </c>
      <c r="AQ135" s="13">
        <v>1231942.1627163913</v>
      </c>
      <c r="AR135" s="13">
        <v>383704.22232368414</v>
      </c>
      <c r="AS135" s="13">
        <v>648453.98283444031</v>
      </c>
      <c r="AT135" s="34"/>
      <c r="AU135" s="13"/>
      <c r="AV135" s="34"/>
      <c r="AW135" s="34"/>
      <c r="AX135" s="34"/>
      <c r="AY135" s="13">
        <v>821010.12035861472</v>
      </c>
      <c r="AZ135" s="13">
        <v>504571.29566713044</v>
      </c>
      <c r="BA135" s="13">
        <v>513275.06527404994</v>
      </c>
      <c r="BB135" s="32">
        <v>2253525.4227396073</v>
      </c>
      <c r="BC135" s="33">
        <v>653082.52109084162</v>
      </c>
      <c r="BD135" s="33">
        <v>-427689.60000000003</v>
      </c>
      <c r="BE135" s="33">
        <v>-163899.84</v>
      </c>
      <c r="BF135" s="14"/>
      <c r="BG135" s="14">
        <v>1744815.1340502596</v>
      </c>
      <c r="BH135" s="33">
        <v>-426985.54789886501</v>
      </c>
      <c r="BI135" s="13">
        <v>471036</v>
      </c>
      <c r="BJ135" s="13">
        <v>3321</v>
      </c>
      <c r="BK135" s="33">
        <v>1049449.5</v>
      </c>
    </row>
    <row r="136" spans="1:63" ht="14.25" x14ac:dyDescent="0.2">
      <c r="A136" s="14">
        <v>435</v>
      </c>
      <c r="B136" s="14" t="s">
        <v>409</v>
      </c>
      <c r="C136" s="14">
        <v>711</v>
      </c>
      <c r="D136" s="14">
        <v>19</v>
      </c>
      <c r="E136" s="14">
        <v>1</v>
      </c>
      <c r="F136" s="14">
        <v>32</v>
      </c>
      <c r="G136" s="14">
        <v>21</v>
      </c>
      <c r="H136" s="14">
        <v>638</v>
      </c>
      <c r="I136" s="14">
        <v>316</v>
      </c>
      <c r="K136" s="29">
        <v>33.166666666666664</v>
      </c>
      <c r="L136" s="29">
        <v>284</v>
      </c>
      <c r="M136" s="14">
        <v>39.5</v>
      </c>
      <c r="N136" s="11">
        <v>5</v>
      </c>
      <c r="O136" s="11">
        <v>0</v>
      </c>
      <c r="P136" s="11">
        <v>0</v>
      </c>
      <c r="Q136" s="11">
        <v>3</v>
      </c>
      <c r="R136" s="11">
        <v>305</v>
      </c>
      <c r="S136" s="11">
        <v>214.5</v>
      </c>
      <c r="T136" s="14">
        <v>22</v>
      </c>
      <c r="U136" s="14">
        <v>138</v>
      </c>
      <c r="V136" s="330"/>
      <c r="W136" s="11">
        <v>1.5087833333333334</v>
      </c>
      <c r="X136" s="64">
        <v>147</v>
      </c>
      <c r="Y136" s="64">
        <v>243</v>
      </c>
      <c r="Z136" s="331">
        <v>0.79021951626019349</v>
      </c>
      <c r="AA136" s="31">
        <v>0.38747178996646481</v>
      </c>
      <c r="AB136" s="11">
        <v>0</v>
      </c>
      <c r="AC136" s="11">
        <v>0</v>
      </c>
      <c r="AE136" s="32">
        <v>-12151.48</v>
      </c>
      <c r="AF136" s="13">
        <v>-13427.79</v>
      </c>
      <c r="AG136" s="13">
        <v>24003.422800615794</v>
      </c>
      <c r="AH136" s="13">
        <v>-23259.888966911378</v>
      </c>
      <c r="AI136" s="13">
        <v>-6318.0109282021049</v>
      </c>
      <c r="AJ136" s="13">
        <v>102847</v>
      </c>
      <c r="AK136" s="13">
        <v>28760</v>
      </c>
      <c r="AL136" s="13">
        <v>66423.337834394973</v>
      </c>
      <c r="AM136" s="13">
        <v>3815.7005838035793</v>
      </c>
      <c r="AN136" s="13">
        <v>10995.240063434358</v>
      </c>
      <c r="AO136" s="13">
        <v>27136.50793780879</v>
      </c>
      <c r="AP136" s="13">
        <v>33965.037856840478</v>
      </c>
      <c r="AQ136" s="13">
        <v>51871.14596685789</v>
      </c>
      <c r="AR136" s="13">
        <v>18718.732284906531</v>
      </c>
      <c r="AS136" s="13">
        <v>34500.188558972826</v>
      </c>
      <c r="AT136" s="34"/>
      <c r="AU136" s="13"/>
      <c r="AV136" s="34"/>
      <c r="AW136" s="34"/>
      <c r="AX136" s="34"/>
      <c r="AY136" s="13">
        <v>48143.323548804139</v>
      </c>
      <c r="AZ136" s="13">
        <v>23972.015617374345</v>
      </c>
      <c r="BA136" s="13">
        <v>21774.154219626122</v>
      </c>
      <c r="BB136" s="32">
        <v>386514.52093453839</v>
      </c>
      <c r="BC136" s="33">
        <v>374686.44892293186</v>
      </c>
      <c r="BD136" s="33">
        <v>-21187.8</v>
      </c>
      <c r="BE136" s="33">
        <v>-8119.62</v>
      </c>
      <c r="BF136" s="14"/>
      <c r="BG136" s="14">
        <v>126967.85981051276</v>
      </c>
      <c r="BH136" s="33">
        <v>51505.533814607443</v>
      </c>
      <c r="BI136" s="13">
        <v>-196172</v>
      </c>
      <c r="BJ136" s="13">
        <v>110</v>
      </c>
      <c r="BK136" s="33">
        <v>-217310.25</v>
      </c>
    </row>
    <row r="137" spans="1:63" ht="14.25" x14ac:dyDescent="0.2">
      <c r="A137" s="14">
        <v>436</v>
      </c>
      <c r="B137" s="14" t="s">
        <v>410</v>
      </c>
      <c r="C137" s="14">
        <v>2008</v>
      </c>
      <c r="D137" s="14">
        <v>155</v>
      </c>
      <c r="E137" s="14">
        <v>25</v>
      </c>
      <c r="F137" s="14">
        <v>210</v>
      </c>
      <c r="G137" s="14">
        <v>132</v>
      </c>
      <c r="H137" s="14">
        <v>1486</v>
      </c>
      <c r="I137" s="14">
        <v>1003</v>
      </c>
      <c r="K137" s="29">
        <v>79.75</v>
      </c>
      <c r="L137" s="29">
        <v>842</v>
      </c>
      <c r="M137" s="14">
        <v>98.583333333333329</v>
      </c>
      <c r="N137" s="11">
        <v>89</v>
      </c>
      <c r="O137" s="11">
        <v>0</v>
      </c>
      <c r="P137" s="11">
        <v>4</v>
      </c>
      <c r="Q137" s="11">
        <v>0</v>
      </c>
      <c r="R137" s="11">
        <v>0</v>
      </c>
      <c r="S137" s="11">
        <v>214.14</v>
      </c>
      <c r="T137" s="14">
        <v>78</v>
      </c>
      <c r="U137" s="14">
        <v>573</v>
      </c>
      <c r="V137" s="330"/>
      <c r="W137" s="11">
        <v>6.2333333333333331E-2</v>
      </c>
      <c r="X137" s="64">
        <v>494</v>
      </c>
      <c r="Y137" s="64">
        <v>787</v>
      </c>
      <c r="Z137" s="331">
        <v>0.5944894837802065</v>
      </c>
      <c r="AA137" s="31">
        <v>0</v>
      </c>
      <c r="AB137" s="11">
        <v>0</v>
      </c>
      <c r="AC137" s="11">
        <v>0</v>
      </c>
      <c r="AE137" s="32">
        <v>-34092.4804</v>
      </c>
      <c r="AF137" s="13">
        <v>-39111.560000000005</v>
      </c>
      <c r="AG137" s="13">
        <v>33436.819269533007</v>
      </c>
      <c r="AH137" s="13">
        <v>-83277.291511597577</v>
      </c>
      <c r="AI137" s="13">
        <v>-8157.7768180386265</v>
      </c>
      <c r="AJ137" s="13">
        <v>152295</v>
      </c>
      <c r="AK137" s="13">
        <v>45371</v>
      </c>
      <c r="AL137" s="13">
        <v>119780.92998940397</v>
      </c>
      <c r="AM137" s="13">
        <v>4609.6513827783165</v>
      </c>
      <c r="AN137" s="13">
        <v>6310.9056571284282</v>
      </c>
      <c r="AO137" s="13">
        <v>59475.102131189837</v>
      </c>
      <c r="AP137" s="13">
        <v>96539.812859476326</v>
      </c>
      <c r="AQ137" s="13">
        <v>158323.62571326451</v>
      </c>
      <c r="AR137" s="13">
        <v>36220.49153380224</v>
      </c>
      <c r="AS137" s="13">
        <v>79665.934653034899</v>
      </c>
      <c r="AT137" s="34"/>
      <c r="AU137" s="13"/>
      <c r="AV137" s="34"/>
      <c r="AW137" s="34"/>
      <c r="AX137" s="34"/>
      <c r="AY137" s="13">
        <v>107837.55725778629</v>
      </c>
      <c r="AZ137" s="13">
        <v>61886.620857859118</v>
      </c>
      <c r="BA137" s="13">
        <v>64087.176670649504</v>
      </c>
      <c r="BB137" s="32">
        <v>-93853.417441251542</v>
      </c>
      <c r="BC137" s="33">
        <v>-147612.19681144613</v>
      </c>
      <c r="BD137" s="33">
        <v>-59838.400000000001</v>
      </c>
      <c r="BE137" s="33">
        <v>-22931.360000000001</v>
      </c>
      <c r="BF137" s="14"/>
      <c r="BG137" s="14">
        <v>200320.05344361911</v>
      </c>
      <c r="BH137" s="33">
        <v>1436760.6980171942</v>
      </c>
      <c r="BI137" s="13">
        <v>-234161</v>
      </c>
      <c r="BJ137" s="13">
        <v>819</v>
      </c>
      <c r="BK137" s="33">
        <v>64451.040000000008</v>
      </c>
    </row>
    <row r="138" spans="1:63" ht="14.25" x14ac:dyDescent="0.2">
      <c r="A138" s="14">
        <v>440</v>
      </c>
      <c r="B138" s="14" t="s">
        <v>411</v>
      </c>
      <c r="C138" s="14">
        <v>5884</v>
      </c>
      <c r="D138" s="14">
        <v>737</v>
      </c>
      <c r="E138" s="14">
        <v>118</v>
      </c>
      <c r="F138" s="14">
        <v>659</v>
      </c>
      <c r="G138" s="14">
        <v>324</v>
      </c>
      <c r="H138" s="14">
        <v>4046</v>
      </c>
      <c r="I138" s="14">
        <v>2991</v>
      </c>
      <c r="K138" s="29">
        <v>65.333333333333329</v>
      </c>
      <c r="L138" s="29">
        <v>2570</v>
      </c>
      <c r="M138" s="14">
        <v>97.916666666666657</v>
      </c>
      <c r="N138" s="11">
        <v>205</v>
      </c>
      <c r="O138" s="11">
        <v>3</v>
      </c>
      <c r="P138" s="11">
        <v>5399</v>
      </c>
      <c r="Q138" s="11">
        <v>3</v>
      </c>
      <c r="R138" s="11">
        <v>2177</v>
      </c>
      <c r="S138" s="11">
        <v>142.93</v>
      </c>
      <c r="T138" s="14">
        <v>126</v>
      </c>
      <c r="U138" s="14">
        <v>1577</v>
      </c>
      <c r="V138" s="330"/>
      <c r="W138" s="11">
        <v>0</v>
      </c>
      <c r="X138" s="64">
        <v>1169</v>
      </c>
      <c r="Y138" s="64">
        <v>2553</v>
      </c>
      <c r="Z138" s="331">
        <v>1.0197792117728277</v>
      </c>
      <c r="AA138" s="31">
        <v>1.5315967566329691</v>
      </c>
      <c r="AB138" s="11">
        <v>0</v>
      </c>
      <c r="AC138" s="11">
        <v>0</v>
      </c>
      <c r="AE138" s="32">
        <v>-39698.088199999998</v>
      </c>
      <c r="AF138" s="13">
        <v>-106308.14</v>
      </c>
      <c r="AG138" s="13">
        <v>83198.100267148111</v>
      </c>
      <c r="AH138" s="13">
        <v>-279151.67519919353</v>
      </c>
      <c r="AI138" s="13">
        <v>-27958.850769834979</v>
      </c>
      <c r="AJ138" s="13">
        <v>333918</v>
      </c>
      <c r="AK138" s="13">
        <v>115068</v>
      </c>
      <c r="AL138" s="13">
        <v>264249.42472127429</v>
      </c>
      <c r="AM138" s="13">
        <v>8620.9717309340886</v>
      </c>
      <c r="AN138" s="13">
        <v>32415.934720927144</v>
      </c>
      <c r="AO138" s="13">
        <v>138524.35282339575</v>
      </c>
      <c r="AP138" s="13">
        <v>269394.57623006677</v>
      </c>
      <c r="AQ138" s="13">
        <v>333512.19170808961</v>
      </c>
      <c r="AR138" s="13">
        <v>102423.60818471834</v>
      </c>
      <c r="AS138" s="13">
        <v>201379.02455617866</v>
      </c>
      <c r="AT138" s="34"/>
      <c r="AU138" s="13"/>
      <c r="AV138" s="34"/>
      <c r="AW138" s="34"/>
      <c r="AX138" s="34"/>
      <c r="AY138" s="13">
        <v>249972.51896339984</v>
      </c>
      <c r="AZ138" s="13">
        <v>165221.95337106785</v>
      </c>
      <c r="BA138" s="13">
        <v>177295.05752753647</v>
      </c>
      <c r="BB138" s="32">
        <v>-1088842.0824706783</v>
      </c>
      <c r="BC138" s="33">
        <v>-1015988.7386618416</v>
      </c>
      <c r="BD138" s="33">
        <v>-175343.2</v>
      </c>
      <c r="BE138" s="33">
        <v>-67195.28</v>
      </c>
      <c r="BF138" s="14"/>
      <c r="BG138" s="14">
        <v>355824.31162978854</v>
      </c>
      <c r="BH138" s="33">
        <v>3262995.341599443</v>
      </c>
      <c r="BI138" s="13">
        <v>-1541762</v>
      </c>
      <c r="BJ138" s="13">
        <v>2847</v>
      </c>
      <c r="BK138" s="33">
        <v>-38868.5</v>
      </c>
    </row>
    <row r="139" spans="1:63" ht="14.25" x14ac:dyDescent="0.2">
      <c r="A139" s="14">
        <v>441</v>
      </c>
      <c r="B139" s="14" t="s">
        <v>412</v>
      </c>
      <c r="C139" s="14">
        <v>4358</v>
      </c>
      <c r="D139" s="14">
        <v>151</v>
      </c>
      <c r="E139" s="14">
        <v>23</v>
      </c>
      <c r="F139" s="14">
        <v>217</v>
      </c>
      <c r="G139" s="14">
        <v>133</v>
      </c>
      <c r="H139" s="14">
        <v>3834</v>
      </c>
      <c r="I139" s="14">
        <v>2143</v>
      </c>
      <c r="K139" s="29">
        <v>183.41666666666666</v>
      </c>
      <c r="L139" s="29">
        <v>1879</v>
      </c>
      <c r="M139" s="14">
        <v>239.75</v>
      </c>
      <c r="N139" s="11">
        <v>248</v>
      </c>
      <c r="O139" s="11">
        <v>0</v>
      </c>
      <c r="P139" s="11">
        <v>21</v>
      </c>
      <c r="Q139" s="11">
        <v>0</v>
      </c>
      <c r="R139" s="11">
        <v>0</v>
      </c>
      <c r="S139" s="11">
        <v>750.17</v>
      </c>
      <c r="T139" s="14">
        <v>152</v>
      </c>
      <c r="U139" s="14">
        <v>1082</v>
      </c>
      <c r="V139" s="330"/>
      <c r="W139" s="11">
        <v>0.6498666666666667</v>
      </c>
      <c r="X139" s="64">
        <v>1146</v>
      </c>
      <c r="Y139" s="64">
        <v>1633</v>
      </c>
      <c r="Z139" s="331">
        <v>0.86731654556339999</v>
      </c>
      <c r="AA139" s="31">
        <v>0</v>
      </c>
      <c r="AB139" s="11">
        <v>0</v>
      </c>
      <c r="AC139" s="11">
        <v>0</v>
      </c>
      <c r="AE139" s="32">
        <v>-173123.77</v>
      </c>
      <c r="AF139" s="13">
        <v>-87271.03</v>
      </c>
      <c r="AG139" s="13">
        <v>229570.70439166753</v>
      </c>
      <c r="AH139" s="13">
        <v>-21278.067516276617</v>
      </c>
      <c r="AI139" s="13">
        <v>-1281.6997249842825</v>
      </c>
      <c r="AJ139" s="13">
        <v>440971</v>
      </c>
      <c r="AK139" s="13">
        <v>142817</v>
      </c>
      <c r="AL139" s="13">
        <v>344336.52454953437</v>
      </c>
      <c r="AM139" s="13">
        <v>17832.943227524513</v>
      </c>
      <c r="AN139" s="13">
        <v>59729.456418195077</v>
      </c>
      <c r="AO139" s="13">
        <v>158241.6708336102</v>
      </c>
      <c r="AP139" s="13">
        <v>262569.6459401098</v>
      </c>
      <c r="AQ139" s="13">
        <v>409634.62053091574</v>
      </c>
      <c r="AR139" s="13">
        <v>124770.503660501</v>
      </c>
      <c r="AS139" s="13">
        <v>219985.4825288346</v>
      </c>
      <c r="AT139" s="34"/>
      <c r="AU139" s="13"/>
      <c r="AV139" s="34"/>
      <c r="AW139" s="34"/>
      <c r="AX139" s="34"/>
      <c r="AY139" s="13">
        <v>302548.04510296287</v>
      </c>
      <c r="AZ139" s="13">
        <v>170566.49252309359</v>
      </c>
      <c r="BA139" s="13">
        <v>160484.0883988417</v>
      </c>
      <c r="BB139" s="32">
        <v>-829996.46312295948</v>
      </c>
      <c r="BC139" s="33">
        <v>-135250.73217351604</v>
      </c>
      <c r="BD139" s="33">
        <v>-129868.40000000001</v>
      </c>
      <c r="BE139" s="33">
        <v>-49768.36</v>
      </c>
      <c r="BF139" s="14"/>
      <c r="BG139" s="14">
        <v>592948.42705234641</v>
      </c>
      <c r="BH139" s="33">
        <v>1275806.9872389517</v>
      </c>
      <c r="BI139" s="13">
        <v>-15469</v>
      </c>
      <c r="BJ139" s="13">
        <v>918</v>
      </c>
      <c r="BK139" s="33">
        <v>-75970.25</v>
      </c>
    </row>
    <row r="140" spans="1:63" ht="14.25" x14ac:dyDescent="0.2">
      <c r="A140" s="14">
        <v>475</v>
      </c>
      <c r="B140" s="14" t="s">
        <v>415</v>
      </c>
      <c r="C140" s="14">
        <v>5415</v>
      </c>
      <c r="D140" s="14">
        <v>312</v>
      </c>
      <c r="E140" s="14">
        <v>63</v>
      </c>
      <c r="F140" s="14">
        <v>317</v>
      </c>
      <c r="G140" s="14">
        <v>205</v>
      </c>
      <c r="H140" s="14">
        <v>4518</v>
      </c>
      <c r="I140" s="14">
        <v>2786</v>
      </c>
      <c r="K140" s="29">
        <v>106.91666666666667</v>
      </c>
      <c r="L140" s="29">
        <v>2583</v>
      </c>
      <c r="M140" s="14">
        <v>162.83333333333334</v>
      </c>
      <c r="N140" s="11">
        <v>317</v>
      </c>
      <c r="O140" s="11">
        <v>3</v>
      </c>
      <c r="P140" s="11">
        <v>4591</v>
      </c>
      <c r="Q140" s="11">
        <v>1</v>
      </c>
      <c r="R140" s="11">
        <v>0</v>
      </c>
      <c r="S140" s="11">
        <v>522.1</v>
      </c>
      <c r="T140" s="14">
        <v>170</v>
      </c>
      <c r="U140" s="14">
        <v>1629</v>
      </c>
      <c r="V140" s="330"/>
      <c r="W140" s="11">
        <v>8.0533333333333332E-2</v>
      </c>
      <c r="X140" s="64">
        <v>1693</v>
      </c>
      <c r="Y140" s="64">
        <v>2432</v>
      </c>
      <c r="Z140" s="331">
        <v>1.0196076572833062</v>
      </c>
      <c r="AA140" s="31">
        <v>0</v>
      </c>
      <c r="AB140" s="11">
        <v>0</v>
      </c>
      <c r="AC140" s="11">
        <v>0</v>
      </c>
      <c r="AE140" s="32">
        <v>-63695.839999999997</v>
      </c>
      <c r="AF140" s="13">
        <v>-104713.71</v>
      </c>
      <c r="AG140" s="13">
        <v>95482.600630911737</v>
      </c>
      <c r="AH140" s="13">
        <v>-119844.86556549472</v>
      </c>
      <c r="AI140" s="13">
        <v>-13641.957877921275</v>
      </c>
      <c r="AJ140" s="13">
        <v>527887</v>
      </c>
      <c r="AK140" s="13">
        <v>179692</v>
      </c>
      <c r="AL140" s="13">
        <v>440779.18001771974</v>
      </c>
      <c r="AM140" s="13">
        <v>19590.202182369918</v>
      </c>
      <c r="AN140" s="13">
        <v>73233.53154674625</v>
      </c>
      <c r="AO140" s="13">
        <v>172456.47551341791</v>
      </c>
      <c r="AP140" s="13">
        <v>309448.79501962755</v>
      </c>
      <c r="AQ140" s="13">
        <v>542673.18343961413</v>
      </c>
      <c r="AR140" s="13">
        <v>163920.23664022674</v>
      </c>
      <c r="AS140" s="13">
        <v>270575.71096245118</v>
      </c>
      <c r="AT140" s="34"/>
      <c r="AU140" s="13"/>
      <c r="AV140" s="34"/>
      <c r="AW140" s="34"/>
      <c r="AX140" s="34"/>
      <c r="AY140" s="13">
        <v>364213.62055919674</v>
      </c>
      <c r="AZ140" s="13">
        <v>214770.54845358379</v>
      </c>
      <c r="BA140" s="13">
        <v>217505.33840835249</v>
      </c>
      <c r="BB140" s="32">
        <v>-1368804.3046799542</v>
      </c>
      <c r="BC140" s="33">
        <v>-843239.03479189507</v>
      </c>
      <c r="BD140" s="33">
        <v>-161367</v>
      </c>
      <c r="BE140" s="33">
        <v>-61839.3</v>
      </c>
      <c r="BF140" s="14"/>
      <c r="BG140" s="14">
        <v>692085.77852717193</v>
      </c>
      <c r="BH140" s="33">
        <v>1714029.7847665648</v>
      </c>
      <c r="BI140" s="13">
        <v>58675</v>
      </c>
      <c r="BJ140" s="13">
        <v>1443</v>
      </c>
      <c r="BK140" s="33">
        <v>841061.33750000002</v>
      </c>
    </row>
    <row r="141" spans="1:63" ht="14.25" x14ac:dyDescent="0.2">
      <c r="A141" s="14">
        <v>480</v>
      </c>
      <c r="B141" s="14" t="s">
        <v>416</v>
      </c>
      <c r="C141" s="14">
        <v>1910</v>
      </c>
      <c r="D141" s="14">
        <v>86</v>
      </c>
      <c r="E141" s="14">
        <v>17</v>
      </c>
      <c r="F141" s="14">
        <v>135</v>
      </c>
      <c r="G141" s="14">
        <v>68</v>
      </c>
      <c r="H141" s="14">
        <v>1604</v>
      </c>
      <c r="I141" s="14">
        <v>1010</v>
      </c>
      <c r="K141" s="29">
        <v>69.333333333333329</v>
      </c>
      <c r="L141" s="29">
        <v>875</v>
      </c>
      <c r="M141" s="14">
        <v>106.16666666666666</v>
      </c>
      <c r="N141" s="11">
        <v>59</v>
      </c>
      <c r="O141" s="11">
        <v>0</v>
      </c>
      <c r="P141" s="11">
        <v>19</v>
      </c>
      <c r="Q141" s="11">
        <v>0</v>
      </c>
      <c r="R141" s="11">
        <v>0</v>
      </c>
      <c r="S141" s="11">
        <v>195.31</v>
      </c>
      <c r="T141" s="14">
        <v>83</v>
      </c>
      <c r="U141" s="14">
        <v>589</v>
      </c>
      <c r="V141" s="330"/>
      <c r="W141" s="11">
        <v>0</v>
      </c>
      <c r="X141" s="64">
        <v>504</v>
      </c>
      <c r="Y141" s="64">
        <v>814</v>
      </c>
      <c r="Z141" s="331">
        <v>0.88534676636006171</v>
      </c>
      <c r="AA141" s="31">
        <v>0</v>
      </c>
      <c r="AB141" s="11">
        <v>0</v>
      </c>
      <c r="AC141" s="11">
        <v>0</v>
      </c>
      <c r="AE141" s="32">
        <v>-35770.026250000003</v>
      </c>
      <c r="AF141" s="13">
        <v>-38400.79</v>
      </c>
      <c r="AG141" s="13">
        <v>87338.324722934267</v>
      </c>
      <c r="AH141" s="13">
        <v>-37913.554333968474</v>
      </c>
      <c r="AI141" s="13">
        <v>-2016.5691237829451</v>
      </c>
      <c r="AJ141" s="13">
        <v>189435</v>
      </c>
      <c r="AK141" s="13">
        <v>64417</v>
      </c>
      <c r="AL141" s="13">
        <v>154742.8346528901</v>
      </c>
      <c r="AM141" s="13">
        <v>7161.8526833394699</v>
      </c>
      <c r="AN141" s="13">
        <v>25643.293826561679</v>
      </c>
      <c r="AO141" s="13">
        <v>61135.430983444574</v>
      </c>
      <c r="AP141" s="13">
        <v>131032.95212894429</v>
      </c>
      <c r="AQ141" s="13">
        <v>184634.59575103052</v>
      </c>
      <c r="AR141" s="13">
        <v>58231.54700398651</v>
      </c>
      <c r="AS141" s="13">
        <v>97282.763409949592</v>
      </c>
      <c r="AT141" s="34"/>
      <c r="AU141" s="13"/>
      <c r="AV141" s="34"/>
      <c r="AW141" s="34"/>
      <c r="AX141" s="34"/>
      <c r="AY141" s="13">
        <v>134846.85780025378</v>
      </c>
      <c r="AZ141" s="13">
        <v>78407.553211113685</v>
      </c>
      <c r="BA141" s="13">
        <v>76835.552497350742</v>
      </c>
      <c r="BB141" s="32">
        <v>111836.96442156307</v>
      </c>
      <c r="BC141" s="33">
        <v>-8360.4348004328185</v>
      </c>
      <c r="BD141" s="33">
        <v>-56918</v>
      </c>
      <c r="BE141" s="33">
        <v>-21812.2</v>
      </c>
      <c r="BF141" s="14"/>
      <c r="BG141" s="14">
        <v>325420.90787383216</v>
      </c>
      <c r="BH141" s="33">
        <v>989567.7888727173</v>
      </c>
      <c r="BI141" s="13">
        <v>-467460</v>
      </c>
      <c r="BJ141" s="13">
        <v>484</v>
      </c>
      <c r="BK141" s="33">
        <v>-870831.07499999995</v>
      </c>
    </row>
    <row r="142" spans="1:63" ht="14.25" x14ac:dyDescent="0.2">
      <c r="A142" s="14">
        <v>481</v>
      </c>
      <c r="B142" s="14" t="s">
        <v>417</v>
      </c>
      <c r="C142" s="14">
        <v>9592</v>
      </c>
      <c r="D142" s="14">
        <v>553</v>
      </c>
      <c r="E142" s="14">
        <v>112</v>
      </c>
      <c r="F142" s="14">
        <v>788</v>
      </c>
      <c r="G142" s="14">
        <v>439</v>
      </c>
      <c r="H142" s="14">
        <v>7700</v>
      </c>
      <c r="I142" s="14">
        <v>5520</v>
      </c>
      <c r="K142" s="29">
        <v>252.75</v>
      </c>
      <c r="L142" s="29">
        <v>4865</v>
      </c>
      <c r="M142" s="14">
        <v>335.58333333333331</v>
      </c>
      <c r="N142" s="11">
        <v>287</v>
      </c>
      <c r="O142" s="11">
        <v>0</v>
      </c>
      <c r="P142" s="11">
        <v>121</v>
      </c>
      <c r="Q142" s="11">
        <v>0</v>
      </c>
      <c r="R142" s="11">
        <v>0</v>
      </c>
      <c r="S142" s="11">
        <v>175.27</v>
      </c>
      <c r="T142" s="14">
        <v>284</v>
      </c>
      <c r="U142" s="14">
        <v>3349</v>
      </c>
      <c r="V142" s="330"/>
      <c r="W142" s="11">
        <v>0</v>
      </c>
      <c r="X142" s="64">
        <v>2413</v>
      </c>
      <c r="Y142" s="64">
        <v>4656</v>
      </c>
      <c r="Z142" s="331">
        <v>1.2446028421308031</v>
      </c>
      <c r="AA142" s="31">
        <v>0</v>
      </c>
      <c r="AB142" s="11">
        <v>0</v>
      </c>
      <c r="AC142" s="11">
        <v>0</v>
      </c>
      <c r="AE142" s="32">
        <v>-100255.02165</v>
      </c>
      <c r="AF142" s="13">
        <v>-183321.03</v>
      </c>
      <c r="AG142" s="13">
        <v>183448.77365064411</v>
      </c>
      <c r="AH142" s="13">
        <v>-140818.39317583985</v>
      </c>
      <c r="AI142" s="13">
        <v>-48010.744680318749</v>
      </c>
      <c r="AJ142" s="13">
        <v>621436</v>
      </c>
      <c r="AK142" s="13">
        <v>207148</v>
      </c>
      <c r="AL142" s="13">
        <v>331328.82182197727</v>
      </c>
      <c r="AM142" s="13">
        <v>-3308.5954171148328</v>
      </c>
      <c r="AN142" s="13">
        <v>-53204.678997454095</v>
      </c>
      <c r="AO142" s="13">
        <v>172834.1055396685</v>
      </c>
      <c r="AP142" s="13">
        <v>408529.98781932035</v>
      </c>
      <c r="AQ142" s="13">
        <v>752960.61097494164</v>
      </c>
      <c r="AR142" s="13">
        <v>181718.37970835684</v>
      </c>
      <c r="AS142" s="13">
        <v>322529.81921711017</v>
      </c>
      <c r="AT142" s="34"/>
      <c r="AU142" s="13"/>
      <c r="AV142" s="34"/>
      <c r="AW142" s="34"/>
      <c r="AX142" s="34"/>
      <c r="AY142" s="13">
        <v>405730.03047926672</v>
      </c>
      <c r="AZ142" s="13">
        <v>272602.39546321786</v>
      </c>
      <c r="BA142" s="13">
        <v>284204.78691372473</v>
      </c>
      <c r="BB142" s="32">
        <v>328508.05771031545</v>
      </c>
      <c r="BC142" s="33">
        <v>-40753.949618692233</v>
      </c>
      <c r="BD142" s="33">
        <v>-285841.60000000003</v>
      </c>
      <c r="BE142" s="33">
        <v>-109540.64</v>
      </c>
      <c r="BF142" s="14"/>
      <c r="BG142" s="14">
        <v>447534.92642210692</v>
      </c>
      <c r="BH142" s="33">
        <v>526615.63007537602</v>
      </c>
      <c r="BI142" s="13">
        <v>-2008987</v>
      </c>
      <c r="BJ142" s="13">
        <v>2836</v>
      </c>
      <c r="BK142" s="33">
        <v>-291690.4250000001</v>
      </c>
    </row>
    <row r="143" spans="1:63" ht="14.25" x14ac:dyDescent="0.2">
      <c r="A143" s="14">
        <v>483</v>
      </c>
      <c r="B143" s="14" t="s">
        <v>418</v>
      </c>
      <c r="C143" s="14">
        <v>1059</v>
      </c>
      <c r="D143" s="14">
        <v>88</v>
      </c>
      <c r="E143" s="14">
        <v>18</v>
      </c>
      <c r="F143" s="14">
        <v>122</v>
      </c>
      <c r="G143" s="14">
        <v>46</v>
      </c>
      <c r="H143" s="14">
        <v>785</v>
      </c>
      <c r="I143" s="14">
        <v>488</v>
      </c>
      <c r="K143" s="29">
        <v>33.166666666666664</v>
      </c>
      <c r="L143" s="29">
        <v>417</v>
      </c>
      <c r="M143" s="14">
        <v>53.25</v>
      </c>
      <c r="N143" s="11">
        <v>4</v>
      </c>
      <c r="O143" s="11">
        <v>0</v>
      </c>
      <c r="P143" s="11">
        <v>3</v>
      </c>
      <c r="Q143" s="11">
        <v>0</v>
      </c>
      <c r="R143" s="11">
        <v>0</v>
      </c>
      <c r="S143" s="11">
        <v>229.8</v>
      </c>
      <c r="T143" s="14">
        <v>24</v>
      </c>
      <c r="U143" s="14">
        <v>241</v>
      </c>
      <c r="V143" s="330"/>
      <c r="W143" s="11">
        <v>0.44555</v>
      </c>
      <c r="X143" s="64">
        <v>262</v>
      </c>
      <c r="Y143" s="64">
        <v>361</v>
      </c>
      <c r="Z143" s="331">
        <v>0.76931963699553363</v>
      </c>
      <c r="AA143" s="31">
        <v>0</v>
      </c>
      <c r="AB143" s="11">
        <v>0</v>
      </c>
      <c r="AC143" s="11">
        <v>0</v>
      </c>
      <c r="AE143" s="32">
        <v>-39802.485000000001</v>
      </c>
      <c r="AF143" s="13">
        <v>-20708.38</v>
      </c>
      <c r="AG143" s="13">
        <v>40595.713300171599</v>
      </c>
      <c r="AH143" s="13">
        <v>-39000.391232679067</v>
      </c>
      <c r="AI143" s="13">
        <v>8978.4352129887957</v>
      </c>
      <c r="AJ143" s="13">
        <v>112571</v>
      </c>
      <c r="AK143" s="13">
        <v>33696</v>
      </c>
      <c r="AL143" s="13">
        <v>92424.517882423592</v>
      </c>
      <c r="AM143" s="13">
        <v>5507.5553950647927</v>
      </c>
      <c r="AN143" s="13">
        <v>19154.822726968228</v>
      </c>
      <c r="AO143" s="13">
        <v>43544.673574117616</v>
      </c>
      <c r="AP143" s="13">
        <v>65777.089882971923</v>
      </c>
      <c r="AQ143" s="13">
        <v>103253.28900229663</v>
      </c>
      <c r="AR143" s="13">
        <v>26737.415639207149</v>
      </c>
      <c r="AS143" s="13">
        <v>53503.323978154454</v>
      </c>
      <c r="AT143" s="34"/>
      <c r="AU143" s="13"/>
      <c r="AV143" s="34"/>
      <c r="AW143" s="34"/>
      <c r="AX143" s="34"/>
      <c r="AY143" s="13">
        <v>78290.571500293823</v>
      </c>
      <c r="AZ143" s="13">
        <v>44070.747498643381</v>
      </c>
      <c r="BA143" s="13">
        <v>41921.366200589859</v>
      </c>
      <c r="BB143" s="32">
        <v>-212018.61245962916</v>
      </c>
      <c r="BC143" s="33">
        <v>-248461.04502838277</v>
      </c>
      <c r="BD143" s="33">
        <v>-31558.2</v>
      </c>
      <c r="BE143" s="33">
        <v>-12093.78</v>
      </c>
      <c r="BF143" s="14"/>
      <c r="BG143" s="14">
        <v>162869.60647025122</v>
      </c>
      <c r="BH143" s="33">
        <v>951157.57373895729</v>
      </c>
      <c r="BI143" s="13">
        <v>-203286</v>
      </c>
      <c r="BJ143" s="13">
        <v>401</v>
      </c>
      <c r="BK143" s="33">
        <v>46465.525000000001</v>
      </c>
    </row>
    <row r="144" spans="1:63" ht="14.25" x14ac:dyDescent="0.2">
      <c r="A144" s="14">
        <v>484</v>
      </c>
      <c r="B144" s="14" t="s">
        <v>419</v>
      </c>
      <c r="C144" s="14">
        <v>2904</v>
      </c>
      <c r="D144" s="14">
        <v>128</v>
      </c>
      <c r="E144" s="14">
        <v>24</v>
      </c>
      <c r="F144" s="14">
        <v>218</v>
      </c>
      <c r="G144" s="14">
        <v>81</v>
      </c>
      <c r="H144" s="14">
        <v>2453</v>
      </c>
      <c r="I144" s="14">
        <v>1323</v>
      </c>
      <c r="K144" s="29">
        <v>129.25</v>
      </c>
      <c r="L144" s="29">
        <v>1156</v>
      </c>
      <c r="M144" s="14">
        <v>158.41666666666666</v>
      </c>
      <c r="N144" s="11">
        <v>115</v>
      </c>
      <c r="O144" s="11">
        <v>0</v>
      </c>
      <c r="P144" s="11">
        <v>13</v>
      </c>
      <c r="Q144" s="11">
        <v>0</v>
      </c>
      <c r="R144" s="11">
        <v>0</v>
      </c>
      <c r="S144" s="11">
        <v>446.31</v>
      </c>
      <c r="T144" s="14">
        <v>126</v>
      </c>
      <c r="U144" s="14">
        <v>703</v>
      </c>
      <c r="V144" s="330"/>
      <c r="W144" s="11">
        <v>0.84028333333333327</v>
      </c>
      <c r="X144" s="64">
        <v>943</v>
      </c>
      <c r="Y144" s="64">
        <v>1016</v>
      </c>
      <c r="Z144" s="331">
        <v>0.90265740210053469</v>
      </c>
      <c r="AA144" s="31">
        <v>0</v>
      </c>
      <c r="AB144" s="11">
        <v>0</v>
      </c>
      <c r="AC144" s="11">
        <v>0</v>
      </c>
      <c r="AE144" s="32">
        <v>-39941.006300000001</v>
      </c>
      <c r="AF144" s="13">
        <v>-58897.86</v>
      </c>
      <c r="AG144" s="13">
        <v>96005.837051500595</v>
      </c>
      <c r="AH144" s="13">
        <v>-17041.685653569872</v>
      </c>
      <c r="AI144" s="13">
        <v>-11296.942407384857</v>
      </c>
      <c r="AJ144" s="13">
        <v>331324</v>
      </c>
      <c r="AK144" s="13">
        <v>93113</v>
      </c>
      <c r="AL144" s="13">
        <v>256823.8610218016</v>
      </c>
      <c r="AM144" s="13">
        <v>13951.650723552873</v>
      </c>
      <c r="AN144" s="13">
        <v>22369.264152764252</v>
      </c>
      <c r="AO144" s="13">
        <v>113238.57277297978</v>
      </c>
      <c r="AP144" s="13">
        <v>151607.59694996048</v>
      </c>
      <c r="AQ144" s="13">
        <v>266347.51058556547</v>
      </c>
      <c r="AR144" s="13">
        <v>74204.931666800185</v>
      </c>
      <c r="AS144" s="13">
        <v>134678.30637987037</v>
      </c>
      <c r="AT144" s="34"/>
      <c r="AU144" s="13"/>
      <c r="AV144" s="34"/>
      <c r="AW144" s="34"/>
      <c r="AX144" s="34"/>
      <c r="AY144" s="13">
        <v>195253.85175951576</v>
      </c>
      <c r="AZ144" s="13">
        <v>109855.45639265601</v>
      </c>
      <c r="BA144" s="13">
        <v>97915.53809081194</v>
      </c>
      <c r="BB144" s="32">
        <v>-370876.19512735825</v>
      </c>
      <c r="BC144" s="33">
        <v>-12540.652200649229</v>
      </c>
      <c r="BD144" s="33">
        <v>-86539.199999999997</v>
      </c>
      <c r="BE144" s="33">
        <v>-33163.68</v>
      </c>
      <c r="BF144" s="14"/>
      <c r="BG144" s="14">
        <v>394733.74031639652</v>
      </c>
      <c r="BH144" s="33">
        <v>-40993.556097121997</v>
      </c>
      <c r="BI144" s="13">
        <v>491614</v>
      </c>
      <c r="BJ144" s="13">
        <v>680</v>
      </c>
      <c r="BK144" s="33">
        <v>107860.08749999999</v>
      </c>
    </row>
    <row r="145" spans="1:63" ht="14.25" x14ac:dyDescent="0.2">
      <c r="A145" s="14">
        <v>489</v>
      </c>
      <c r="B145" s="14" t="s">
        <v>420</v>
      </c>
      <c r="C145" s="14">
        <v>1703</v>
      </c>
      <c r="D145" s="14">
        <v>49</v>
      </c>
      <c r="E145" s="14">
        <v>8</v>
      </c>
      <c r="F145" s="14">
        <v>68</v>
      </c>
      <c r="G145" s="14">
        <v>47</v>
      </c>
      <c r="H145" s="14">
        <v>1531</v>
      </c>
      <c r="I145" s="14">
        <v>833</v>
      </c>
      <c r="K145" s="29">
        <v>84</v>
      </c>
      <c r="L145" s="29">
        <v>706</v>
      </c>
      <c r="M145" s="14">
        <v>115.5</v>
      </c>
      <c r="N145" s="11">
        <v>109</v>
      </c>
      <c r="O145" s="11">
        <v>0</v>
      </c>
      <c r="P145" s="11">
        <v>7</v>
      </c>
      <c r="Q145" s="11">
        <v>0</v>
      </c>
      <c r="R145" s="11">
        <v>0</v>
      </c>
      <c r="S145" s="11">
        <v>422.63</v>
      </c>
      <c r="T145" s="14">
        <v>73</v>
      </c>
      <c r="U145" s="14">
        <v>409</v>
      </c>
      <c r="V145" s="330"/>
      <c r="W145" s="11">
        <v>1.1574333333333333</v>
      </c>
      <c r="X145" s="64">
        <v>442</v>
      </c>
      <c r="Y145" s="64">
        <v>617</v>
      </c>
      <c r="Z145" s="331">
        <v>1.1715498335539993</v>
      </c>
      <c r="AA145" s="31">
        <v>0</v>
      </c>
      <c r="AB145" s="11">
        <v>0</v>
      </c>
      <c r="AC145" s="11">
        <v>0</v>
      </c>
      <c r="AE145" s="32">
        <v>-44852.216249999998</v>
      </c>
      <c r="AF145" s="13">
        <v>-35884.28</v>
      </c>
      <c r="AG145" s="13">
        <v>57684.482908448612</v>
      </c>
      <c r="AH145" s="13">
        <v>-44572.03074565882</v>
      </c>
      <c r="AI145" s="13">
        <v>4866.4983992108318</v>
      </c>
      <c r="AJ145" s="13">
        <v>244042</v>
      </c>
      <c r="AK145" s="13">
        <v>68380</v>
      </c>
      <c r="AL145" s="13">
        <v>194514.60255742777</v>
      </c>
      <c r="AM145" s="13">
        <v>9286.7896293089398</v>
      </c>
      <c r="AN145" s="13">
        <v>31055.311057721268</v>
      </c>
      <c r="AO145" s="13">
        <v>85533.226993937569</v>
      </c>
      <c r="AP145" s="13">
        <v>101389.57729098982</v>
      </c>
      <c r="AQ145" s="13">
        <v>167634.94692412065</v>
      </c>
      <c r="AR145" s="13">
        <v>52449.196243946673</v>
      </c>
      <c r="AS145" s="13">
        <v>93097.116658875355</v>
      </c>
      <c r="AT145" s="34"/>
      <c r="AU145" s="13"/>
      <c r="AV145" s="34"/>
      <c r="AW145" s="34"/>
      <c r="AX145" s="34"/>
      <c r="AY145" s="13">
        <v>136647.09226866692</v>
      </c>
      <c r="AZ145" s="13">
        <v>71317.371591665258</v>
      </c>
      <c r="BA145" s="13">
        <v>65375.985925305169</v>
      </c>
      <c r="BB145" s="32">
        <v>633509.21216143866</v>
      </c>
      <c r="BC145" s="33">
        <v>267981.68946221547</v>
      </c>
      <c r="BD145" s="33">
        <v>-50749.4</v>
      </c>
      <c r="BE145" s="33">
        <v>-19448.259999999998</v>
      </c>
      <c r="BF145" s="14"/>
      <c r="BG145" s="14">
        <v>313443.85778001009</v>
      </c>
      <c r="BH145" s="33">
        <v>936707.44322740426</v>
      </c>
      <c r="BI145" s="13">
        <v>-479371</v>
      </c>
      <c r="BJ145" s="13">
        <v>313</v>
      </c>
      <c r="BK145" s="33">
        <v>-706788.33750000002</v>
      </c>
    </row>
    <row r="146" spans="1:63" ht="14.25" x14ac:dyDescent="0.2">
      <c r="A146" s="14">
        <v>491</v>
      </c>
      <c r="B146" s="14" t="s">
        <v>421</v>
      </c>
      <c r="C146" s="14">
        <v>51890</v>
      </c>
      <c r="D146" s="14">
        <v>2175</v>
      </c>
      <c r="E146" s="14">
        <v>412</v>
      </c>
      <c r="F146" s="14">
        <v>3055</v>
      </c>
      <c r="G146" s="14">
        <v>1666</v>
      </c>
      <c r="H146" s="14">
        <v>44582</v>
      </c>
      <c r="I146" s="14">
        <v>28521</v>
      </c>
      <c r="K146" s="29">
        <v>2610.5833333333335</v>
      </c>
      <c r="L146" s="29">
        <v>23641</v>
      </c>
      <c r="M146" s="14">
        <v>3747</v>
      </c>
      <c r="N146" s="11">
        <v>3249</v>
      </c>
      <c r="O146" s="11">
        <v>0</v>
      </c>
      <c r="P146" s="11">
        <v>90</v>
      </c>
      <c r="Q146" s="11">
        <v>3</v>
      </c>
      <c r="R146" s="11">
        <v>274</v>
      </c>
      <c r="S146" s="11">
        <v>2548.37</v>
      </c>
      <c r="T146" s="14">
        <v>1865</v>
      </c>
      <c r="U146" s="14">
        <v>15075</v>
      </c>
      <c r="V146" s="330"/>
      <c r="W146" s="11">
        <v>0</v>
      </c>
      <c r="X146" s="64">
        <v>21399</v>
      </c>
      <c r="Y146" s="64">
        <v>20786</v>
      </c>
      <c r="Z146" s="331">
        <v>0.96381095907348058</v>
      </c>
      <c r="AA146" s="31">
        <v>0</v>
      </c>
      <c r="AB146" s="11">
        <v>0</v>
      </c>
      <c r="AC146" s="11">
        <v>0</v>
      </c>
      <c r="AE146" s="32">
        <v>-2855571.9307499998</v>
      </c>
      <c r="AF146" s="13">
        <v>-1010119.43</v>
      </c>
      <c r="AG146" s="13">
        <v>2559318.0380514995</v>
      </c>
      <c r="AH146" s="13">
        <v>-145660.24278335078</v>
      </c>
      <c r="AI146" s="13">
        <v>317198.78271999257</v>
      </c>
      <c r="AJ146" s="13">
        <v>4322833</v>
      </c>
      <c r="AK146" s="13">
        <v>1361978</v>
      </c>
      <c r="AL146" s="13">
        <v>3066998.8023660365</v>
      </c>
      <c r="AM146" s="13">
        <v>122168.39431532685</v>
      </c>
      <c r="AN146" s="13">
        <v>340435.90893708135</v>
      </c>
      <c r="AO146" s="13">
        <v>1609040.7155045995</v>
      </c>
      <c r="AP146" s="13">
        <v>2742251.6253696885</v>
      </c>
      <c r="AQ146" s="13">
        <v>4236835.1595660737</v>
      </c>
      <c r="AR146" s="13">
        <v>1338821.7239010881</v>
      </c>
      <c r="AS146" s="13">
        <v>2333577.0332820513</v>
      </c>
      <c r="AT146" s="34"/>
      <c r="AU146" s="13"/>
      <c r="AV146" s="34"/>
      <c r="AW146" s="34"/>
      <c r="AX146" s="34"/>
      <c r="AY146" s="13">
        <v>3035028.0673102704</v>
      </c>
      <c r="AZ146" s="13">
        <v>1849046.070379161</v>
      </c>
      <c r="BA146" s="13">
        <v>1786062.0789888019</v>
      </c>
      <c r="BB146" s="32">
        <v>-12122341.839662476</v>
      </c>
      <c r="BC146" s="33">
        <v>-3713990.7709958358</v>
      </c>
      <c r="BD146" s="33">
        <v>-1546322</v>
      </c>
      <c r="BE146" s="33">
        <v>-592583.80000000005</v>
      </c>
      <c r="BF146" s="14"/>
      <c r="BG146" s="14">
        <v>4804253.6848243475</v>
      </c>
      <c r="BH146" s="33">
        <v>10805699.528021771</v>
      </c>
      <c r="BI146" s="13">
        <v>3321120</v>
      </c>
      <c r="BJ146" s="13">
        <v>14166</v>
      </c>
      <c r="BK146" s="33">
        <v>292556.13250000007</v>
      </c>
    </row>
    <row r="147" spans="1:63" ht="14.25" x14ac:dyDescent="0.2">
      <c r="A147" s="14">
        <v>494</v>
      </c>
      <c r="B147" s="14" t="s">
        <v>422</v>
      </c>
      <c r="C147" s="14">
        <v>8749</v>
      </c>
      <c r="D147" s="14">
        <v>594</v>
      </c>
      <c r="E147" s="14">
        <v>122</v>
      </c>
      <c r="F147" s="14">
        <v>856</v>
      </c>
      <c r="G147" s="14">
        <v>462</v>
      </c>
      <c r="H147" s="14">
        <v>6715</v>
      </c>
      <c r="I147" s="14">
        <v>4618</v>
      </c>
      <c r="K147" s="29">
        <v>358.16666666666669</v>
      </c>
      <c r="L147" s="29">
        <v>3904</v>
      </c>
      <c r="M147" s="14">
        <v>489</v>
      </c>
      <c r="N147" s="11">
        <v>135</v>
      </c>
      <c r="O147" s="11">
        <v>0</v>
      </c>
      <c r="P147" s="11">
        <v>5</v>
      </c>
      <c r="Q147" s="11">
        <v>0</v>
      </c>
      <c r="R147" s="11">
        <v>0</v>
      </c>
      <c r="S147" s="11">
        <v>784.61</v>
      </c>
      <c r="T147" s="14">
        <v>209</v>
      </c>
      <c r="U147" s="14">
        <v>2640</v>
      </c>
      <c r="V147" s="330"/>
      <c r="W147" s="11">
        <v>0.19033333333333333</v>
      </c>
      <c r="X147" s="64">
        <v>2495</v>
      </c>
      <c r="Y147" s="64">
        <v>3431</v>
      </c>
      <c r="Z147" s="331">
        <v>1.0526042661497848</v>
      </c>
      <c r="AA147" s="31">
        <v>0</v>
      </c>
      <c r="AB147" s="11">
        <v>0</v>
      </c>
      <c r="AC147" s="11">
        <v>1</v>
      </c>
      <c r="AE147" s="32">
        <v>-277833.36499999999</v>
      </c>
      <c r="AF147" s="13">
        <v>-171026.63</v>
      </c>
      <c r="AG147" s="13">
        <v>163329.14263309597</v>
      </c>
      <c r="AH147" s="13">
        <v>-222493.63038270202</v>
      </c>
      <c r="AI147" s="13">
        <v>-12171.742906804604</v>
      </c>
      <c r="AJ147" s="13">
        <v>653139</v>
      </c>
      <c r="AK147" s="13">
        <v>192506</v>
      </c>
      <c r="AL147" s="13">
        <v>447332.69429898052</v>
      </c>
      <c r="AM147" s="13">
        <v>11353.484939487833</v>
      </c>
      <c r="AN147" s="13">
        <v>31511.033225112184</v>
      </c>
      <c r="AO147" s="13">
        <v>234842.3314750822</v>
      </c>
      <c r="AP147" s="13">
        <v>426890.52187569498</v>
      </c>
      <c r="AQ147" s="13">
        <v>628463.0091237711</v>
      </c>
      <c r="AR147" s="13">
        <v>151492.25340050299</v>
      </c>
      <c r="AS147" s="13">
        <v>335902.63491397357</v>
      </c>
      <c r="AT147" s="34"/>
      <c r="AU147" s="13"/>
      <c r="AV147" s="34"/>
      <c r="AW147" s="34"/>
      <c r="AX147" s="34"/>
      <c r="AY147" s="13">
        <v>447443.29224917362</v>
      </c>
      <c r="AZ147" s="13">
        <v>283168.8837006567</v>
      </c>
      <c r="BA147" s="13">
        <v>272345.90509352391</v>
      </c>
      <c r="BB147" s="32">
        <v>-1683048.3172458161</v>
      </c>
      <c r="BC147" s="33">
        <v>-1715221.9960576578</v>
      </c>
      <c r="BD147" s="33">
        <v>-260720.2</v>
      </c>
      <c r="BE147" s="33">
        <v>-99913.58</v>
      </c>
      <c r="BF147" s="14"/>
      <c r="BG147" s="14">
        <v>614914.11925186054</v>
      </c>
      <c r="BH147" s="33">
        <v>5138420.1528733978</v>
      </c>
      <c r="BI147" s="13">
        <v>-194822</v>
      </c>
      <c r="BJ147" s="13">
        <v>3114</v>
      </c>
      <c r="BK147" s="33">
        <v>54875.255000000005</v>
      </c>
    </row>
    <row r="148" spans="1:63" ht="14.25" x14ac:dyDescent="0.2">
      <c r="A148" s="14">
        <v>495</v>
      </c>
      <c r="B148" s="14" t="s">
        <v>423</v>
      </c>
      <c r="C148" s="14">
        <v>1393</v>
      </c>
      <c r="D148" s="14">
        <v>48</v>
      </c>
      <c r="E148" s="14">
        <v>10</v>
      </c>
      <c r="F148" s="14">
        <v>68</v>
      </c>
      <c r="G148" s="14">
        <v>47</v>
      </c>
      <c r="H148" s="14">
        <v>1220</v>
      </c>
      <c r="I148" s="14">
        <v>613</v>
      </c>
      <c r="K148" s="29">
        <v>61.333333333333336</v>
      </c>
      <c r="L148" s="29">
        <v>573</v>
      </c>
      <c r="M148" s="14">
        <v>77.25</v>
      </c>
      <c r="N148" s="11">
        <v>34</v>
      </c>
      <c r="O148" s="11">
        <v>0</v>
      </c>
      <c r="P148" s="11">
        <v>2</v>
      </c>
      <c r="Q148" s="11">
        <v>0</v>
      </c>
      <c r="R148" s="11">
        <v>0</v>
      </c>
      <c r="S148" s="11">
        <v>733.26</v>
      </c>
      <c r="T148" s="14">
        <v>44</v>
      </c>
      <c r="U148" s="14">
        <v>314</v>
      </c>
      <c r="V148" s="330"/>
      <c r="W148" s="11">
        <v>0.85261666666666658</v>
      </c>
      <c r="X148" s="64">
        <v>521</v>
      </c>
      <c r="Y148" s="64">
        <v>475</v>
      </c>
      <c r="Z148" s="331">
        <v>0.86076255979174776</v>
      </c>
      <c r="AA148" s="31">
        <v>0</v>
      </c>
      <c r="AB148" s="11">
        <v>0</v>
      </c>
      <c r="AC148" s="11">
        <v>0</v>
      </c>
      <c r="AE148" s="32">
        <v>-39005.014999999999</v>
      </c>
      <c r="AF148" s="13">
        <v>-29929.18</v>
      </c>
      <c r="AG148" s="13">
        <v>59588.200028801599</v>
      </c>
      <c r="AH148" s="13">
        <v>-19139.103440231389</v>
      </c>
      <c r="AI148" s="13">
        <v>1067.014506407133</v>
      </c>
      <c r="AJ148" s="13">
        <v>201000</v>
      </c>
      <c r="AK148" s="13">
        <v>58208</v>
      </c>
      <c r="AL148" s="13">
        <v>145030.28769449375</v>
      </c>
      <c r="AM148" s="13">
        <v>7608.7066560980174</v>
      </c>
      <c r="AN148" s="13">
        <v>11383.485910040366</v>
      </c>
      <c r="AO148" s="13">
        <v>76181.802370632897</v>
      </c>
      <c r="AP148" s="13">
        <v>89379.490121134033</v>
      </c>
      <c r="AQ148" s="13">
        <v>138868.57876536797</v>
      </c>
      <c r="AR148" s="13">
        <v>39101.052904414988</v>
      </c>
      <c r="AS148" s="13">
        <v>76872.69028395084</v>
      </c>
      <c r="AT148" s="34"/>
      <c r="AU148" s="13"/>
      <c r="AV148" s="34"/>
      <c r="AW148" s="34"/>
      <c r="AX148" s="34"/>
      <c r="AY148" s="13">
        <v>107965.53201872055</v>
      </c>
      <c r="AZ148" s="13">
        <v>56571.660696905819</v>
      </c>
      <c r="BA148" s="13">
        <v>52914.57452378673</v>
      </c>
      <c r="BB148" s="32">
        <v>-7961.7651400020659</v>
      </c>
      <c r="BC148" s="33">
        <v>-6242.852477370714</v>
      </c>
      <c r="BD148" s="33">
        <v>-41511.4</v>
      </c>
      <c r="BE148" s="33">
        <v>-15908.06</v>
      </c>
      <c r="BF148" s="14"/>
      <c r="BG148" s="14">
        <v>220469.11561830153</v>
      </c>
      <c r="BH148" s="33">
        <v>270383.52663307608</v>
      </c>
      <c r="BI148" s="13">
        <v>-323273</v>
      </c>
      <c r="BJ148" s="13">
        <v>273</v>
      </c>
      <c r="BK148" s="33">
        <v>-18586.21</v>
      </c>
    </row>
    <row r="149" spans="1:63" ht="14.25" x14ac:dyDescent="0.2">
      <c r="A149" s="14">
        <v>498</v>
      </c>
      <c r="B149" s="14" t="s">
        <v>424</v>
      </c>
      <c r="C149" s="14">
        <v>2313</v>
      </c>
      <c r="D149" s="14">
        <v>108</v>
      </c>
      <c r="E149" s="14">
        <v>15</v>
      </c>
      <c r="F149" s="14">
        <v>140</v>
      </c>
      <c r="G149" s="14">
        <v>93</v>
      </c>
      <c r="H149" s="14">
        <v>1957</v>
      </c>
      <c r="I149" s="14">
        <v>1271</v>
      </c>
      <c r="K149" s="29">
        <v>115</v>
      </c>
      <c r="L149" s="29">
        <v>1069</v>
      </c>
      <c r="M149" s="14">
        <v>142.75</v>
      </c>
      <c r="N149" s="11">
        <v>107</v>
      </c>
      <c r="O149" s="11">
        <v>0</v>
      </c>
      <c r="P149" s="11">
        <v>14</v>
      </c>
      <c r="Q149" s="11">
        <v>0</v>
      </c>
      <c r="R149" s="11">
        <v>0</v>
      </c>
      <c r="S149" s="11">
        <v>1904.43</v>
      </c>
      <c r="T149" s="14">
        <v>91</v>
      </c>
      <c r="U149" s="14">
        <v>723</v>
      </c>
      <c r="V149" s="330"/>
      <c r="W149" s="11">
        <v>1.8335333333333335</v>
      </c>
      <c r="X149" s="64">
        <v>1038</v>
      </c>
      <c r="Y149" s="64">
        <v>987</v>
      </c>
      <c r="Z149" s="331">
        <v>0.94935504995629516</v>
      </c>
      <c r="AA149" s="31">
        <v>0</v>
      </c>
      <c r="AB149" s="11">
        <v>0</v>
      </c>
      <c r="AC149" s="11">
        <v>13</v>
      </c>
      <c r="AE149" s="32">
        <v>-25120.465</v>
      </c>
      <c r="AF149" s="13">
        <v>-44125.37</v>
      </c>
      <c r="AG149" s="13">
        <v>128689.36746121282</v>
      </c>
      <c r="AH149" s="13">
        <v>-88024.127273543709</v>
      </c>
      <c r="AI149" s="13">
        <v>19751.0488696428</v>
      </c>
      <c r="AJ149" s="13">
        <v>181502</v>
      </c>
      <c r="AK149" s="13">
        <v>72651</v>
      </c>
      <c r="AL149" s="13">
        <v>189835.50121662323</v>
      </c>
      <c r="AM149" s="13">
        <v>9827.2942848043986</v>
      </c>
      <c r="AN149" s="13">
        <v>18290.033882567379</v>
      </c>
      <c r="AO149" s="13">
        <v>66345.622014192253</v>
      </c>
      <c r="AP149" s="13">
        <v>141999.74252757968</v>
      </c>
      <c r="AQ149" s="13">
        <v>202939.75100335455</v>
      </c>
      <c r="AR149" s="13">
        <v>74196.188390861789</v>
      </c>
      <c r="AS149" s="13">
        <v>119805.01513015835</v>
      </c>
      <c r="AT149" s="34"/>
      <c r="AU149" s="13"/>
      <c r="AV149" s="34"/>
      <c r="AW149" s="34"/>
      <c r="AX149" s="34"/>
      <c r="AY149" s="13">
        <v>159470.26827673789</v>
      </c>
      <c r="AZ149" s="13">
        <v>89081.029352981408</v>
      </c>
      <c r="BA149" s="13">
        <v>95991.129980599129</v>
      </c>
      <c r="BB149" s="32">
        <v>73697.868990974603</v>
      </c>
      <c r="BC149" s="33">
        <v>502348.32928779733</v>
      </c>
      <c r="BD149" s="33">
        <v>-68927.400000000009</v>
      </c>
      <c r="BE149" s="33">
        <v>-26414.46</v>
      </c>
      <c r="BF149" s="14"/>
      <c r="BG149" s="14">
        <v>262402.42528784194</v>
      </c>
      <c r="BH149" s="33">
        <v>358342.29594958125</v>
      </c>
      <c r="BI149" s="13">
        <v>251834</v>
      </c>
      <c r="BJ149" s="13">
        <v>600</v>
      </c>
      <c r="BK149" s="33">
        <v>152028.83749999999</v>
      </c>
    </row>
    <row r="150" spans="1:63" ht="14.25" x14ac:dyDescent="0.2">
      <c r="A150" s="14">
        <v>499</v>
      </c>
      <c r="B150" s="14" t="s">
        <v>425</v>
      </c>
      <c r="C150" s="14">
        <v>19738</v>
      </c>
      <c r="D150" s="14">
        <v>1220</v>
      </c>
      <c r="E150" s="14">
        <v>225</v>
      </c>
      <c r="F150" s="14">
        <v>1624</v>
      </c>
      <c r="G150" s="14">
        <v>845</v>
      </c>
      <c r="H150" s="14">
        <v>15824</v>
      </c>
      <c r="I150" s="14">
        <v>10676</v>
      </c>
      <c r="K150" s="29">
        <v>383.83333333333331</v>
      </c>
      <c r="L150" s="29">
        <v>9608</v>
      </c>
      <c r="M150" s="14">
        <v>566.5</v>
      </c>
      <c r="N150" s="11">
        <v>693</v>
      </c>
      <c r="O150" s="11">
        <v>3</v>
      </c>
      <c r="P150" s="11">
        <v>13425</v>
      </c>
      <c r="Q150" s="11">
        <v>3</v>
      </c>
      <c r="R150" s="11">
        <v>2062</v>
      </c>
      <c r="S150" s="11">
        <v>849.5</v>
      </c>
      <c r="T150" s="14">
        <v>453</v>
      </c>
      <c r="U150" s="14">
        <v>6480</v>
      </c>
      <c r="V150" s="330"/>
      <c r="W150" s="11">
        <v>0</v>
      </c>
      <c r="X150" s="64">
        <v>5381</v>
      </c>
      <c r="Y150" s="64">
        <v>9337</v>
      </c>
      <c r="Z150" s="331">
        <v>1.1598971248530865</v>
      </c>
      <c r="AA150" s="31">
        <v>0.34404844804884299</v>
      </c>
      <c r="AB150" s="11">
        <v>0</v>
      </c>
      <c r="AC150" s="11">
        <v>0</v>
      </c>
      <c r="AE150" s="32">
        <v>-213270.16</v>
      </c>
      <c r="AF150" s="13">
        <v>-373692.13</v>
      </c>
      <c r="AG150" s="13">
        <v>371945.82476859394</v>
      </c>
      <c r="AH150" s="13">
        <v>-468330.86486217775</v>
      </c>
      <c r="AI150" s="13">
        <v>-83749.505199159554</v>
      </c>
      <c r="AJ150" s="13">
        <v>1354331</v>
      </c>
      <c r="AK150" s="13">
        <v>457111</v>
      </c>
      <c r="AL150" s="13">
        <v>972889.30785334425</v>
      </c>
      <c r="AM150" s="13">
        <v>21636.196198909871</v>
      </c>
      <c r="AN150" s="13">
        <v>12412.837833004593</v>
      </c>
      <c r="AO150" s="13">
        <v>412351.04040340486</v>
      </c>
      <c r="AP150" s="13">
        <v>922743.16903269012</v>
      </c>
      <c r="AQ150" s="13">
        <v>1507483.560543186</v>
      </c>
      <c r="AR150" s="13">
        <v>416792.25852722558</v>
      </c>
      <c r="AS150" s="13">
        <v>740084.80580703972</v>
      </c>
      <c r="AT150" s="34"/>
      <c r="AU150" s="13"/>
      <c r="AV150" s="34"/>
      <c r="AW150" s="34"/>
      <c r="AX150" s="34"/>
      <c r="AY150" s="13">
        <v>972090.3473987605</v>
      </c>
      <c r="AZ150" s="13">
        <v>601274.82408826158</v>
      </c>
      <c r="BA150" s="13">
        <v>623889.40077950573</v>
      </c>
      <c r="BB150" s="32">
        <v>1283600.7430349656</v>
      </c>
      <c r="BC150" s="33">
        <v>-83105.596079934316</v>
      </c>
      <c r="BD150" s="33">
        <v>-588192.4</v>
      </c>
      <c r="BE150" s="33">
        <v>-225407.96</v>
      </c>
      <c r="BF150" s="14"/>
      <c r="BG150" s="14">
        <v>1265263.9602894317</v>
      </c>
      <c r="BH150" s="33">
        <v>3684009.0408974849</v>
      </c>
      <c r="BI150" s="13">
        <v>-1054078</v>
      </c>
      <c r="BJ150" s="13">
        <v>6048</v>
      </c>
      <c r="BK150" s="33">
        <v>579829.68250000011</v>
      </c>
    </row>
    <row r="151" spans="1:63" ht="14.25" x14ac:dyDescent="0.2">
      <c r="A151" s="14">
        <v>500</v>
      </c>
      <c r="B151" s="14" t="s">
        <v>426</v>
      </c>
      <c r="C151" s="14">
        <v>10614</v>
      </c>
      <c r="D151" s="14">
        <v>670</v>
      </c>
      <c r="E151" s="14">
        <v>120</v>
      </c>
      <c r="F151" s="14">
        <v>981</v>
      </c>
      <c r="G151" s="14">
        <v>521</v>
      </c>
      <c r="H151" s="14">
        <v>8322</v>
      </c>
      <c r="I151" s="14">
        <v>5828</v>
      </c>
      <c r="K151" s="29">
        <v>428.75</v>
      </c>
      <c r="L151" s="29">
        <v>5009</v>
      </c>
      <c r="M151" s="14">
        <v>596.25</v>
      </c>
      <c r="N151" s="11">
        <v>250</v>
      </c>
      <c r="O151" s="11">
        <v>0</v>
      </c>
      <c r="P151" s="11">
        <v>16</v>
      </c>
      <c r="Q151" s="11">
        <v>0</v>
      </c>
      <c r="R151" s="11">
        <v>0</v>
      </c>
      <c r="S151" s="11">
        <v>144.07</v>
      </c>
      <c r="T151" s="14">
        <v>199</v>
      </c>
      <c r="U151" s="14">
        <v>3638</v>
      </c>
      <c r="V151" s="330"/>
      <c r="W151" s="11">
        <v>0</v>
      </c>
      <c r="X151" s="64">
        <v>2849</v>
      </c>
      <c r="Y151" s="64">
        <v>4618</v>
      </c>
      <c r="Z151" s="331">
        <v>1.1532193943917413</v>
      </c>
      <c r="AA151" s="31">
        <v>0.59748609494874783</v>
      </c>
      <c r="AB151" s="11">
        <v>0</v>
      </c>
      <c r="AC151" s="11">
        <v>0</v>
      </c>
      <c r="AE151" s="32">
        <v>-209294.29500000001</v>
      </c>
      <c r="AF151" s="13">
        <v>-197229.07</v>
      </c>
      <c r="AG151" s="13">
        <v>375874.37989198999</v>
      </c>
      <c r="AH151" s="13">
        <v>-275908.85631070973</v>
      </c>
      <c r="AI151" s="13">
        <v>-3456.6891534615424</v>
      </c>
      <c r="AJ151" s="13">
        <v>581389</v>
      </c>
      <c r="AK151" s="13">
        <v>183400</v>
      </c>
      <c r="AL151" s="13">
        <v>363140.87080625573</v>
      </c>
      <c r="AM151" s="13">
        <v>3914.9002659224384</v>
      </c>
      <c r="AN151" s="13">
        <v>-423439.1547483835</v>
      </c>
      <c r="AO151" s="13">
        <v>128225.02205424709</v>
      </c>
      <c r="AP151" s="13">
        <v>386549.50453305768</v>
      </c>
      <c r="AQ151" s="13">
        <v>667376.99820234778</v>
      </c>
      <c r="AR151" s="13">
        <v>167680.14204433767</v>
      </c>
      <c r="AS151" s="13">
        <v>323116.8319311075</v>
      </c>
      <c r="AT151" s="34"/>
      <c r="AU151" s="13"/>
      <c r="AV151" s="34"/>
      <c r="AW151" s="34"/>
      <c r="AX151" s="34"/>
      <c r="AY151" s="13">
        <v>379412.16862785514</v>
      </c>
      <c r="AZ151" s="13">
        <v>269571.43722290994</v>
      </c>
      <c r="BA151" s="13">
        <v>268165.14964583749</v>
      </c>
      <c r="BB151" s="32">
        <v>2705573.7844638815</v>
      </c>
      <c r="BC151" s="33">
        <v>921895.23565180879</v>
      </c>
      <c r="BD151" s="33">
        <v>-316297.2</v>
      </c>
      <c r="BE151" s="33">
        <v>-121211.88</v>
      </c>
      <c r="BF151" s="14"/>
      <c r="BG151" s="14">
        <v>375090.91934305325</v>
      </c>
      <c r="BH151" s="33">
        <v>825508.43092431326</v>
      </c>
      <c r="BI151" s="13">
        <v>-629542</v>
      </c>
      <c r="BJ151" s="13">
        <v>3398</v>
      </c>
      <c r="BK151" s="33">
        <v>-207080.76750000007</v>
      </c>
    </row>
    <row r="152" spans="1:63" ht="14.25" x14ac:dyDescent="0.2">
      <c r="A152" s="14">
        <v>503</v>
      </c>
      <c r="B152" s="14" t="s">
        <v>427</v>
      </c>
      <c r="C152" s="14">
        <v>7477</v>
      </c>
      <c r="D152" s="14">
        <v>360</v>
      </c>
      <c r="E152" s="14">
        <v>72</v>
      </c>
      <c r="F152" s="14">
        <v>464</v>
      </c>
      <c r="G152" s="14">
        <v>260</v>
      </c>
      <c r="H152" s="14">
        <v>6321</v>
      </c>
      <c r="I152" s="14">
        <v>3961</v>
      </c>
      <c r="K152" s="29">
        <v>269.41666666666669</v>
      </c>
      <c r="L152" s="29">
        <v>3500</v>
      </c>
      <c r="M152" s="14">
        <v>371.33333333333337</v>
      </c>
      <c r="N152" s="11">
        <v>305</v>
      </c>
      <c r="O152" s="11">
        <v>0</v>
      </c>
      <c r="P152" s="11">
        <v>67</v>
      </c>
      <c r="Q152" s="11">
        <v>0</v>
      </c>
      <c r="R152" s="11">
        <v>0</v>
      </c>
      <c r="S152" s="11">
        <v>520.12</v>
      </c>
      <c r="T152" s="14">
        <v>300</v>
      </c>
      <c r="U152" s="14">
        <v>2187</v>
      </c>
      <c r="V152" s="330"/>
      <c r="W152" s="11">
        <v>0</v>
      </c>
      <c r="X152" s="64">
        <v>1899</v>
      </c>
      <c r="Y152" s="64">
        <v>3198</v>
      </c>
      <c r="Z152" s="331">
        <v>0.90402513478063129</v>
      </c>
      <c r="AA152" s="31">
        <v>0</v>
      </c>
      <c r="AB152" s="11">
        <v>0</v>
      </c>
      <c r="AC152" s="11">
        <v>0</v>
      </c>
      <c r="AE152" s="32">
        <v>-168131.24249999999</v>
      </c>
      <c r="AF152" s="13">
        <v>-146860.45000000001</v>
      </c>
      <c r="AG152" s="13">
        <v>180288.39601773233</v>
      </c>
      <c r="AH152" s="13">
        <v>-79616.515297309248</v>
      </c>
      <c r="AI152" s="13">
        <v>-8673.4673093180172</v>
      </c>
      <c r="AJ152" s="13">
        <v>672555</v>
      </c>
      <c r="AK152" s="13">
        <v>216780</v>
      </c>
      <c r="AL152" s="13">
        <v>474562.0938275964</v>
      </c>
      <c r="AM152" s="13">
        <v>15988.738246839741</v>
      </c>
      <c r="AN152" s="13">
        <v>78732.967067071033</v>
      </c>
      <c r="AO152" s="13">
        <v>195548.96349423224</v>
      </c>
      <c r="AP152" s="13">
        <v>430684.55735492456</v>
      </c>
      <c r="AQ152" s="13">
        <v>726253.74604211713</v>
      </c>
      <c r="AR152" s="13">
        <v>200202.43590228446</v>
      </c>
      <c r="AS152" s="13">
        <v>347871.3990283382</v>
      </c>
      <c r="AT152" s="34"/>
      <c r="AU152" s="13"/>
      <c r="AV152" s="34"/>
      <c r="AW152" s="34"/>
      <c r="AX152" s="34"/>
      <c r="AY152" s="13">
        <v>460505.56339408149</v>
      </c>
      <c r="AZ152" s="13">
        <v>280432.62115809065</v>
      </c>
      <c r="BA152" s="13">
        <v>274759.67195137532</v>
      </c>
      <c r="BB152" s="32">
        <v>-627304.2812280748</v>
      </c>
      <c r="BC152" s="33">
        <v>-567824.92954429891</v>
      </c>
      <c r="BD152" s="33">
        <v>-222814.6</v>
      </c>
      <c r="BE152" s="33">
        <v>-85387.34</v>
      </c>
      <c r="BF152" s="14"/>
      <c r="BG152" s="14">
        <v>826868.68632998329</v>
      </c>
      <c r="BH152" s="33">
        <v>2831600.7589391936</v>
      </c>
      <c r="BI152" s="13">
        <v>-197444</v>
      </c>
      <c r="BJ152" s="13">
        <v>1896</v>
      </c>
      <c r="BK152" s="33">
        <v>275789.67500000005</v>
      </c>
    </row>
    <row r="153" spans="1:63" ht="14.25" x14ac:dyDescent="0.2">
      <c r="A153" s="14">
        <v>504</v>
      </c>
      <c r="B153" s="14" t="s">
        <v>428</v>
      </c>
      <c r="C153" s="14">
        <v>1677</v>
      </c>
      <c r="D153" s="14">
        <v>60</v>
      </c>
      <c r="E153" s="14">
        <v>12</v>
      </c>
      <c r="F153" s="14">
        <v>105</v>
      </c>
      <c r="G153" s="14">
        <v>56</v>
      </c>
      <c r="H153" s="14">
        <v>1444</v>
      </c>
      <c r="I153" s="14">
        <v>888</v>
      </c>
      <c r="K153" s="29">
        <v>88</v>
      </c>
      <c r="L153" s="29">
        <v>796</v>
      </c>
      <c r="M153" s="14">
        <v>108.58333333333333</v>
      </c>
      <c r="N153" s="11">
        <v>67</v>
      </c>
      <c r="O153" s="11">
        <v>1</v>
      </c>
      <c r="P153" s="11">
        <v>159</v>
      </c>
      <c r="Q153" s="11">
        <v>0</v>
      </c>
      <c r="R153" s="11">
        <v>0</v>
      </c>
      <c r="S153" s="11">
        <v>200.47</v>
      </c>
      <c r="T153" s="14">
        <v>74</v>
      </c>
      <c r="U153" s="14">
        <v>493</v>
      </c>
      <c r="V153" s="330"/>
      <c r="W153" s="11">
        <v>0</v>
      </c>
      <c r="X153" s="64">
        <v>454</v>
      </c>
      <c r="Y153" s="64">
        <v>691</v>
      </c>
      <c r="Z153" s="331">
        <v>0.97401050930888977</v>
      </c>
      <c r="AA153" s="31">
        <v>0</v>
      </c>
      <c r="AB153" s="11">
        <v>0</v>
      </c>
      <c r="AC153" s="11">
        <v>0</v>
      </c>
      <c r="AE153" s="32">
        <v>-44483.01</v>
      </c>
      <c r="AF153" s="13">
        <v>-35941.910000000003</v>
      </c>
      <c r="AG153" s="13">
        <v>41353.150778867275</v>
      </c>
      <c r="AH153" s="13">
        <v>-11873.244348843013</v>
      </c>
      <c r="AI153" s="13">
        <v>-1766.1488724441806</v>
      </c>
      <c r="AJ153" s="13">
        <v>195468</v>
      </c>
      <c r="AK153" s="13">
        <v>62369</v>
      </c>
      <c r="AL153" s="13">
        <v>141372.8779053007</v>
      </c>
      <c r="AM153" s="13">
        <v>6568.4240449716908</v>
      </c>
      <c r="AN153" s="13">
        <v>18572.25033574297</v>
      </c>
      <c r="AO153" s="13">
        <v>55129.766599642076</v>
      </c>
      <c r="AP153" s="13">
        <v>116165.30917116661</v>
      </c>
      <c r="AQ153" s="13">
        <v>177216.08435129444</v>
      </c>
      <c r="AR153" s="13">
        <v>61755.481621091742</v>
      </c>
      <c r="AS153" s="13">
        <v>92708.745123056709</v>
      </c>
      <c r="AT153" s="34"/>
      <c r="AU153" s="13"/>
      <c r="AV153" s="34"/>
      <c r="AW153" s="34"/>
      <c r="AX153" s="34"/>
      <c r="AY153" s="13">
        <v>125473.27135620078</v>
      </c>
      <c r="AZ153" s="13">
        <v>72041.961089114469</v>
      </c>
      <c r="BA153" s="13">
        <v>78278.514525176375</v>
      </c>
      <c r="BB153" s="32">
        <v>-480665.71192696487</v>
      </c>
      <c r="BC153" s="33">
        <v>-130003.9088977042</v>
      </c>
      <c r="BD153" s="33">
        <v>-49974.6</v>
      </c>
      <c r="BE153" s="33">
        <v>-19151.34</v>
      </c>
      <c r="BF153" s="14"/>
      <c r="BG153" s="14">
        <v>253561.28892151293</v>
      </c>
      <c r="BH153" s="33">
        <v>725120.37620145024</v>
      </c>
      <c r="BI153" s="13">
        <v>-459037</v>
      </c>
      <c r="BJ153" s="13">
        <v>377</v>
      </c>
      <c r="BK153" s="33">
        <v>-768359.57499999995</v>
      </c>
    </row>
    <row r="154" spans="1:63" ht="14.25" x14ac:dyDescent="0.2">
      <c r="A154" s="14">
        <v>505</v>
      </c>
      <c r="B154" s="14" t="s">
        <v>429</v>
      </c>
      <c r="C154" s="14">
        <v>20934</v>
      </c>
      <c r="D154" s="14">
        <v>1139</v>
      </c>
      <c r="E154" s="14">
        <v>216</v>
      </c>
      <c r="F154" s="14">
        <v>1649</v>
      </c>
      <c r="G154" s="14">
        <v>950</v>
      </c>
      <c r="H154" s="14">
        <v>16980</v>
      </c>
      <c r="I154" s="14">
        <v>11907</v>
      </c>
      <c r="K154" s="29">
        <v>795.58333333333337</v>
      </c>
      <c r="L154" s="29">
        <v>10392</v>
      </c>
      <c r="M154" s="14">
        <v>1081.5833333333335</v>
      </c>
      <c r="N154" s="11">
        <v>1237</v>
      </c>
      <c r="O154" s="11">
        <v>0</v>
      </c>
      <c r="P154" s="11">
        <v>153</v>
      </c>
      <c r="Q154" s="11">
        <v>0</v>
      </c>
      <c r="R154" s="11">
        <v>0</v>
      </c>
      <c r="S154" s="11">
        <v>581.47</v>
      </c>
      <c r="T154" s="14">
        <v>976</v>
      </c>
      <c r="U154" s="14">
        <v>6807</v>
      </c>
      <c r="V154" s="330"/>
      <c r="W154" s="11">
        <v>0</v>
      </c>
      <c r="X154" s="64">
        <v>6138</v>
      </c>
      <c r="Y154" s="64">
        <v>9615</v>
      </c>
      <c r="Z154" s="331">
        <v>0.90895187960350587</v>
      </c>
      <c r="AA154" s="31">
        <v>0.15512519020671003</v>
      </c>
      <c r="AB154" s="11">
        <v>0</v>
      </c>
      <c r="AC154" s="11">
        <v>4</v>
      </c>
      <c r="AE154" s="32">
        <v>-847687.96975000005</v>
      </c>
      <c r="AF154" s="13">
        <v>-399241.43</v>
      </c>
      <c r="AG154" s="13">
        <v>516581.89035596396</v>
      </c>
      <c r="AH154" s="13">
        <v>-328118.64697556029</v>
      </c>
      <c r="AI154" s="13">
        <v>-68636.823332853965</v>
      </c>
      <c r="AJ154" s="13">
        <v>1479734</v>
      </c>
      <c r="AK154" s="13">
        <v>475013</v>
      </c>
      <c r="AL154" s="13">
        <v>989053.62818179117</v>
      </c>
      <c r="AM154" s="13">
        <v>9088.8920530040396</v>
      </c>
      <c r="AN154" s="13">
        <v>13788.275486488605</v>
      </c>
      <c r="AO154" s="13">
        <v>313030.11754291435</v>
      </c>
      <c r="AP154" s="13">
        <v>1002537.4279780103</v>
      </c>
      <c r="AQ154" s="13">
        <v>1537345.6575770497</v>
      </c>
      <c r="AR154" s="13">
        <v>427475.5058452923</v>
      </c>
      <c r="AS154" s="13">
        <v>779475.21865189087</v>
      </c>
      <c r="AT154" s="34"/>
      <c r="AU154" s="13"/>
      <c r="AV154" s="34"/>
      <c r="AW154" s="34"/>
      <c r="AX154" s="34"/>
      <c r="AY154" s="13">
        <v>1001701.6257097448</v>
      </c>
      <c r="AZ154" s="13">
        <v>648612.67841961398</v>
      </c>
      <c r="BA154" s="13">
        <v>663175.65046410845</v>
      </c>
      <c r="BB154" s="32">
        <v>-686844.96260971308</v>
      </c>
      <c r="BC154" s="33">
        <v>-88388.985109530389</v>
      </c>
      <c r="BD154" s="33">
        <v>-623833.20000000007</v>
      </c>
      <c r="BE154" s="33">
        <v>-239066.28</v>
      </c>
      <c r="BF154" s="14"/>
      <c r="BG154" s="14">
        <v>1566663.4897593197</v>
      </c>
      <c r="BH154" s="33">
        <v>3395828.5360042313</v>
      </c>
      <c r="BI154" s="13">
        <v>-1868498</v>
      </c>
      <c r="BJ154" s="13">
        <v>6516</v>
      </c>
      <c r="BK154" s="33">
        <v>-2061832.585</v>
      </c>
    </row>
    <row r="155" spans="1:63" ht="14.25" x14ac:dyDescent="0.2">
      <c r="A155" s="14">
        <v>508</v>
      </c>
      <c r="B155" s="14" t="s">
        <v>431</v>
      </c>
      <c r="C155" s="14">
        <v>9270</v>
      </c>
      <c r="D155" s="14">
        <v>300</v>
      </c>
      <c r="E155" s="14">
        <v>62</v>
      </c>
      <c r="F155" s="14">
        <v>455</v>
      </c>
      <c r="G155" s="14">
        <v>260</v>
      </c>
      <c r="H155" s="14">
        <v>8193</v>
      </c>
      <c r="I155" s="14">
        <v>4468</v>
      </c>
      <c r="K155" s="29">
        <v>443.66666666666669</v>
      </c>
      <c r="L155" s="29">
        <v>3683</v>
      </c>
      <c r="M155" s="14">
        <v>628.16666666666674</v>
      </c>
      <c r="N155" s="11">
        <v>469</v>
      </c>
      <c r="O155" s="11">
        <v>0</v>
      </c>
      <c r="P155" s="11">
        <v>15</v>
      </c>
      <c r="Q155" s="11">
        <v>0</v>
      </c>
      <c r="R155" s="11">
        <v>0</v>
      </c>
      <c r="S155" s="11">
        <v>534.78</v>
      </c>
      <c r="T155" s="14">
        <v>369</v>
      </c>
      <c r="U155" s="14">
        <v>2345</v>
      </c>
      <c r="V155" s="330"/>
      <c r="W155" s="11">
        <v>0.56678333333333331</v>
      </c>
      <c r="X155" s="64">
        <v>3407</v>
      </c>
      <c r="Y155" s="64">
        <v>3250</v>
      </c>
      <c r="Z155" s="331">
        <v>0.98678420118961818</v>
      </c>
      <c r="AA155" s="31">
        <v>0</v>
      </c>
      <c r="AB155" s="11">
        <v>0</v>
      </c>
      <c r="AC155" s="11">
        <v>1</v>
      </c>
      <c r="AE155" s="32">
        <v>-579182.89005000005</v>
      </c>
      <c r="AF155" s="13">
        <v>-185818.33000000002</v>
      </c>
      <c r="AG155" s="13">
        <v>591174.74359396612</v>
      </c>
      <c r="AH155" s="13">
        <v>0</v>
      </c>
      <c r="AI155" s="13">
        <v>-38389.109924341668</v>
      </c>
      <c r="AJ155" s="13">
        <v>803272</v>
      </c>
      <c r="AK155" s="13">
        <v>260536</v>
      </c>
      <c r="AL155" s="13">
        <v>594607.00557090575</v>
      </c>
      <c r="AM155" s="13">
        <v>29984.572558197375</v>
      </c>
      <c r="AN155" s="13">
        <v>81713.79125779483</v>
      </c>
      <c r="AO155" s="13">
        <v>348205.48234426253</v>
      </c>
      <c r="AP155" s="13">
        <v>470837.27244409214</v>
      </c>
      <c r="AQ155" s="13">
        <v>887671.22592393123</v>
      </c>
      <c r="AR155" s="13">
        <v>228034.70317835227</v>
      </c>
      <c r="AS155" s="13">
        <v>418329.02621177264</v>
      </c>
      <c r="AT155" s="34"/>
      <c r="AU155" s="13"/>
      <c r="AV155" s="34"/>
      <c r="AW155" s="34"/>
      <c r="AX155" s="34"/>
      <c r="AY155" s="13">
        <v>534889.71925580513</v>
      </c>
      <c r="AZ155" s="13">
        <v>319124.39739216893</v>
      </c>
      <c r="BA155" s="13">
        <v>294728.01405640482</v>
      </c>
      <c r="BB155" s="32">
        <v>-836985.06646362867</v>
      </c>
      <c r="BC155" s="33">
        <v>-254886.44335563492</v>
      </c>
      <c r="BD155" s="33">
        <v>-276246</v>
      </c>
      <c r="BE155" s="33">
        <v>-105863.4</v>
      </c>
      <c r="BF155" s="14"/>
      <c r="BG155" s="14">
        <v>915503.62480877433</v>
      </c>
      <c r="BH155" s="33">
        <v>100144.09219003368</v>
      </c>
      <c r="BI155" s="13">
        <v>-405139</v>
      </c>
      <c r="BJ155" s="13">
        <v>1992</v>
      </c>
      <c r="BK155" s="33">
        <v>-37190.087499999994</v>
      </c>
    </row>
    <row r="156" spans="1:63" ht="14.25" x14ac:dyDescent="0.2">
      <c r="A156" s="14">
        <v>507</v>
      </c>
      <c r="B156" s="14" t="s">
        <v>430</v>
      </c>
      <c r="C156" s="14">
        <v>7057</v>
      </c>
      <c r="D156" s="14">
        <v>210</v>
      </c>
      <c r="E156" s="14">
        <v>43</v>
      </c>
      <c r="F156" s="14">
        <v>337</v>
      </c>
      <c r="G156" s="14">
        <v>186</v>
      </c>
      <c r="H156" s="14">
        <v>6281</v>
      </c>
      <c r="I156" s="14">
        <v>3315</v>
      </c>
      <c r="K156" s="29">
        <v>272.41666666666669</v>
      </c>
      <c r="L156" s="29">
        <v>2772</v>
      </c>
      <c r="M156" s="14">
        <v>390.91666666666669</v>
      </c>
      <c r="N156" s="11">
        <v>351</v>
      </c>
      <c r="O156" s="11">
        <v>0</v>
      </c>
      <c r="P156" s="11">
        <v>20</v>
      </c>
      <c r="Q156" s="11">
        <v>0</v>
      </c>
      <c r="R156" s="11">
        <v>0</v>
      </c>
      <c r="S156" s="11">
        <v>1356.07</v>
      </c>
      <c r="T156" s="14">
        <v>334</v>
      </c>
      <c r="U156" s="14">
        <v>1654</v>
      </c>
      <c r="V156" s="330"/>
      <c r="W156" s="11">
        <v>1.02258</v>
      </c>
      <c r="X156" s="64">
        <v>2341</v>
      </c>
      <c r="Y156" s="64">
        <v>2456</v>
      </c>
      <c r="Z156" s="331">
        <v>0.95118878461735168</v>
      </c>
      <c r="AA156" s="31">
        <v>0</v>
      </c>
      <c r="AB156" s="11">
        <v>0</v>
      </c>
      <c r="AC156" s="11">
        <v>0</v>
      </c>
      <c r="AE156" s="32">
        <v>-274861.565</v>
      </c>
      <c r="AF156" s="13"/>
      <c r="AG156" s="13">
        <v>284274.49610750668</v>
      </c>
      <c r="AH156" s="13">
        <v>-10777.711785003445</v>
      </c>
      <c r="AI156" s="13">
        <v>25423.479168058315</v>
      </c>
      <c r="AJ156" s="13"/>
      <c r="AK156" s="13"/>
      <c r="AL156" s="13"/>
      <c r="AM156" s="13"/>
      <c r="AN156" s="13"/>
      <c r="AO156" s="13"/>
      <c r="AP156" s="13"/>
      <c r="AQ156" s="13"/>
      <c r="AR156" s="13"/>
      <c r="AS156" s="13"/>
      <c r="AT156" s="13"/>
      <c r="AU156" s="13"/>
      <c r="AV156" s="13"/>
      <c r="AW156" s="13"/>
      <c r="AX156" s="13"/>
      <c r="AY156" s="13"/>
      <c r="AZ156" s="13"/>
      <c r="BA156" s="13"/>
      <c r="BB156" s="32">
        <v>-1410487.6499089282</v>
      </c>
      <c r="BC156" s="33">
        <v>-332339.47690672416</v>
      </c>
      <c r="BD156" s="33">
        <v>-210298.6</v>
      </c>
      <c r="BE156" s="33">
        <v>-80590.94</v>
      </c>
      <c r="BF156" s="14"/>
      <c r="BG156" s="14">
        <v>1052621.6701080822</v>
      </c>
      <c r="BH156" s="33">
        <v>1387185.1565896703</v>
      </c>
      <c r="BI156" s="13">
        <v>-56521</v>
      </c>
      <c r="BJ156" s="13">
        <v>1370</v>
      </c>
      <c r="BK156" s="33">
        <v>-18886.557499999995</v>
      </c>
    </row>
    <row r="157" spans="1:63" ht="14.25" x14ac:dyDescent="0.2">
      <c r="A157" s="14">
        <v>529</v>
      </c>
      <c r="B157" s="14" t="s">
        <v>432</v>
      </c>
      <c r="C157" s="14">
        <v>20129</v>
      </c>
      <c r="D157" s="14">
        <v>993</v>
      </c>
      <c r="E157" s="14">
        <v>156</v>
      </c>
      <c r="F157" s="14">
        <v>1239</v>
      </c>
      <c r="G157" s="14">
        <v>696</v>
      </c>
      <c r="H157" s="14">
        <v>17045</v>
      </c>
      <c r="I157" s="14">
        <v>10821</v>
      </c>
      <c r="K157" s="29">
        <v>702.08333333333337</v>
      </c>
      <c r="L157" s="29">
        <v>9290</v>
      </c>
      <c r="M157" s="14">
        <v>1014.75</v>
      </c>
      <c r="N157" s="11">
        <v>840</v>
      </c>
      <c r="O157" s="11">
        <v>0</v>
      </c>
      <c r="P157" s="11">
        <v>266</v>
      </c>
      <c r="Q157" s="11">
        <v>3</v>
      </c>
      <c r="R157" s="11">
        <v>4261</v>
      </c>
      <c r="S157" s="11">
        <v>312.89999999999998</v>
      </c>
      <c r="T157" s="14">
        <v>655</v>
      </c>
      <c r="U157" s="14">
        <v>6055</v>
      </c>
      <c r="V157" s="330"/>
      <c r="W157" s="11">
        <v>0</v>
      </c>
      <c r="X157" s="64">
        <v>5221</v>
      </c>
      <c r="Y157" s="64">
        <v>8683</v>
      </c>
      <c r="Z157" s="331">
        <v>1.0291774308654482</v>
      </c>
      <c r="AA157" s="31">
        <v>0.92826609623245149</v>
      </c>
      <c r="AB157" s="11">
        <v>0</v>
      </c>
      <c r="AC157" s="11">
        <v>1</v>
      </c>
      <c r="AE157" s="32">
        <v>-550625.93805</v>
      </c>
      <c r="AF157" s="13">
        <v>-373192.67000000004</v>
      </c>
      <c r="AG157" s="13">
        <v>807974.29863670806</v>
      </c>
      <c r="AH157" s="13">
        <v>-217640.93213136186</v>
      </c>
      <c r="AI157" s="13">
        <v>-40860.269563616195</v>
      </c>
      <c r="AJ157" s="13">
        <v>1126269</v>
      </c>
      <c r="AK157" s="13">
        <v>399804</v>
      </c>
      <c r="AL157" s="13">
        <v>766201.27662967087</v>
      </c>
      <c r="AM157" s="13">
        <v>14389.925838253772</v>
      </c>
      <c r="AN157" s="13">
        <v>-431494.31892511674</v>
      </c>
      <c r="AO157" s="13">
        <v>292074.77072624414</v>
      </c>
      <c r="AP157" s="13">
        <v>716649.17486238037</v>
      </c>
      <c r="AQ157" s="13">
        <v>1313253.5607455149</v>
      </c>
      <c r="AR157" s="13">
        <v>386703.96748320304</v>
      </c>
      <c r="AS157" s="13">
        <v>671825.33558644855</v>
      </c>
      <c r="AT157" s="34"/>
      <c r="AU157" s="13"/>
      <c r="AV157" s="34"/>
      <c r="AW157" s="34"/>
      <c r="AX157" s="34"/>
      <c r="AY157" s="13">
        <v>837054.10549226706</v>
      </c>
      <c r="AZ157" s="13">
        <v>537418.16333842266</v>
      </c>
      <c r="BA157" s="13">
        <v>540483.33955623186</v>
      </c>
      <c r="BB157" s="32">
        <v>4328799.4813034628</v>
      </c>
      <c r="BC157" s="33">
        <v>265447.47238267853</v>
      </c>
      <c r="BD157" s="33">
        <v>-599844.20000000007</v>
      </c>
      <c r="BE157" s="33">
        <v>-229873.18</v>
      </c>
      <c r="BF157" s="14"/>
      <c r="BG157" s="14">
        <v>1289250.2800877385</v>
      </c>
      <c r="BH157" s="33">
        <v>-600972.42140937981</v>
      </c>
      <c r="BI157" s="13">
        <v>-860950</v>
      </c>
      <c r="BJ157" s="13">
        <v>5017</v>
      </c>
      <c r="BK157" s="33">
        <v>11042.1875</v>
      </c>
    </row>
    <row r="158" spans="1:63" ht="14.25" x14ac:dyDescent="0.2">
      <c r="A158" s="14">
        <v>531</v>
      </c>
      <c r="B158" s="14" t="s">
        <v>433</v>
      </c>
      <c r="C158" s="14">
        <v>4939</v>
      </c>
      <c r="D158" s="14">
        <v>215</v>
      </c>
      <c r="E158" s="14">
        <v>29</v>
      </c>
      <c r="F158" s="14">
        <v>302</v>
      </c>
      <c r="G158" s="14">
        <v>184</v>
      </c>
      <c r="H158" s="14">
        <v>4209</v>
      </c>
      <c r="I158" s="14">
        <v>2590</v>
      </c>
      <c r="K158" s="29">
        <v>173.58333333333334</v>
      </c>
      <c r="L158" s="29">
        <v>2206</v>
      </c>
      <c r="M158" s="14">
        <v>297.25</v>
      </c>
      <c r="N158" s="11">
        <v>108</v>
      </c>
      <c r="O158" s="11">
        <v>0</v>
      </c>
      <c r="P158" s="11">
        <v>31</v>
      </c>
      <c r="Q158" s="11">
        <v>0</v>
      </c>
      <c r="R158" s="11">
        <v>0</v>
      </c>
      <c r="S158" s="11">
        <v>182.93</v>
      </c>
      <c r="T158" s="14">
        <v>150</v>
      </c>
      <c r="U158" s="14">
        <v>1407</v>
      </c>
      <c r="V158" s="330"/>
      <c r="W158" s="11">
        <v>0</v>
      </c>
      <c r="X158" s="64">
        <v>1340</v>
      </c>
      <c r="Y158" s="64">
        <v>1968</v>
      </c>
      <c r="Z158" s="331">
        <v>0.9691589347837738</v>
      </c>
      <c r="AA158" s="31">
        <v>0</v>
      </c>
      <c r="AB158" s="11">
        <v>0</v>
      </c>
      <c r="AC158" s="11">
        <v>0</v>
      </c>
      <c r="AE158" s="32">
        <v>-145722.465</v>
      </c>
      <c r="AF158" s="13">
        <v>-100967.76000000001</v>
      </c>
      <c r="AG158" s="13">
        <v>439468.97913175786</v>
      </c>
      <c r="AH158" s="13">
        <v>-22620.790857804044</v>
      </c>
      <c r="AI158" s="13">
        <v>-591.1212640759768</v>
      </c>
      <c r="AJ158" s="13">
        <v>438841</v>
      </c>
      <c r="AK158" s="13">
        <v>144033</v>
      </c>
      <c r="AL158" s="13">
        <v>315657.2615734365</v>
      </c>
      <c r="AM158" s="13">
        <v>13267.612924917235</v>
      </c>
      <c r="AN158" s="13">
        <v>5784.8774261088856</v>
      </c>
      <c r="AO158" s="13">
        <v>154824.90383729787</v>
      </c>
      <c r="AP158" s="13">
        <v>277279.57392231474</v>
      </c>
      <c r="AQ158" s="13">
        <v>446750.80011926929</v>
      </c>
      <c r="AR158" s="13">
        <v>120873.60937409131</v>
      </c>
      <c r="AS158" s="13">
        <v>226991.36700585016</v>
      </c>
      <c r="AT158" s="34"/>
      <c r="AU158" s="13"/>
      <c r="AV158" s="34"/>
      <c r="AW158" s="34"/>
      <c r="AX158" s="34"/>
      <c r="AY158" s="13">
        <v>295492.10994245997</v>
      </c>
      <c r="AZ158" s="13">
        <v>172881.86799960214</v>
      </c>
      <c r="BA158" s="13">
        <v>171282.96214401201</v>
      </c>
      <c r="BB158" s="32">
        <v>-1123293.0359543334</v>
      </c>
      <c r="BC158" s="33">
        <v>-871526.56794134167</v>
      </c>
      <c r="BD158" s="33">
        <v>-147182.20000000001</v>
      </c>
      <c r="BE158" s="33">
        <v>-56403.38</v>
      </c>
      <c r="BF158" s="14"/>
      <c r="BG158" s="14">
        <v>481376.10550875089</v>
      </c>
      <c r="BH158" s="33">
        <v>1896929.5442797744</v>
      </c>
      <c r="BI158" s="13">
        <v>-305741</v>
      </c>
      <c r="BJ158" s="13">
        <v>1253</v>
      </c>
      <c r="BK158" s="33">
        <v>-98089.960000000021</v>
      </c>
    </row>
    <row r="159" spans="1:63" ht="14.25" x14ac:dyDescent="0.2">
      <c r="A159" s="14">
        <v>535</v>
      </c>
      <c r="B159" s="14" t="s">
        <v>434</v>
      </c>
      <c r="C159" s="14">
        <v>10378</v>
      </c>
      <c r="D159" s="14">
        <v>669</v>
      </c>
      <c r="E159" s="14">
        <v>141</v>
      </c>
      <c r="F159" s="14">
        <v>967</v>
      </c>
      <c r="G159" s="14">
        <v>560</v>
      </c>
      <c r="H159" s="14">
        <v>8041</v>
      </c>
      <c r="I159" s="14">
        <v>5192</v>
      </c>
      <c r="K159" s="29">
        <v>370.58333333333331</v>
      </c>
      <c r="L159" s="29">
        <v>4424</v>
      </c>
      <c r="M159" s="14">
        <v>479.5</v>
      </c>
      <c r="N159" s="11">
        <v>186</v>
      </c>
      <c r="O159" s="11">
        <v>0</v>
      </c>
      <c r="P159" s="11">
        <v>7</v>
      </c>
      <c r="Q159" s="11">
        <v>0</v>
      </c>
      <c r="R159" s="11">
        <v>0</v>
      </c>
      <c r="S159" s="11">
        <v>527.35</v>
      </c>
      <c r="T159" s="14">
        <v>305</v>
      </c>
      <c r="U159" s="14">
        <v>2852</v>
      </c>
      <c r="V159" s="330"/>
      <c r="W159" s="11">
        <v>8.7833333333333333E-2</v>
      </c>
      <c r="X159" s="64">
        <v>3729</v>
      </c>
      <c r="Y159" s="64">
        <v>3954</v>
      </c>
      <c r="Z159" s="331">
        <v>0.91560609285512928</v>
      </c>
      <c r="AA159" s="31">
        <v>0</v>
      </c>
      <c r="AB159" s="11">
        <v>0</v>
      </c>
      <c r="AC159" s="11">
        <v>0</v>
      </c>
      <c r="AE159" s="32">
        <v>-270887.34000000003</v>
      </c>
      <c r="AF159" s="13">
        <v>-201705</v>
      </c>
      <c r="AG159" s="13">
        <v>249789.93803309952</v>
      </c>
      <c r="AH159" s="13">
        <v>-345622.25885597424</v>
      </c>
      <c r="AI159" s="13">
        <v>-18382.03553131604</v>
      </c>
      <c r="AJ159" s="13">
        <v>959779</v>
      </c>
      <c r="AK159" s="13">
        <v>298038</v>
      </c>
      <c r="AL159" s="13">
        <v>742244.57160108408</v>
      </c>
      <c r="AM159" s="13">
        <v>31395.044960570765</v>
      </c>
      <c r="AN159" s="13">
        <v>86216.866427678178</v>
      </c>
      <c r="AO159" s="13">
        <v>384828.58999843674</v>
      </c>
      <c r="AP159" s="13">
        <v>586699.58609590796</v>
      </c>
      <c r="AQ159" s="13">
        <v>917056.14742827835</v>
      </c>
      <c r="AR159" s="13">
        <v>236083.63672031384</v>
      </c>
      <c r="AS159" s="13">
        <v>483486.12478537211</v>
      </c>
      <c r="AT159" s="34"/>
      <c r="AU159" s="13"/>
      <c r="AV159" s="34"/>
      <c r="AW159" s="34"/>
      <c r="AX159" s="34"/>
      <c r="AY159" s="13">
        <v>655415.29803997499</v>
      </c>
      <c r="AZ159" s="13">
        <v>382809.24456154421</v>
      </c>
      <c r="BA159" s="13">
        <v>369265.51453717396</v>
      </c>
      <c r="BB159" s="32">
        <v>431355.8732414273</v>
      </c>
      <c r="BC159" s="33">
        <v>-96533.653856723715</v>
      </c>
      <c r="BD159" s="33">
        <v>-309264.40000000002</v>
      </c>
      <c r="BE159" s="33">
        <v>-118516.76</v>
      </c>
      <c r="BF159" s="14"/>
      <c r="BG159" s="14">
        <v>1127086.6911339287</v>
      </c>
      <c r="BH159" s="33">
        <v>6560214.9023458119</v>
      </c>
      <c r="BI159" s="13">
        <v>-626646</v>
      </c>
      <c r="BJ159" s="13">
        <v>3830</v>
      </c>
      <c r="BK159" s="33">
        <v>-191727.70999999996</v>
      </c>
    </row>
    <row r="160" spans="1:63" ht="14.25" x14ac:dyDescent="0.2">
      <c r="A160" s="14">
        <v>536</v>
      </c>
      <c r="B160" s="14" t="s">
        <v>435</v>
      </c>
      <c r="C160" s="14">
        <v>36176</v>
      </c>
      <c r="D160" s="14">
        <v>2030</v>
      </c>
      <c r="E160" s="14">
        <v>366</v>
      </c>
      <c r="F160" s="14">
        <v>2611</v>
      </c>
      <c r="G160" s="14">
        <v>1447</v>
      </c>
      <c r="H160" s="14">
        <v>29722</v>
      </c>
      <c r="I160" s="14">
        <v>20955</v>
      </c>
      <c r="K160" s="29">
        <v>1720.25</v>
      </c>
      <c r="L160" s="29">
        <v>17366</v>
      </c>
      <c r="M160" s="14">
        <v>2357.3333333333335</v>
      </c>
      <c r="N160" s="11">
        <v>1408</v>
      </c>
      <c r="O160" s="11">
        <v>0</v>
      </c>
      <c r="P160" s="11">
        <v>116</v>
      </c>
      <c r="Q160" s="11">
        <v>0</v>
      </c>
      <c r="R160" s="11">
        <v>0</v>
      </c>
      <c r="S160" s="11">
        <v>288.33999999999997</v>
      </c>
      <c r="T160" s="14">
        <v>1115</v>
      </c>
      <c r="U160" s="14">
        <v>12393</v>
      </c>
      <c r="V160" s="330"/>
      <c r="W160" s="11">
        <v>0</v>
      </c>
      <c r="X160" s="64">
        <v>12345</v>
      </c>
      <c r="Y160" s="64">
        <v>16017</v>
      </c>
      <c r="Z160" s="331">
        <v>0.96006303244529101</v>
      </c>
      <c r="AA160" s="31">
        <v>1.2199889205261789</v>
      </c>
      <c r="AB160" s="11">
        <v>0</v>
      </c>
      <c r="AC160" s="11">
        <v>4</v>
      </c>
      <c r="AE160" s="32">
        <v>-1945566.4069999999</v>
      </c>
      <c r="AF160" s="13">
        <v>-662283.96000000008</v>
      </c>
      <c r="AG160" s="13">
        <v>1727461.7992306368</v>
      </c>
      <c r="AH160" s="13">
        <v>-472088.94619469513</v>
      </c>
      <c r="AI160" s="13">
        <v>-180902.85756571358</v>
      </c>
      <c r="AJ160" s="13">
        <v>2025008</v>
      </c>
      <c r="AK160" s="13">
        <v>639058</v>
      </c>
      <c r="AL160" s="13">
        <v>1293658.0277316587</v>
      </c>
      <c r="AM160" s="13">
        <v>16113.233209466209</v>
      </c>
      <c r="AN160" s="13">
        <v>29726.065003372754</v>
      </c>
      <c r="AO160" s="13">
        <v>685453.07183000259</v>
      </c>
      <c r="AP160" s="13">
        <v>1344889.1313814824</v>
      </c>
      <c r="AQ160" s="13">
        <v>2233952.0745359459</v>
      </c>
      <c r="AR160" s="13">
        <v>578686.89771078154</v>
      </c>
      <c r="AS160" s="13">
        <v>1155887.2384274635</v>
      </c>
      <c r="AT160" s="34"/>
      <c r="AU160" s="13"/>
      <c r="AV160" s="34"/>
      <c r="AW160" s="34"/>
      <c r="AX160" s="34"/>
      <c r="AY160" s="13">
        <v>1444850.5615021733</v>
      </c>
      <c r="AZ160" s="13">
        <v>964067.93394148012</v>
      </c>
      <c r="BA160" s="13">
        <v>917409.74826010515</v>
      </c>
      <c r="BB160" s="32">
        <v>-1468266.4195354653</v>
      </c>
      <c r="BC160" s="33">
        <v>-149397.33491208209</v>
      </c>
      <c r="BD160" s="33">
        <v>-1078044.8</v>
      </c>
      <c r="BE160" s="33">
        <v>-413129.92</v>
      </c>
      <c r="BF160" s="14"/>
      <c r="BG160" s="14">
        <v>1509396.6165614629</v>
      </c>
      <c r="BH160" s="33">
        <v>6418546.541284414</v>
      </c>
      <c r="BI160" s="13">
        <v>-1066662</v>
      </c>
      <c r="BJ160" s="13">
        <v>11343</v>
      </c>
      <c r="BK160" s="33">
        <v>247274.33000000007</v>
      </c>
    </row>
    <row r="161" spans="1:63" ht="14.25" x14ac:dyDescent="0.2">
      <c r="A161" s="14">
        <v>538</v>
      </c>
      <c r="B161" s="14" t="s">
        <v>436</v>
      </c>
      <c r="C161" s="14">
        <v>4659</v>
      </c>
      <c r="D161" s="14">
        <v>280</v>
      </c>
      <c r="E161" s="14">
        <v>43</v>
      </c>
      <c r="F161" s="14">
        <v>360</v>
      </c>
      <c r="G161" s="14">
        <v>213</v>
      </c>
      <c r="H161" s="14">
        <v>3763</v>
      </c>
      <c r="I161" s="14">
        <v>2610</v>
      </c>
      <c r="K161" s="29">
        <v>130.91666666666666</v>
      </c>
      <c r="L161" s="29">
        <v>2248</v>
      </c>
      <c r="M161" s="14">
        <v>181.25</v>
      </c>
      <c r="N161" s="11">
        <v>168</v>
      </c>
      <c r="O161" s="11">
        <v>0</v>
      </c>
      <c r="P161" s="11">
        <v>36</v>
      </c>
      <c r="Q161" s="11">
        <v>0</v>
      </c>
      <c r="R161" s="11">
        <v>0</v>
      </c>
      <c r="S161" s="11">
        <v>198.97</v>
      </c>
      <c r="T161" s="14">
        <v>176</v>
      </c>
      <c r="U161" s="14">
        <v>1596</v>
      </c>
      <c r="V161" s="330"/>
      <c r="W161" s="11">
        <v>0</v>
      </c>
      <c r="X161" s="64">
        <v>929</v>
      </c>
      <c r="Y161" s="64">
        <v>2154</v>
      </c>
      <c r="Z161" s="331">
        <v>1.1450377376555749</v>
      </c>
      <c r="AA161" s="31">
        <v>0</v>
      </c>
      <c r="AB161" s="11">
        <v>0</v>
      </c>
      <c r="AC161" s="11">
        <v>1</v>
      </c>
      <c r="AE161" s="32">
        <v>-40896.347099999999</v>
      </c>
      <c r="AF161" s="13">
        <v>-90152.53</v>
      </c>
      <c r="AG161" s="13">
        <v>100731.70676837518</v>
      </c>
      <c r="AH161" s="13">
        <v>-94726.025759455428</v>
      </c>
      <c r="AI161" s="13">
        <v>-22958.57822509094</v>
      </c>
      <c r="AJ161" s="13">
        <v>391270</v>
      </c>
      <c r="AK161" s="13">
        <v>123013</v>
      </c>
      <c r="AL161" s="13">
        <v>242596.63038865852</v>
      </c>
      <c r="AM161" s="13">
        <v>3579.7945299190155</v>
      </c>
      <c r="AN161" s="13">
        <v>17659.404046923213</v>
      </c>
      <c r="AO161" s="13">
        <v>96120.125570317046</v>
      </c>
      <c r="AP161" s="13">
        <v>243463.35821764384</v>
      </c>
      <c r="AQ161" s="13">
        <v>418804.37475416379</v>
      </c>
      <c r="AR161" s="13">
        <v>102384.76512897338</v>
      </c>
      <c r="AS161" s="13">
        <v>193340.95306111281</v>
      </c>
      <c r="AT161" s="34"/>
      <c r="AU161" s="13"/>
      <c r="AV161" s="34"/>
      <c r="AW161" s="34"/>
      <c r="AX161" s="34"/>
      <c r="AY161" s="13">
        <v>251378.99568681928</v>
      </c>
      <c r="AZ161" s="13">
        <v>163920.25787598902</v>
      </c>
      <c r="BA161" s="13">
        <v>160847.77643368248</v>
      </c>
      <c r="BB161" s="32">
        <v>4520.992781539514</v>
      </c>
      <c r="BC161" s="33">
        <v>-88592.711074054299</v>
      </c>
      <c r="BD161" s="33">
        <v>-138838.20000000001</v>
      </c>
      <c r="BE161" s="33">
        <v>-53205.78</v>
      </c>
      <c r="BF161" s="14"/>
      <c r="BG161" s="14">
        <v>371342.01894066314</v>
      </c>
      <c r="BH161" s="33">
        <v>1721579.8790270183</v>
      </c>
      <c r="BI161" s="13">
        <v>823561</v>
      </c>
      <c r="BJ161" s="13">
        <v>1390</v>
      </c>
      <c r="BK161" s="33">
        <v>7738.3650000000198</v>
      </c>
    </row>
    <row r="162" spans="1:63" ht="14.25" x14ac:dyDescent="0.2">
      <c r="A162" s="14">
        <v>541</v>
      </c>
      <c r="B162" s="14" t="s">
        <v>437</v>
      </c>
      <c r="C162" s="14">
        <v>8980</v>
      </c>
      <c r="D162" s="14">
        <v>292</v>
      </c>
      <c r="E162" s="14">
        <v>72</v>
      </c>
      <c r="F162" s="14">
        <v>442</v>
      </c>
      <c r="G162" s="14">
        <v>254</v>
      </c>
      <c r="H162" s="14">
        <v>7920</v>
      </c>
      <c r="I162" s="14">
        <v>4313</v>
      </c>
      <c r="K162" s="29">
        <v>482.08333333333331</v>
      </c>
      <c r="L162" s="29">
        <v>3673</v>
      </c>
      <c r="M162" s="14">
        <v>650.16666666666663</v>
      </c>
      <c r="N162" s="11">
        <v>346</v>
      </c>
      <c r="O162" s="11">
        <v>0</v>
      </c>
      <c r="P162" s="11">
        <v>9</v>
      </c>
      <c r="Q162" s="11">
        <v>0</v>
      </c>
      <c r="R162" s="11">
        <v>0</v>
      </c>
      <c r="S162" s="11">
        <v>2401.59</v>
      </c>
      <c r="T162" s="14">
        <v>301</v>
      </c>
      <c r="U162" s="14">
        <v>2184</v>
      </c>
      <c r="V162" s="330"/>
      <c r="W162" s="11">
        <v>1.181</v>
      </c>
      <c r="X162" s="64">
        <v>3153</v>
      </c>
      <c r="Y162" s="64">
        <v>3140</v>
      </c>
      <c r="Z162" s="331">
        <v>0.91617965267776391</v>
      </c>
      <c r="AA162" s="31">
        <v>0</v>
      </c>
      <c r="AB162" s="11">
        <v>0</v>
      </c>
      <c r="AC162" s="11">
        <v>0</v>
      </c>
      <c r="AE162" s="32">
        <v>-285333.9449</v>
      </c>
      <c r="AF162" s="13">
        <v>-182514.21000000002</v>
      </c>
      <c r="AG162" s="13">
        <v>242239.31361104886</v>
      </c>
      <c r="AH162" s="13">
        <v>-226665.18486670888</v>
      </c>
      <c r="AI162" s="13">
        <v>128761.58199332695</v>
      </c>
      <c r="AJ162" s="13">
        <v>995247</v>
      </c>
      <c r="AK162" s="13">
        <v>308034</v>
      </c>
      <c r="AL162" s="13">
        <v>838594.18057144899</v>
      </c>
      <c r="AM162" s="13">
        <v>47545.389432168769</v>
      </c>
      <c r="AN162" s="13">
        <v>133720.40702885162</v>
      </c>
      <c r="AO162" s="13">
        <v>433982.73767950042</v>
      </c>
      <c r="AP162" s="13">
        <v>556119.80564314523</v>
      </c>
      <c r="AQ162" s="13">
        <v>898885.23495856766</v>
      </c>
      <c r="AR162" s="13">
        <v>274897.1767368656</v>
      </c>
      <c r="AS162" s="13">
        <v>484578.39218715357</v>
      </c>
      <c r="AT162" s="34"/>
      <c r="AU162" s="13"/>
      <c r="AV162" s="34"/>
      <c r="AW162" s="34"/>
      <c r="AX162" s="34"/>
      <c r="AY162" s="13">
        <v>656237.73745466163</v>
      </c>
      <c r="AZ162" s="13">
        <v>351879.62141524645</v>
      </c>
      <c r="BA162" s="13">
        <v>351616.53941517585</v>
      </c>
      <c r="BB162" s="32">
        <v>2452029.1786533692</v>
      </c>
      <c r="BC162" s="33">
        <v>1344684.0561266013</v>
      </c>
      <c r="BD162" s="33">
        <v>-267604</v>
      </c>
      <c r="BE162" s="33">
        <v>-102551.6</v>
      </c>
      <c r="BF162" s="14"/>
      <c r="BG162" s="14">
        <v>1392696.4776137825</v>
      </c>
      <c r="BH162" s="33">
        <v>4437924.1999914348</v>
      </c>
      <c r="BI162" s="13">
        <v>-465422</v>
      </c>
      <c r="BJ162" s="13">
        <v>1903</v>
      </c>
      <c r="BK162" s="33">
        <v>-76146.924999999988</v>
      </c>
    </row>
    <row r="163" spans="1:63" ht="14.25" x14ac:dyDescent="0.2">
      <c r="A163" s="14">
        <v>543</v>
      </c>
      <c r="B163" s="14" t="s">
        <v>438</v>
      </c>
      <c r="C163" s="14">
        <v>45048</v>
      </c>
      <c r="D163" s="14">
        <v>2871</v>
      </c>
      <c r="E163" s="14">
        <v>484</v>
      </c>
      <c r="F163" s="14">
        <v>3649</v>
      </c>
      <c r="G163" s="14">
        <v>1999</v>
      </c>
      <c r="H163" s="14">
        <v>36045</v>
      </c>
      <c r="I163" s="14">
        <v>26504</v>
      </c>
      <c r="K163" s="29">
        <v>1815.8333333333333</v>
      </c>
      <c r="L163" s="29">
        <v>23017</v>
      </c>
      <c r="M163" s="14">
        <v>2319.083333333333</v>
      </c>
      <c r="N163" s="11">
        <v>3648</v>
      </c>
      <c r="O163" s="11">
        <v>0</v>
      </c>
      <c r="P163" s="11">
        <v>569</v>
      </c>
      <c r="Q163" s="11">
        <v>0</v>
      </c>
      <c r="R163" s="11">
        <v>0</v>
      </c>
      <c r="S163" s="11">
        <v>361.92</v>
      </c>
      <c r="T163" s="14">
        <v>2295</v>
      </c>
      <c r="U163" s="14">
        <v>15247</v>
      </c>
      <c r="V163" s="330"/>
      <c r="W163" s="11">
        <v>0</v>
      </c>
      <c r="X163" s="64">
        <v>12258</v>
      </c>
      <c r="Y163" s="64">
        <v>21421</v>
      </c>
      <c r="Z163" s="331">
        <v>1.028540916928421</v>
      </c>
      <c r="AA163" s="31">
        <v>0.6909611679654537</v>
      </c>
      <c r="AB163" s="11">
        <v>0</v>
      </c>
      <c r="AC163" s="11">
        <v>1</v>
      </c>
      <c r="AE163" s="32">
        <v>-1928310.2568000001</v>
      </c>
      <c r="AF163" s="13">
        <v>-838766.23</v>
      </c>
      <c r="AG163" s="13">
        <v>1069403.5095069902</v>
      </c>
      <c r="AH163" s="13">
        <v>-841712.0442421186</v>
      </c>
      <c r="AI163" s="13">
        <v>-248142.24580775783</v>
      </c>
      <c r="AJ163" s="13">
        <v>2508951</v>
      </c>
      <c r="AK163" s="13">
        <v>815872</v>
      </c>
      <c r="AL163" s="13">
        <v>1541302.5968424971</v>
      </c>
      <c r="AM163" s="13">
        <v>-2689.5568037836974</v>
      </c>
      <c r="AN163" s="13">
        <v>-252744.74866968312</v>
      </c>
      <c r="AO163" s="13">
        <v>461128.29631924519</v>
      </c>
      <c r="AP163" s="13">
        <v>1697250.0701201775</v>
      </c>
      <c r="AQ163" s="13">
        <v>2641548.730693181</v>
      </c>
      <c r="AR163" s="13">
        <v>760307.29971737438</v>
      </c>
      <c r="AS163" s="13">
        <v>1322288.977590187</v>
      </c>
      <c r="AT163" s="34"/>
      <c r="AU163" s="13"/>
      <c r="AV163" s="34"/>
      <c r="AW163" s="34"/>
      <c r="AX163" s="34"/>
      <c r="AY163" s="13">
        <v>1636796.1764733593</v>
      </c>
      <c r="AZ163" s="13">
        <v>1178622.779299265</v>
      </c>
      <c r="BA163" s="13">
        <v>1174380.9819326294</v>
      </c>
      <c r="BB163" s="32">
        <v>5233977.5570725771</v>
      </c>
      <c r="BC163" s="33">
        <v>1450762.6195492414</v>
      </c>
      <c r="BD163" s="33">
        <v>-1342430.4000000001</v>
      </c>
      <c r="BE163" s="33">
        <v>-514448.16</v>
      </c>
      <c r="BF163" s="14"/>
      <c r="BG163" s="14">
        <v>2236462.1449719216</v>
      </c>
      <c r="BH163" s="33">
        <v>-193562.97268637462</v>
      </c>
      <c r="BI163" s="13">
        <v>-7856162</v>
      </c>
      <c r="BJ163" s="13">
        <v>14781</v>
      </c>
      <c r="BK163" s="33">
        <v>-197381.31000000006</v>
      </c>
    </row>
    <row r="164" spans="1:63" ht="14.25" x14ac:dyDescent="0.2">
      <c r="A164" s="14">
        <v>545</v>
      </c>
      <c r="B164" s="14" t="s">
        <v>439</v>
      </c>
      <c r="C164" s="14">
        <v>9554</v>
      </c>
      <c r="D164" s="14">
        <v>496</v>
      </c>
      <c r="E164" s="14">
        <v>109</v>
      </c>
      <c r="F164" s="14">
        <v>668</v>
      </c>
      <c r="G164" s="14">
        <v>333</v>
      </c>
      <c r="H164" s="14">
        <v>7948</v>
      </c>
      <c r="I164" s="14">
        <v>5065</v>
      </c>
      <c r="K164" s="29">
        <v>160.83333333333334</v>
      </c>
      <c r="L164" s="29">
        <v>4493</v>
      </c>
      <c r="M164" s="14">
        <v>265.41666666666669</v>
      </c>
      <c r="N164" s="11">
        <v>2081</v>
      </c>
      <c r="O164" s="11">
        <v>3</v>
      </c>
      <c r="P164" s="11">
        <v>7003</v>
      </c>
      <c r="Q164" s="11">
        <v>3</v>
      </c>
      <c r="R164" s="11">
        <v>98</v>
      </c>
      <c r="S164" s="11">
        <v>977.77</v>
      </c>
      <c r="T164" s="14">
        <v>761</v>
      </c>
      <c r="U164" s="14">
        <v>2913</v>
      </c>
      <c r="V164" s="330"/>
      <c r="W164" s="11">
        <v>0.75511666666666666</v>
      </c>
      <c r="X164" s="64">
        <v>4536</v>
      </c>
      <c r="Y164" s="64">
        <v>4267</v>
      </c>
      <c r="Z164" s="331">
        <v>1.0012084781131936</v>
      </c>
      <c r="AA164" s="31">
        <v>0</v>
      </c>
      <c r="AB164" s="11">
        <v>0</v>
      </c>
      <c r="AC164" s="11">
        <v>0</v>
      </c>
      <c r="AE164" s="32">
        <v>-69670.441900000005</v>
      </c>
      <c r="AF164" s="13">
        <v>-183609.18000000002</v>
      </c>
      <c r="AG164" s="13">
        <v>254727.42332646169</v>
      </c>
      <c r="AH164" s="13">
        <v>-354200.00292075961</v>
      </c>
      <c r="AI164" s="13">
        <v>-81411.96774579474</v>
      </c>
      <c r="AJ164" s="13">
        <v>882100</v>
      </c>
      <c r="AK164" s="13">
        <v>360351</v>
      </c>
      <c r="AL164" s="13">
        <v>862960.74430859403</v>
      </c>
      <c r="AM164" s="13">
        <v>51821.178533274098</v>
      </c>
      <c r="AN164" s="13">
        <v>100620.96981149455</v>
      </c>
      <c r="AO164" s="13">
        <v>341477.81833302096</v>
      </c>
      <c r="AP164" s="13">
        <v>661809.19778420764</v>
      </c>
      <c r="AQ164" s="13">
        <v>988815.4396264588</v>
      </c>
      <c r="AR164" s="13">
        <v>358380.75568269467</v>
      </c>
      <c r="AS164" s="13">
        <v>546498.55625187315</v>
      </c>
      <c r="AT164" s="34"/>
      <c r="AU164" s="13"/>
      <c r="AV164" s="34"/>
      <c r="AW164" s="34"/>
      <c r="AX164" s="34"/>
      <c r="AY164" s="13">
        <v>744996.28072836669</v>
      </c>
      <c r="AZ164" s="13">
        <v>435165.12566096312</v>
      </c>
      <c r="BA164" s="13">
        <v>446816.54095903301</v>
      </c>
      <c r="BB164" s="32">
        <v>1844380.1191372457</v>
      </c>
      <c r="BC164" s="33">
        <v>1093153.6479346761</v>
      </c>
      <c r="BD164" s="33">
        <v>-284709.2</v>
      </c>
      <c r="BE164" s="33">
        <v>-109106.68</v>
      </c>
      <c r="BF164" s="14"/>
      <c r="BG164" s="14">
        <v>1649191.218164094</v>
      </c>
      <c r="BH164" s="33">
        <v>3647676.6130638462</v>
      </c>
      <c r="BI164" s="13">
        <v>711607</v>
      </c>
      <c r="BJ164" s="13">
        <v>2643</v>
      </c>
      <c r="BK164" s="33">
        <v>137806.50000000003</v>
      </c>
    </row>
    <row r="165" spans="1:63" ht="14.25" x14ac:dyDescent="0.2">
      <c r="A165" s="14">
        <v>560</v>
      </c>
      <c r="B165" s="14" t="s">
        <v>440</v>
      </c>
      <c r="C165" s="14">
        <v>15651</v>
      </c>
      <c r="D165" s="14">
        <v>756</v>
      </c>
      <c r="E165" s="14">
        <v>128</v>
      </c>
      <c r="F165" s="14">
        <v>1103</v>
      </c>
      <c r="G165" s="14">
        <v>591</v>
      </c>
      <c r="H165" s="14">
        <v>13073</v>
      </c>
      <c r="I165" s="14">
        <v>8419</v>
      </c>
      <c r="K165" s="29">
        <v>825.66666666666663</v>
      </c>
      <c r="L165" s="29">
        <v>7243</v>
      </c>
      <c r="M165" s="14">
        <v>1064.6666666666665</v>
      </c>
      <c r="N165" s="11">
        <v>726</v>
      </c>
      <c r="O165" s="11">
        <v>0</v>
      </c>
      <c r="P165" s="11">
        <v>89</v>
      </c>
      <c r="Q165" s="11">
        <v>0</v>
      </c>
      <c r="R165" s="11">
        <v>0</v>
      </c>
      <c r="S165" s="11">
        <v>785.38</v>
      </c>
      <c r="T165" s="14">
        <v>726</v>
      </c>
      <c r="U165" s="14">
        <v>4770</v>
      </c>
      <c r="V165" s="330"/>
      <c r="W165" s="11">
        <v>0</v>
      </c>
      <c r="X165" s="64">
        <v>4544</v>
      </c>
      <c r="Y165" s="64">
        <v>6412</v>
      </c>
      <c r="Z165" s="331">
        <v>0.97891498016454837</v>
      </c>
      <c r="AA165" s="31">
        <v>0</v>
      </c>
      <c r="AB165" s="11">
        <v>0</v>
      </c>
      <c r="AC165" s="11">
        <v>5</v>
      </c>
      <c r="AE165" s="32">
        <v>-645881.57334999996</v>
      </c>
      <c r="AF165" s="13">
        <v>-305093.22000000003</v>
      </c>
      <c r="AG165" s="13">
        <v>353280.8167155399</v>
      </c>
      <c r="AH165" s="13">
        <v>-269364.55764948111</v>
      </c>
      <c r="AI165" s="13">
        <v>42208.128401227121</v>
      </c>
      <c r="AJ165" s="13">
        <v>1347206</v>
      </c>
      <c r="AK165" s="13">
        <v>448989</v>
      </c>
      <c r="AL165" s="13">
        <v>1044372.1029025062</v>
      </c>
      <c r="AM165" s="13">
        <v>40840.805751340253</v>
      </c>
      <c r="AN165" s="13">
        <v>25536.415548027293</v>
      </c>
      <c r="AO165" s="13">
        <v>410477.114387732</v>
      </c>
      <c r="AP165" s="13">
        <v>841468.43956446939</v>
      </c>
      <c r="AQ165" s="13">
        <v>1345148.8386893263</v>
      </c>
      <c r="AR165" s="13">
        <v>396782.10989634832</v>
      </c>
      <c r="AS165" s="13">
        <v>698393.14452333818</v>
      </c>
      <c r="AT165" s="34"/>
      <c r="AU165" s="13"/>
      <c r="AV165" s="34"/>
      <c r="AW165" s="34"/>
      <c r="AX165" s="34"/>
      <c r="AY165" s="13">
        <v>922060.50137157866</v>
      </c>
      <c r="AZ165" s="13">
        <v>551655.60284756392</v>
      </c>
      <c r="BA165" s="13">
        <v>558862.28518612147</v>
      </c>
      <c r="BB165" s="32">
        <v>142886.77238777475</v>
      </c>
      <c r="BC165" s="33">
        <v>-66507.301104555314</v>
      </c>
      <c r="BD165" s="33">
        <v>-466399.8</v>
      </c>
      <c r="BE165" s="33">
        <v>-178734.42</v>
      </c>
      <c r="BF165" s="14"/>
      <c r="BG165" s="14">
        <v>1700036.1846217967</v>
      </c>
      <c r="BH165" s="33">
        <v>6345894.0981712351</v>
      </c>
      <c r="BI165" s="13">
        <v>-1416002</v>
      </c>
      <c r="BJ165" s="13">
        <v>4186</v>
      </c>
      <c r="BK165" s="33">
        <v>374550.99999999977</v>
      </c>
    </row>
    <row r="166" spans="1:63" ht="14.25" x14ac:dyDescent="0.2">
      <c r="A166" s="14">
        <v>561</v>
      </c>
      <c r="B166" s="14" t="s">
        <v>441</v>
      </c>
      <c r="C166" s="14">
        <v>1304</v>
      </c>
      <c r="D166" s="14">
        <v>67</v>
      </c>
      <c r="E166" s="14">
        <v>10</v>
      </c>
      <c r="F166" s="14">
        <v>93</v>
      </c>
      <c r="G166" s="14">
        <v>47</v>
      </c>
      <c r="H166" s="14">
        <v>1087</v>
      </c>
      <c r="I166" s="14">
        <v>680</v>
      </c>
      <c r="K166" s="29">
        <v>48.916666666666664</v>
      </c>
      <c r="L166" s="29">
        <v>587</v>
      </c>
      <c r="M166" s="14">
        <v>69.25</v>
      </c>
      <c r="N166" s="11">
        <v>124</v>
      </c>
      <c r="O166" s="11">
        <v>0</v>
      </c>
      <c r="P166" s="11">
        <v>6</v>
      </c>
      <c r="Q166" s="11">
        <v>0</v>
      </c>
      <c r="R166" s="11">
        <v>0</v>
      </c>
      <c r="S166" s="11">
        <v>117.78</v>
      </c>
      <c r="T166" s="14">
        <v>84</v>
      </c>
      <c r="U166" s="14">
        <v>387</v>
      </c>
      <c r="V166" s="330"/>
      <c r="W166" s="11">
        <v>0</v>
      </c>
      <c r="X166" s="64">
        <v>486</v>
      </c>
      <c r="Y166" s="64">
        <v>542</v>
      </c>
      <c r="Z166" s="331">
        <v>0.83022206219508632</v>
      </c>
      <c r="AA166" s="31">
        <v>0</v>
      </c>
      <c r="AB166" s="11">
        <v>0</v>
      </c>
      <c r="AC166" s="11">
        <v>0</v>
      </c>
      <c r="AE166" s="32">
        <v>-21259.61</v>
      </c>
      <c r="AF166" s="13">
        <v>-25626.14</v>
      </c>
      <c r="AG166" s="13">
        <v>58560.919115655997</v>
      </c>
      <c r="AH166" s="13">
        <v>-39563.687844784254</v>
      </c>
      <c r="AI166" s="13">
        <v>2817.8418012032344</v>
      </c>
      <c r="AJ166" s="13">
        <v>125388</v>
      </c>
      <c r="AK166" s="13">
        <v>47164</v>
      </c>
      <c r="AL166" s="13">
        <v>120705.51309423543</v>
      </c>
      <c r="AM166" s="13">
        <v>6912.0473510312058</v>
      </c>
      <c r="AN166" s="13">
        <v>16468.420393850014</v>
      </c>
      <c r="AO166" s="13">
        <v>44923.497967833151</v>
      </c>
      <c r="AP166" s="13">
        <v>91105.935910178683</v>
      </c>
      <c r="AQ166" s="13">
        <v>127322.0639238273</v>
      </c>
      <c r="AR166" s="13">
        <v>42722.480114134763</v>
      </c>
      <c r="AS166" s="13">
        <v>69442.992919674653</v>
      </c>
      <c r="AT166" s="34"/>
      <c r="AU166" s="13"/>
      <c r="AV166" s="34"/>
      <c r="AW166" s="34"/>
      <c r="AX166" s="34"/>
      <c r="AY166" s="13">
        <v>95695.844868757136</v>
      </c>
      <c r="AZ166" s="13">
        <v>56285.301239261629</v>
      </c>
      <c r="BA166" s="13">
        <v>58535.208895824187</v>
      </c>
      <c r="BB166" s="32">
        <v>397976.52731554653</v>
      </c>
      <c r="BC166" s="33">
        <v>270393.29737263051</v>
      </c>
      <c r="BD166" s="33">
        <v>-38859.200000000004</v>
      </c>
      <c r="BE166" s="33">
        <v>-14891.68</v>
      </c>
      <c r="BF166" s="14"/>
      <c r="BG166" s="14">
        <v>262740.9297128818</v>
      </c>
      <c r="BH166" s="33">
        <v>473060.27727258293</v>
      </c>
      <c r="BI166" s="13">
        <v>-250211</v>
      </c>
      <c r="BJ166" s="13">
        <v>388</v>
      </c>
      <c r="BK166" s="33">
        <v>-673043.41249999998</v>
      </c>
    </row>
    <row r="167" spans="1:63" ht="14.25" x14ac:dyDescent="0.2">
      <c r="A167" s="14">
        <v>562</v>
      </c>
      <c r="B167" s="14" t="s">
        <v>442</v>
      </c>
      <c r="C167" s="14">
        <v>8869</v>
      </c>
      <c r="D167" s="14">
        <v>387</v>
      </c>
      <c r="E167" s="14">
        <v>74</v>
      </c>
      <c r="F167" s="14">
        <v>537</v>
      </c>
      <c r="G167" s="14">
        <v>297</v>
      </c>
      <c r="H167" s="14">
        <v>7574</v>
      </c>
      <c r="I167" s="14">
        <v>4535</v>
      </c>
      <c r="K167" s="29">
        <v>377.08333333333331</v>
      </c>
      <c r="L167" s="29">
        <v>3838</v>
      </c>
      <c r="M167" s="14">
        <v>526.33333333333326</v>
      </c>
      <c r="N167" s="11">
        <v>228</v>
      </c>
      <c r="O167" s="11">
        <v>0</v>
      </c>
      <c r="P167" s="11">
        <v>15</v>
      </c>
      <c r="Q167" s="11">
        <v>0</v>
      </c>
      <c r="R167" s="11">
        <v>0</v>
      </c>
      <c r="S167" s="11">
        <v>799.74</v>
      </c>
      <c r="T167" s="14">
        <v>248</v>
      </c>
      <c r="U167" s="14">
        <v>2454</v>
      </c>
      <c r="V167" s="330"/>
      <c r="W167" s="11">
        <v>0.28939999999999999</v>
      </c>
      <c r="X167" s="64">
        <v>2367</v>
      </c>
      <c r="Y167" s="64">
        <v>3433</v>
      </c>
      <c r="Z167" s="331">
        <v>1.1327179086126855</v>
      </c>
      <c r="AA167" s="31">
        <v>0</v>
      </c>
      <c r="AB167" s="11">
        <v>0</v>
      </c>
      <c r="AC167" s="11">
        <v>0</v>
      </c>
      <c r="AE167" s="32">
        <v>-271738.67499999999</v>
      </c>
      <c r="AF167" s="13">
        <v>-173043.68000000002</v>
      </c>
      <c r="AG167" s="13">
        <v>237881.160562417</v>
      </c>
      <c r="AH167" s="13">
        <v>-109759.03294800126</v>
      </c>
      <c r="AI167" s="13">
        <v>6777.6396494375076</v>
      </c>
      <c r="AJ167" s="13">
        <v>830958</v>
      </c>
      <c r="AK167" s="13">
        <v>272171</v>
      </c>
      <c r="AL167" s="13">
        <v>596253.02858232183</v>
      </c>
      <c r="AM167" s="13">
        <v>27439.144029399191</v>
      </c>
      <c r="AN167" s="13">
        <v>84570.054895810055</v>
      </c>
      <c r="AO167" s="13">
        <v>269120.68028650165</v>
      </c>
      <c r="AP167" s="13">
        <v>520355.84063226765</v>
      </c>
      <c r="AQ167" s="13">
        <v>820429.66557845939</v>
      </c>
      <c r="AR167" s="13">
        <v>233185.05735749073</v>
      </c>
      <c r="AS167" s="13">
        <v>414341.86908865831</v>
      </c>
      <c r="AT167" s="34"/>
      <c r="AU167" s="13"/>
      <c r="AV167" s="34"/>
      <c r="AW167" s="34"/>
      <c r="AX167" s="34"/>
      <c r="AY167" s="13">
        <v>553388.66922539088</v>
      </c>
      <c r="AZ167" s="13">
        <v>315388.40156651445</v>
      </c>
      <c r="BA167" s="13">
        <v>316105.78093442513</v>
      </c>
      <c r="BB167" s="32">
        <v>-14697.310719990495</v>
      </c>
      <c r="BC167" s="33">
        <v>-37765.664783552696</v>
      </c>
      <c r="BD167" s="33">
        <v>-264296.2</v>
      </c>
      <c r="BE167" s="33">
        <v>-101283.98</v>
      </c>
      <c r="BF167" s="14"/>
      <c r="BG167" s="14">
        <v>972239.16746580193</v>
      </c>
      <c r="BH167" s="33">
        <v>3258303.3559583104</v>
      </c>
      <c r="BI167" s="13">
        <v>-208989</v>
      </c>
      <c r="BJ167" s="13">
        <v>2167</v>
      </c>
      <c r="BK167" s="33">
        <v>-249200.08749999997</v>
      </c>
    </row>
    <row r="168" spans="1:63" ht="14.25" x14ac:dyDescent="0.2">
      <c r="A168" s="14">
        <v>563</v>
      </c>
      <c r="B168" s="14" t="s">
        <v>443</v>
      </c>
      <c r="C168" s="14">
        <v>6912</v>
      </c>
      <c r="D168" s="14">
        <v>343</v>
      </c>
      <c r="E168" s="14">
        <v>55</v>
      </c>
      <c r="F168" s="14">
        <v>499</v>
      </c>
      <c r="G168" s="14">
        <v>274</v>
      </c>
      <c r="H168" s="14">
        <v>5741</v>
      </c>
      <c r="I168" s="14">
        <v>3429</v>
      </c>
      <c r="K168" s="29">
        <v>269.16666666666669</v>
      </c>
      <c r="L168" s="29">
        <v>2888</v>
      </c>
      <c r="M168" s="14">
        <v>382.33333333333337</v>
      </c>
      <c r="N168" s="11">
        <v>184</v>
      </c>
      <c r="O168" s="11">
        <v>0</v>
      </c>
      <c r="P168" s="11">
        <v>8</v>
      </c>
      <c r="Q168" s="11">
        <v>0</v>
      </c>
      <c r="R168" s="11">
        <v>0</v>
      </c>
      <c r="S168" s="11">
        <v>587.47</v>
      </c>
      <c r="T168" s="14">
        <v>212</v>
      </c>
      <c r="U168" s="14">
        <v>1825</v>
      </c>
      <c r="V168" s="330"/>
      <c r="W168" s="11">
        <v>0.48</v>
      </c>
      <c r="X168" s="64">
        <v>2564</v>
      </c>
      <c r="Y168" s="64">
        <v>2527</v>
      </c>
      <c r="Z168" s="331">
        <v>0.98521600781716356</v>
      </c>
      <c r="AA168" s="31">
        <v>0</v>
      </c>
      <c r="AB168" s="11">
        <v>0</v>
      </c>
      <c r="AC168" s="11">
        <v>0</v>
      </c>
      <c r="AE168" s="32">
        <v>-255857.33499999999</v>
      </c>
      <c r="AF168" s="13">
        <v>-137447.55000000002</v>
      </c>
      <c r="AG168" s="13">
        <v>228221.41507628036</v>
      </c>
      <c r="AH168" s="13">
        <v>-102770.84829545791</v>
      </c>
      <c r="AI168" s="13">
        <v>-3099.1817343898292</v>
      </c>
      <c r="AJ168" s="13">
        <v>671353</v>
      </c>
      <c r="AK168" s="13">
        <v>207901</v>
      </c>
      <c r="AL168" s="13">
        <v>489424.87352101569</v>
      </c>
      <c r="AM168" s="13">
        <v>20115.517900169791</v>
      </c>
      <c r="AN168" s="13">
        <v>47737.777973836666</v>
      </c>
      <c r="AO168" s="13">
        <v>243027.83338420675</v>
      </c>
      <c r="AP168" s="13">
        <v>383364.1612117319</v>
      </c>
      <c r="AQ168" s="13">
        <v>631795.76511602849</v>
      </c>
      <c r="AR168" s="13">
        <v>164118.53861002752</v>
      </c>
      <c r="AS168" s="13">
        <v>320445.3298210681</v>
      </c>
      <c r="AT168" s="34"/>
      <c r="AU168" s="13"/>
      <c r="AV168" s="34"/>
      <c r="AW168" s="34"/>
      <c r="AX168" s="34"/>
      <c r="AY168" s="13">
        <v>424993.62145444023</v>
      </c>
      <c r="AZ168" s="13">
        <v>251655.63985256257</v>
      </c>
      <c r="BA168" s="13">
        <v>241650.74120336221</v>
      </c>
      <c r="BB168" s="32">
        <v>-675793.02046721533</v>
      </c>
      <c r="BC168" s="33">
        <v>-830207.15617571305</v>
      </c>
      <c r="BD168" s="33">
        <v>-205977.60000000001</v>
      </c>
      <c r="BE168" s="33">
        <v>-78935.039999999994</v>
      </c>
      <c r="BF168" s="14"/>
      <c r="BG168" s="14">
        <v>712119.82817819482</v>
      </c>
      <c r="BH168" s="33">
        <v>3208341.6831476483</v>
      </c>
      <c r="BI168" s="13">
        <v>-226406</v>
      </c>
      <c r="BJ168" s="13">
        <v>2030</v>
      </c>
      <c r="BK168" s="33">
        <v>118372.25000000003</v>
      </c>
    </row>
    <row r="169" spans="1:63" ht="14.25" x14ac:dyDescent="0.2">
      <c r="A169" s="14">
        <v>564</v>
      </c>
      <c r="B169" s="14" t="s">
        <v>444</v>
      </c>
      <c r="C169" s="14">
        <v>216152</v>
      </c>
      <c r="D169" s="14">
        <v>11877</v>
      </c>
      <c r="E169" s="14">
        <v>2023</v>
      </c>
      <c r="F169" s="14">
        <v>14496</v>
      </c>
      <c r="G169" s="14">
        <v>8058</v>
      </c>
      <c r="H169" s="14">
        <v>179698</v>
      </c>
      <c r="I169" s="14">
        <v>136120</v>
      </c>
      <c r="K169" s="29">
        <v>13806</v>
      </c>
      <c r="L169" s="29">
        <v>105881</v>
      </c>
      <c r="M169" s="14">
        <v>18040.916666666668</v>
      </c>
      <c r="N169" s="11">
        <v>13945</v>
      </c>
      <c r="O169" s="11">
        <v>0</v>
      </c>
      <c r="P169" s="11">
        <v>481</v>
      </c>
      <c r="Q169" s="11">
        <v>0</v>
      </c>
      <c r="R169" s="11">
        <v>0</v>
      </c>
      <c r="S169" s="11">
        <v>2972.39</v>
      </c>
      <c r="T169" s="14">
        <v>6750</v>
      </c>
      <c r="U169" s="14">
        <v>71099</v>
      </c>
      <c r="V169" s="330"/>
      <c r="W169" s="11">
        <v>0</v>
      </c>
      <c r="X169" s="64">
        <v>97873</v>
      </c>
      <c r="Y169" s="64">
        <v>93504</v>
      </c>
      <c r="Z169" s="331">
        <v>0.97485731379579432</v>
      </c>
      <c r="AA169" s="31">
        <v>1.039498232341544</v>
      </c>
      <c r="AB169" s="11">
        <v>0</v>
      </c>
      <c r="AC169" s="11">
        <v>157</v>
      </c>
      <c r="AE169" s="32">
        <v>-12107882.0526</v>
      </c>
      <c r="AF169" s="13">
        <v>-3982751.6700000004</v>
      </c>
      <c r="AG169" s="13">
        <v>7460840.1531818509</v>
      </c>
      <c r="AH169" s="13">
        <v>-2662625.2225430026</v>
      </c>
      <c r="AI169" s="13">
        <v>-261637.66844993737</v>
      </c>
      <c r="AJ169" s="13">
        <v>11522544</v>
      </c>
      <c r="AK169" s="13">
        <v>4098255</v>
      </c>
      <c r="AL169" s="13">
        <v>9979124.8611381873</v>
      </c>
      <c r="AM169" s="13">
        <v>334871.9485142128</v>
      </c>
      <c r="AN169" s="13">
        <v>2477521.5332884975</v>
      </c>
      <c r="AO169" s="13">
        <v>4353592.1019415529</v>
      </c>
      <c r="AP169" s="13">
        <v>9470918.065931553</v>
      </c>
      <c r="AQ169" s="13">
        <v>12734337.278607612</v>
      </c>
      <c r="AR169" s="13">
        <v>4651088.9883780247</v>
      </c>
      <c r="AS169" s="13">
        <v>8066328.4418830965</v>
      </c>
      <c r="AT169" s="34"/>
      <c r="AU169" s="13"/>
      <c r="AV169" s="34"/>
      <c r="AW169" s="34"/>
      <c r="AX169" s="34"/>
      <c r="AY169" s="13">
        <v>10319905.827703983</v>
      </c>
      <c r="AZ169" s="13">
        <v>6604692.2784952903</v>
      </c>
      <c r="BA169" s="13">
        <v>6559793.4717848804</v>
      </c>
      <c r="BB169" s="32">
        <v>-14761047.961879341</v>
      </c>
      <c r="BC169" s="33">
        <v>-895420.31931349437</v>
      </c>
      <c r="BD169" s="33">
        <v>-6441329.6000000006</v>
      </c>
      <c r="BE169" s="33">
        <v>-2468455.84</v>
      </c>
      <c r="BF169" s="14"/>
      <c r="BG169" s="14">
        <v>17633292.748050541</v>
      </c>
      <c r="BH169" s="33">
        <v>38629082.630720526</v>
      </c>
      <c r="BI169" s="13">
        <v>4520739</v>
      </c>
      <c r="BJ169" s="13">
        <v>80828</v>
      </c>
      <c r="BK169" s="33">
        <v>-15884796.247499999</v>
      </c>
    </row>
    <row r="170" spans="1:63" ht="14.25" x14ac:dyDescent="0.2">
      <c r="A170" s="14">
        <v>309</v>
      </c>
      <c r="B170" s="14" t="s">
        <v>383</v>
      </c>
      <c r="C170" s="14">
        <v>6444</v>
      </c>
      <c r="D170" s="14">
        <v>213</v>
      </c>
      <c r="E170" s="14">
        <v>46</v>
      </c>
      <c r="F170" s="14">
        <v>395</v>
      </c>
      <c r="G170" s="14">
        <v>226</v>
      </c>
      <c r="H170" s="14">
        <v>5564</v>
      </c>
      <c r="I170" s="14">
        <v>3162</v>
      </c>
      <c r="K170" s="29">
        <v>397.33333333333331</v>
      </c>
      <c r="L170" s="29">
        <v>2531</v>
      </c>
      <c r="M170" s="14">
        <v>592.66666666666663</v>
      </c>
      <c r="N170" s="11">
        <v>549</v>
      </c>
      <c r="O170" s="11">
        <v>0</v>
      </c>
      <c r="P170" s="11">
        <v>7</v>
      </c>
      <c r="Q170" s="11">
        <v>0</v>
      </c>
      <c r="R170" s="11">
        <v>0</v>
      </c>
      <c r="S170" s="11">
        <v>446.25</v>
      </c>
      <c r="T170" s="14">
        <v>344</v>
      </c>
      <c r="U170" s="14">
        <v>1715</v>
      </c>
      <c r="V170" s="330"/>
      <c r="W170" s="11">
        <v>0.377</v>
      </c>
      <c r="X170" s="64">
        <v>2353</v>
      </c>
      <c r="Y170" s="64">
        <v>2111</v>
      </c>
      <c r="Z170" s="331">
        <v>1.002959184641693</v>
      </c>
      <c r="AA170" s="31">
        <v>0</v>
      </c>
      <c r="AB170" s="11">
        <v>0</v>
      </c>
      <c r="AC170" s="11">
        <v>0</v>
      </c>
      <c r="AE170" s="32">
        <v>-468557.19105000002</v>
      </c>
      <c r="AF170" s="13">
        <v>-125863.92000000001</v>
      </c>
      <c r="AG170" s="13">
        <v>456450.37067146297</v>
      </c>
      <c r="AH170" s="13">
        <v>-85495.428103780592</v>
      </c>
      <c r="AI170" s="13">
        <v>92253.17771653278</v>
      </c>
      <c r="AJ170" s="13">
        <v>623638</v>
      </c>
      <c r="AK170" s="13">
        <v>194928</v>
      </c>
      <c r="AL170" s="13">
        <v>495129.10660122888</v>
      </c>
      <c r="AM170" s="13">
        <v>27465.201518653055</v>
      </c>
      <c r="AN170" s="13">
        <v>76620.883990547198</v>
      </c>
      <c r="AO170" s="13">
        <v>277622.93648706295</v>
      </c>
      <c r="AP170" s="13">
        <v>355298.14676291012</v>
      </c>
      <c r="AQ170" s="13">
        <v>580213.74052740051</v>
      </c>
      <c r="AR170" s="13">
        <v>153037.84529078787</v>
      </c>
      <c r="AS170" s="13">
        <v>309166.59218559414</v>
      </c>
      <c r="AT170" s="34"/>
      <c r="AU170" s="13"/>
      <c r="AV170" s="34"/>
      <c r="AW170" s="34"/>
      <c r="AX170" s="34"/>
      <c r="AY170" s="13">
        <v>401612.80523659417</v>
      </c>
      <c r="AZ170" s="13">
        <v>224444.27740723413</v>
      </c>
      <c r="BA170" s="13">
        <v>211987.06117621373</v>
      </c>
      <c r="BB170" s="32">
        <v>-1325671.1750459524</v>
      </c>
      <c r="BC170" s="33">
        <v>-816439.65612605656</v>
      </c>
      <c r="BD170" s="33">
        <v>-192031.2</v>
      </c>
      <c r="BE170" s="33">
        <v>-73590.48</v>
      </c>
      <c r="BF170" s="14"/>
      <c r="BG170" s="14">
        <v>818124.53419306839</v>
      </c>
      <c r="BH170" s="33">
        <v>3886978.9762536823</v>
      </c>
      <c r="BI170" s="13">
        <v>476643</v>
      </c>
      <c r="BJ170" s="13">
        <v>1551</v>
      </c>
      <c r="BK170" s="33">
        <v>17667.5</v>
      </c>
    </row>
    <row r="171" spans="1:63" ht="14.25" x14ac:dyDescent="0.2">
      <c r="A171" s="14">
        <v>576</v>
      </c>
      <c r="B171" s="14" t="s">
        <v>445</v>
      </c>
      <c r="C171" s="14">
        <v>2676</v>
      </c>
      <c r="D171" s="14">
        <v>77</v>
      </c>
      <c r="E171" s="14">
        <v>15</v>
      </c>
      <c r="F171" s="14">
        <v>95</v>
      </c>
      <c r="G171" s="14">
        <v>71</v>
      </c>
      <c r="H171" s="14">
        <v>2418</v>
      </c>
      <c r="I171" s="14">
        <v>1189</v>
      </c>
      <c r="K171" s="29">
        <v>134.33333333333334</v>
      </c>
      <c r="L171" s="29">
        <v>1035</v>
      </c>
      <c r="M171" s="14">
        <v>173.41666666666669</v>
      </c>
      <c r="N171" s="11">
        <v>80</v>
      </c>
      <c r="O171" s="11">
        <v>0</v>
      </c>
      <c r="P171" s="11">
        <v>9</v>
      </c>
      <c r="Q171" s="11">
        <v>0</v>
      </c>
      <c r="R171" s="11">
        <v>0</v>
      </c>
      <c r="S171" s="11">
        <v>523.1</v>
      </c>
      <c r="T171" s="14">
        <v>103</v>
      </c>
      <c r="U171" s="14">
        <v>574</v>
      </c>
      <c r="V171" s="330"/>
      <c r="W171" s="11">
        <v>1.1095333333333333</v>
      </c>
      <c r="X171" s="64">
        <v>684</v>
      </c>
      <c r="Y171" s="64">
        <v>880</v>
      </c>
      <c r="Z171" s="331">
        <v>0.78708656523759835</v>
      </c>
      <c r="AA171" s="31">
        <v>0</v>
      </c>
      <c r="AB171" s="11">
        <v>0</v>
      </c>
      <c r="AC171" s="11">
        <v>0</v>
      </c>
      <c r="AE171" s="32">
        <v>-82653.89</v>
      </c>
      <c r="AF171" s="13">
        <v>-54959.810000000005</v>
      </c>
      <c r="AG171" s="13">
        <v>105369.78120705643</v>
      </c>
      <c r="AH171" s="13">
        <v>-30746.972433433515</v>
      </c>
      <c r="AI171" s="13">
        <v>15209.281478364355</v>
      </c>
      <c r="AJ171" s="13">
        <v>333500</v>
      </c>
      <c r="AK171" s="13">
        <v>98579</v>
      </c>
      <c r="AL171" s="13">
        <v>244053.00071714519</v>
      </c>
      <c r="AM171" s="13">
        <v>13893.435066114844</v>
      </c>
      <c r="AN171" s="13">
        <v>51242.601931801124</v>
      </c>
      <c r="AO171" s="13">
        <v>118125.36311008477</v>
      </c>
      <c r="AP171" s="13">
        <v>174574.08487837674</v>
      </c>
      <c r="AQ171" s="13">
        <v>280874.32813366747</v>
      </c>
      <c r="AR171" s="13">
        <v>88419.750612366755</v>
      </c>
      <c r="AS171" s="13">
        <v>148608.44923375346</v>
      </c>
      <c r="AT171" s="34"/>
      <c r="AU171" s="13"/>
      <c r="AV171" s="34"/>
      <c r="AW171" s="34"/>
      <c r="AX171" s="34"/>
      <c r="AY171" s="13">
        <v>203233.21949617603</v>
      </c>
      <c r="AZ171" s="13">
        <v>108181.11167061342</v>
      </c>
      <c r="BA171" s="13">
        <v>105800.56459714248</v>
      </c>
      <c r="BB171" s="32">
        <v>361001.78521974734</v>
      </c>
      <c r="BC171" s="33">
        <v>270715.78694807622</v>
      </c>
      <c r="BD171" s="33">
        <v>-79744.800000000003</v>
      </c>
      <c r="BE171" s="33">
        <v>-30559.919999999998</v>
      </c>
      <c r="BF171" s="14"/>
      <c r="BG171" s="14">
        <v>460160.7446969013</v>
      </c>
      <c r="BH171" s="33">
        <v>809596.79925861058</v>
      </c>
      <c r="BI171" s="13">
        <v>-126440</v>
      </c>
      <c r="BJ171" s="13">
        <v>447</v>
      </c>
      <c r="BK171" s="33">
        <v>-74203.5</v>
      </c>
    </row>
    <row r="172" spans="1:63" ht="14.25" x14ac:dyDescent="0.2">
      <c r="A172" s="14">
        <v>577</v>
      </c>
      <c r="B172" s="14" t="s">
        <v>446</v>
      </c>
      <c r="C172" s="14">
        <v>11221</v>
      </c>
      <c r="D172" s="14">
        <v>668</v>
      </c>
      <c r="E172" s="14">
        <v>126</v>
      </c>
      <c r="F172" s="14">
        <v>930</v>
      </c>
      <c r="G172" s="14">
        <v>461</v>
      </c>
      <c r="H172" s="14">
        <v>9036</v>
      </c>
      <c r="I172" s="14">
        <v>6131</v>
      </c>
      <c r="K172" s="29">
        <v>307.5</v>
      </c>
      <c r="L172" s="29">
        <v>5241</v>
      </c>
      <c r="M172" s="14">
        <v>519.5</v>
      </c>
      <c r="N172" s="11">
        <v>571</v>
      </c>
      <c r="O172" s="11">
        <v>0</v>
      </c>
      <c r="P172" s="11">
        <v>97</v>
      </c>
      <c r="Q172" s="11">
        <v>0</v>
      </c>
      <c r="R172" s="11">
        <v>0</v>
      </c>
      <c r="S172" s="11">
        <v>238.52</v>
      </c>
      <c r="T172" s="14">
        <v>409</v>
      </c>
      <c r="U172" s="14">
        <v>3794</v>
      </c>
      <c r="V172" s="330"/>
      <c r="W172" s="11">
        <v>0</v>
      </c>
      <c r="X172" s="64">
        <v>3188</v>
      </c>
      <c r="Y172" s="64">
        <v>5005</v>
      </c>
      <c r="Z172" s="331">
        <v>0.91971868777173549</v>
      </c>
      <c r="AA172" s="31">
        <v>0.54163828568431305</v>
      </c>
      <c r="AB172" s="11">
        <v>0</v>
      </c>
      <c r="AC172" s="11">
        <v>1</v>
      </c>
      <c r="AE172" s="32">
        <v>-388948.13685000001</v>
      </c>
      <c r="AF172" s="13">
        <v>-209811.62</v>
      </c>
      <c r="AG172" s="13">
        <v>524145.50081178802</v>
      </c>
      <c r="AH172" s="13">
        <v>-215248.22546837528</v>
      </c>
      <c r="AI172" s="13">
        <v>-11297.329811290634</v>
      </c>
      <c r="AJ172" s="13">
        <v>715882</v>
      </c>
      <c r="AK172" s="13">
        <v>239696</v>
      </c>
      <c r="AL172" s="13">
        <v>484639.53185361932</v>
      </c>
      <c r="AM172" s="13">
        <v>8500.4062881349746</v>
      </c>
      <c r="AN172" s="13">
        <v>9666.3122351172387</v>
      </c>
      <c r="AO172" s="13">
        <v>210520.21530560398</v>
      </c>
      <c r="AP172" s="13">
        <v>502854.84421210585</v>
      </c>
      <c r="AQ172" s="13">
        <v>843472.53884409333</v>
      </c>
      <c r="AR172" s="13">
        <v>240276.30637840199</v>
      </c>
      <c r="AS172" s="13">
        <v>418130.20248973597</v>
      </c>
      <c r="AT172" s="34"/>
      <c r="AU172" s="13"/>
      <c r="AV172" s="34"/>
      <c r="AW172" s="34"/>
      <c r="AX172" s="34"/>
      <c r="AY172" s="13">
        <v>512171.82169536507</v>
      </c>
      <c r="AZ172" s="13">
        <v>342921.19753346138</v>
      </c>
      <c r="BA172" s="13">
        <v>350246.78012467833</v>
      </c>
      <c r="BB172" s="32">
        <v>320052.1982920107</v>
      </c>
      <c r="BC172" s="33">
        <v>-47077.109609312807</v>
      </c>
      <c r="BD172" s="33">
        <v>-334385.8</v>
      </c>
      <c r="BE172" s="33">
        <v>-128143.81999999999</v>
      </c>
      <c r="BF172" s="14"/>
      <c r="BG172" s="14">
        <v>739108.66049943957</v>
      </c>
      <c r="BH172" s="33">
        <v>2845994.0079616983</v>
      </c>
      <c r="BI172" s="13">
        <v>637504</v>
      </c>
      <c r="BJ172" s="13">
        <v>3364</v>
      </c>
      <c r="BK172" s="33">
        <v>13868.987500000047</v>
      </c>
    </row>
    <row r="173" spans="1:63" ht="14.25" x14ac:dyDescent="0.2">
      <c r="A173" s="14">
        <v>578</v>
      </c>
      <c r="B173" s="14" t="s">
        <v>447</v>
      </c>
      <c r="C173" s="14">
        <v>2990</v>
      </c>
      <c r="D173" s="14">
        <v>90</v>
      </c>
      <c r="E173" s="14">
        <v>19</v>
      </c>
      <c r="F173" s="14">
        <v>159</v>
      </c>
      <c r="G173" s="14">
        <v>99</v>
      </c>
      <c r="H173" s="14">
        <v>2623</v>
      </c>
      <c r="I173" s="14">
        <v>1437</v>
      </c>
      <c r="K173" s="29">
        <v>120.16666666666667</v>
      </c>
      <c r="L173" s="29">
        <v>1225</v>
      </c>
      <c r="M173" s="14">
        <v>187.41666666666669</v>
      </c>
      <c r="N173" s="11">
        <v>53</v>
      </c>
      <c r="O173" s="11">
        <v>0</v>
      </c>
      <c r="P173" s="11">
        <v>6</v>
      </c>
      <c r="Q173" s="11">
        <v>0</v>
      </c>
      <c r="R173" s="11">
        <v>0</v>
      </c>
      <c r="S173" s="11">
        <v>918.8</v>
      </c>
      <c r="T173" s="14">
        <v>90</v>
      </c>
      <c r="U173" s="14">
        <v>702</v>
      </c>
      <c r="V173" s="330"/>
      <c r="W173" s="11">
        <v>0.96758333333333335</v>
      </c>
      <c r="X173" s="64">
        <v>810</v>
      </c>
      <c r="Y173" s="64">
        <v>1054</v>
      </c>
      <c r="Z173" s="331">
        <v>1.0457146581134891</v>
      </c>
      <c r="AA173" s="31">
        <v>0</v>
      </c>
      <c r="AB173" s="11">
        <v>0</v>
      </c>
      <c r="AC173" s="11">
        <v>0</v>
      </c>
      <c r="AE173" s="32">
        <v>-89563.604999999996</v>
      </c>
      <c r="AF173" s="13">
        <v>-62144.350000000006</v>
      </c>
      <c r="AG173" s="13">
        <v>128364.72033847129</v>
      </c>
      <c r="AH173" s="13">
        <v>-41862.239419111014</v>
      </c>
      <c r="AI173" s="13">
        <v>50961.111040999065</v>
      </c>
      <c r="AJ173" s="13">
        <v>359413</v>
      </c>
      <c r="AK173" s="13">
        <v>117091</v>
      </c>
      <c r="AL173" s="13">
        <v>292961.80918731331</v>
      </c>
      <c r="AM173" s="13">
        <v>17070.764551890865</v>
      </c>
      <c r="AN173" s="13">
        <v>64056.449333093362</v>
      </c>
      <c r="AO173" s="13">
        <v>149275.46134262069</v>
      </c>
      <c r="AP173" s="13">
        <v>171825.56490100868</v>
      </c>
      <c r="AQ173" s="13">
        <v>290627.2859584415</v>
      </c>
      <c r="AR173" s="13">
        <v>81329.214023202541</v>
      </c>
      <c r="AS173" s="13">
        <v>160375.5194643866</v>
      </c>
      <c r="AT173" s="34"/>
      <c r="AU173" s="13"/>
      <c r="AV173" s="34"/>
      <c r="AW173" s="34"/>
      <c r="AX173" s="34"/>
      <c r="AY173" s="13">
        <v>208278.56732756144</v>
      </c>
      <c r="AZ173" s="13">
        <v>111361.38857019745</v>
      </c>
      <c r="BA173" s="13">
        <v>106358.94949444446</v>
      </c>
      <c r="BB173" s="32">
        <v>-339452.04647386627</v>
      </c>
      <c r="BC173" s="33">
        <v>-174393.40954773722</v>
      </c>
      <c r="BD173" s="33">
        <v>-89102</v>
      </c>
      <c r="BE173" s="33">
        <v>-34145.800000000003</v>
      </c>
      <c r="BF173" s="14"/>
      <c r="BG173" s="14">
        <v>444984.83524862025</v>
      </c>
      <c r="BH173" s="33">
        <v>1688858.4961997678</v>
      </c>
      <c r="BI173" s="13">
        <v>187114</v>
      </c>
      <c r="BJ173" s="13">
        <v>604</v>
      </c>
      <c r="BK173" s="33">
        <v>-15812.412500000006</v>
      </c>
    </row>
    <row r="174" spans="1:63" ht="14.25" x14ac:dyDescent="0.2">
      <c r="A174" s="14">
        <v>445</v>
      </c>
      <c r="B174" s="14" t="s">
        <v>414</v>
      </c>
      <c r="C174" s="14">
        <v>14868</v>
      </c>
      <c r="D174" s="14">
        <v>622</v>
      </c>
      <c r="E174" s="14">
        <v>109</v>
      </c>
      <c r="F174" s="14">
        <v>958</v>
      </c>
      <c r="G174" s="14">
        <v>575</v>
      </c>
      <c r="H174" s="14">
        <v>12604</v>
      </c>
      <c r="I174" s="14">
        <v>7800</v>
      </c>
      <c r="K174" s="29">
        <v>399.58333333333331</v>
      </c>
      <c r="L174" s="29">
        <v>6818</v>
      </c>
      <c r="M174" s="14">
        <v>566.83333333333326</v>
      </c>
      <c r="N174" s="11">
        <v>694</v>
      </c>
      <c r="O174" s="11">
        <v>3</v>
      </c>
      <c r="P174" s="11">
        <v>8007</v>
      </c>
      <c r="Q174" s="11">
        <v>1</v>
      </c>
      <c r="R174" s="11">
        <v>0</v>
      </c>
      <c r="S174" s="11">
        <v>884.67</v>
      </c>
      <c r="T174" s="14">
        <v>539</v>
      </c>
      <c r="U174" s="14">
        <v>4333</v>
      </c>
      <c r="V174" s="330"/>
      <c r="W174" s="11">
        <v>0</v>
      </c>
      <c r="X174" s="64">
        <v>4986</v>
      </c>
      <c r="Y174" s="64">
        <v>6362</v>
      </c>
      <c r="Z174" s="331">
        <v>0.94907182747240737</v>
      </c>
      <c r="AA174" s="31">
        <v>0</v>
      </c>
      <c r="AB174" s="11">
        <v>0</v>
      </c>
      <c r="AC174" s="11">
        <v>0</v>
      </c>
      <c r="AE174" s="32">
        <v>-318282.01075000002</v>
      </c>
      <c r="AF174" s="13">
        <v>-290167.05</v>
      </c>
      <c r="AG174" s="13">
        <v>337696.10070079088</v>
      </c>
      <c r="AH174" s="13">
        <v>-174173.81139880564</v>
      </c>
      <c r="AI174" s="13">
        <v>-37575.972645305912</v>
      </c>
      <c r="AJ174" s="13">
        <v>1173170</v>
      </c>
      <c r="AK174" s="13">
        <v>399015</v>
      </c>
      <c r="AL174" s="13">
        <v>745570.36458707356</v>
      </c>
      <c r="AM174" s="13">
        <v>19521.031900683436</v>
      </c>
      <c r="AN174" s="13">
        <v>49051.652122313404</v>
      </c>
      <c r="AO174" s="13">
        <v>382602.86645309394</v>
      </c>
      <c r="AP174" s="13">
        <v>457327.30225466698</v>
      </c>
      <c r="AQ174" s="13">
        <v>1129748.553591236</v>
      </c>
      <c r="AR174" s="13">
        <v>338308.89429371129</v>
      </c>
      <c r="AS174" s="13">
        <v>565510.62622823555</v>
      </c>
      <c r="AT174" s="34"/>
      <c r="AU174" s="13"/>
      <c r="AV174" s="34"/>
      <c r="AW174" s="34"/>
      <c r="AX174" s="34"/>
      <c r="AY174" s="13">
        <v>676284.29779388662</v>
      </c>
      <c r="AZ174" s="13">
        <v>448520.36345674534</v>
      </c>
      <c r="BA174" s="13">
        <v>470653.26287065848</v>
      </c>
      <c r="BB174" s="32">
        <v>-4499630.5183719164</v>
      </c>
      <c r="BC174" s="33">
        <v>-414124.31526721222</v>
      </c>
      <c r="BD174" s="33">
        <v>-443066.4</v>
      </c>
      <c r="BE174" s="33">
        <v>-169792.56</v>
      </c>
      <c r="BF174" s="14"/>
      <c r="BG174" s="14">
        <v>1455864.4294552531</v>
      </c>
      <c r="BH174" s="33">
        <v>-40426.091639857535</v>
      </c>
      <c r="BI174" s="13">
        <v>6790</v>
      </c>
      <c r="BJ174" s="13">
        <v>3759</v>
      </c>
      <c r="BK174" s="33">
        <v>249200.08749999999</v>
      </c>
    </row>
    <row r="175" spans="1:63" ht="14.25" x14ac:dyDescent="0.2">
      <c r="A175" s="14">
        <v>580</v>
      </c>
      <c r="B175" s="14" t="s">
        <v>448</v>
      </c>
      <c r="C175" s="14">
        <v>4300</v>
      </c>
      <c r="D175" s="14">
        <v>112</v>
      </c>
      <c r="E175" s="14">
        <v>31</v>
      </c>
      <c r="F175" s="14">
        <v>195</v>
      </c>
      <c r="G175" s="14">
        <v>106</v>
      </c>
      <c r="H175" s="14">
        <v>3856</v>
      </c>
      <c r="I175" s="14">
        <v>1920</v>
      </c>
      <c r="K175" s="29">
        <v>178.08333333333334</v>
      </c>
      <c r="L175" s="29">
        <v>1656</v>
      </c>
      <c r="M175" s="14">
        <v>223.91666666666669</v>
      </c>
      <c r="N175" s="11">
        <v>136</v>
      </c>
      <c r="O175" s="11">
        <v>0</v>
      </c>
      <c r="P175" s="11">
        <v>9</v>
      </c>
      <c r="Q175" s="11">
        <v>3</v>
      </c>
      <c r="R175" s="11">
        <v>157</v>
      </c>
      <c r="S175" s="11">
        <v>592.15</v>
      </c>
      <c r="T175" s="14">
        <v>132</v>
      </c>
      <c r="U175" s="14">
        <v>929</v>
      </c>
      <c r="V175" s="330"/>
      <c r="W175" s="11">
        <v>1.3523166666666668</v>
      </c>
      <c r="X175" s="64">
        <v>1134</v>
      </c>
      <c r="Y175" s="64">
        <v>1380</v>
      </c>
      <c r="Z175" s="331">
        <v>0.89448587211276676</v>
      </c>
      <c r="AA175" s="31">
        <v>0</v>
      </c>
      <c r="AB175" s="11">
        <v>0</v>
      </c>
      <c r="AC175" s="11">
        <v>0</v>
      </c>
      <c r="AE175" s="32">
        <v>-119319.59875</v>
      </c>
      <c r="AF175" s="13">
        <v>-89422.55</v>
      </c>
      <c r="AG175" s="13">
        <v>129207.67418923805</v>
      </c>
      <c r="AH175" s="13">
        <v>-35237.031072392354</v>
      </c>
      <c r="AI175" s="13">
        <v>-545.07240728431498</v>
      </c>
      <c r="AJ175" s="13">
        <v>548728</v>
      </c>
      <c r="AK175" s="13">
        <v>164426</v>
      </c>
      <c r="AL175" s="13">
        <v>449529.53167335782</v>
      </c>
      <c r="AM175" s="13">
        <v>24829.508858097441</v>
      </c>
      <c r="AN175" s="13">
        <v>64431.620005739838</v>
      </c>
      <c r="AO175" s="13">
        <v>213722.76312997163</v>
      </c>
      <c r="AP175" s="13">
        <v>280306.99889802601</v>
      </c>
      <c r="AQ175" s="13">
        <v>469469.18040496006</v>
      </c>
      <c r="AR175" s="13">
        <v>137511.71819732754</v>
      </c>
      <c r="AS175" s="13">
        <v>231938.45242337234</v>
      </c>
      <c r="AT175" s="34"/>
      <c r="AU175" s="13"/>
      <c r="AV175" s="34"/>
      <c r="AW175" s="34"/>
      <c r="AX175" s="34"/>
      <c r="AY175" s="13">
        <v>298735.66245908255</v>
      </c>
      <c r="AZ175" s="13">
        <v>167913.09082135741</v>
      </c>
      <c r="BA175" s="13">
        <v>163163.69644234466</v>
      </c>
      <c r="BB175" s="32">
        <v>-390449.13455856533</v>
      </c>
      <c r="BC175" s="33">
        <v>-18758.14441067788</v>
      </c>
      <c r="BD175" s="33">
        <v>-128140</v>
      </c>
      <c r="BE175" s="33">
        <v>-49106</v>
      </c>
      <c r="BF175" s="14"/>
      <c r="BG175" s="14">
        <v>721289.8544009655</v>
      </c>
      <c r="BH175" s="33">
        <v>2074543.0636815268</v>
      </c>
      <c r="BI175" s="13">
        <v>-281401</v>
      </c>
      <c r="BJ175" s="13">
        <v>690</v>
      </c>
      <c r="BK175" s="33">
        <v>263334.08750000002</v>
      </c>
    </row>
    <row r="176" spans="1:63" ht="14.25" x14ac:dyDescent="0.2">
      <c r="A176" s="14">
        <v>581</v>
      </c>
      <c r="B176" s="14" t="s">
        <v>449</v>
      </c>
      <c r="C176" s="14">
        <v>6069</v>
      </c>
      <c r="D176" s="14">
        <v>259</v>
      </c>
      <c r="E176" s="14">
        <v>40</v>
      </c>
      <c r="F176" s="14">
        <v>341</v>
      </c>
      <c r="G176" s="14">
        <v>190</v>
      </c>
      <c r="H176" s="14">
        <v>5239</v>
      </c>
      <c r="I176" s="14">
        <v>2940</v>
      </c>
      <c r="K176" s="29">
        <v>244</v>
      </c>
      <c r="L176" s="29">
        <v>2481</v>
      </c>
      <c r="M176" s="14">
        <v>409.58333333333337</v>
      </c>
      <c r="N176" s="11">
        <v>209</v>
      </c>
      <c r="O176" s="11">
        <v>0</v>
      </c>
      <c r="P176" s="11">
        <v>11</v>
      </c>
      <c r="Q176" s="11">
        <v>0</v>
      </c>
      <c r="R176" s="11">
        <v>0</v>
      </c>
      <c r="S176" s="11">
        <v>852.91</v>
      </c>
      <c r="T176" s="14">
        <v>259</v>
      </c>
      <c r="U176" s="14">
        <v>1536</v>
      </c>
      <c r="V176" s="330"/>
      <c r="W176" s="11">
        <v>0.81511666666666671</v>
      </c>
      <c r="X176" s="64">
        <v>2348</v>
      </c>
      <c r="Y176" s="64">
        <v>2225</v>
      </c>
      <c r="Z176" s="331">
        <v>0.83683945346211486</v>
      </c>
      <c r="AA176" s="31">
        <v>0</v>
      </c>
      <c r="AB176" s="11">
        <v>0</v>
      </c>
      <c r="AC176" s="11">
        <v>0</v>
      </c>
      <c r="AE176" s="32">
        <v>-207124.56615</v>
      </c>
      <c r="AF176" s="13">
        <v>-122021.92</v>
      </c>
      <c r="AG176" s="13">
        <v>427869.86712929938</v>
      </c>
      <c r="AH176" s="13">
        <v>-72020.224299495327</v>
      </c>
      <c r="AI176" s="13">
        <v>30310.728963483067</v>
      </c>
      <c r="AJ176" s="13">
        <v>631294</v>
      </c>
      <c r="AK176" s="13">
        <v>193783</v>
      </c>
      <c r="AL176" s="13">
        <v>483072.91428183857</v>
      </c>
      <c r="AM176" s="13">
        <v>24805.220835978082</v>
      </c>
      <c r="AN176" s="13">
        <v>35617.507817142541</v>
      </c>
      <c r="AO176" s="13">
        <v>244726.99378497124</v>
      </c>
      <c r="AP176" s="13">
        <v>364807.035582009</v>
      </c>
      <c r="AQ176" s="13">
        <v>582032.86169761384</v>
      </c>
      <c r="AR176" s="13">
        <v>169726.33743962029</v>
      </c>
      <c r="AS176" s="13">
        <v>309542.48135553871</v>
      </c>
      <c r="AT176" s="34"/>
      <c r="AU176" s="13"/>
      <c r="AV176" s="34"/>
      <c r="AW176" s="34"/>
      <c r="AX176" s="34"/>
      <c r="AY176" s="13">
        <v>414669.19576379406</v>
      </c>
      <c r="AZ176" s="13">
        <v>229030.69473690001</v>
      </c>
      <c r="BA176" s="13">
        <v>223915.52702991635</v>
      </c>
      <c r="BB176" s="32">
        <v>-448062.98222282249</v>
      </c>
      <c r="BC176" s="33">
        <v>-154338.23130788843</v>
      </c>
      <c r="BD176" s="33">
        <v>-180856.2</v>
      </c>
      <c r="BE176" s="33">
        <v>-69307.98</v>
      </c>
      <c r="BF176" s="14"/>
      <c r="BG176" s="14">
        <v>735522.05161864788</v>
      </c>
      <c r="BH176" s="33">
        <v>2247617.5183125716</v>
      </c>
      <c r="BI176" s="13">
        <v>-297499</v>
      </c>
      <c r="BJ176" s="13">
        <v>1461</v>
      </c>
      <c r="BK176" s="33">
        <v>-32896.88499999998</v>
      </c>
    </row>
    <row r="177" spans="1:63" ht="14.25" x14ac:dyDescent="0.2">
      <c r="A177" s="14">
        <v>599</v>
      </c>
      <c r="B177" s="14" t="s">
        <v>456</v>
      </c>
      <c r="C177" s="14">
        <v>11226</v>
      </c>
      <c r="D177" s="14">
        <v>986</v>
      </c>
      <c r="E177" s="14">
        <v>169</v>
      </c>
      <c r="F177" s="14">
        <v>1014</v>
      </c>
      <c r="G177" s="14">
        <v>545</v>
      </c>
      <c r="H177" s="14">
        <v>8512</v>
      </c>
      <c r="I177" s="14">
        <v>5946</v>
      </c>
      <c r="K177" s="29">
        <v>151.41666666666666</v>
      </c>
      <c r="L177" s="29">
        <v>5337</v>
      </c>
      <c r="M177" s="14">
        <v>213.75</v>
      </c>
      <c r="N177" s="11">
        <v>400</v>
      </c>
      <c r="O177" s="11">
        <v>3</v>
      </c>
      <c r="P177" s="11">
        <v>9927</v>
      </c>
      <c r="Q177" s="11">
        <v>0</v>
      </c>
      <c r="R177" s="11">
        <v>0</v>
      </c>
      <c r="S177" s="11">
        <v>794.23</v>
      </c>
      <c r="T177" s="14">
        <v>309</v>
      </c>
      <c r="U177" s="14">
        <v>3270</v>
      </c>
      <c r="V177" s="330"/>
      <c r="W177" s="11">
        <v>0</v>
      </c>
      <c r="X177" s="64">
        <v>4428</v>
      </c>
      <c r="Y177" s="64">
        <v>5172</v>
      </c>
      <c r="Z177" s="331">
        <v>1.1219911445921522</v>
      </c>
      <c r="AA177" s="31">
        <v>0.16093099029627447</v>
      </c>
      <c r="AB177" s="11">
        <v>0</v>
      </c>
      <c r="AC177" s="11">
        <v>0</v>
      </c>
      <c r="AE177" s="32">
        <v>-94667.99295</v>
      </c>
      <c r="AF177" s="13">
        <v>-214652.54</v>
      </c>
      <c r="AG177" s="13">
        <v>168692.22220505498</v>
      </c>
      <c r="AH177" s="13">
        <v>-347693.86736663466</v>
      </c>
      <c r="AI177" s="13">
        <v>-73385.524005876854</v>
      </c>
      <c r="AJ177" s="13">
        <v>874829</v>
      </c>
      <c r="AK177" s="13">
        <v>310573</v>
      </c>
      <c r="AL177" s="13">
        <v>740032.47733454069</v>
      </c>
      <c r="AM177" s="13">
        <v>30702.727293643246</v>
      </c>
      <c r="AN177" s="13">
        <v>54599.828242475458</v>
      </c>
      <c r="AO177" s="13">
        <v>334874.17945873406</v>
      </c>
      <c r="AP177" s="13">
        <v>661355.44909963722</v>
      </c>
      <c r="AQ177" s="13">
        <v>938522.80495108687</v>
      </c>
      <c r="AR177" s="13">
        <v>296535.45275230636</v>
      </c>
      <c r="AS177" s="13">
        <v>510150.01185758994</v>
      </c>
      <c r="AT177" s="34"/>
      <c r="AU177" s="13"/>
      <c r="AV177" s="34"/>
      <c r="AW177" s="34"/>
      <c r="AX177" s="34"/>
      <c r="AY177" s="13">
        <v>657734.67531028343</v>
      </c>
      <c r="AZ177" s="13">
        <v>418682.17056770338</v>
      </c>
      <c r="BA177" s="13">
        <v>444179.16252069018</v>
      </c>
      <c r="BB177" s="32">
        <v>-1977350.292713634</v>
      </c>
      <c r="BC177" s="33">
        <v>-1489301.2487139031</v>
      </c>
      <c r="BD177" s="33">
        <v>-334534.8</v>
      </c>
      <c r="BE177" s="33">
        <v>-128200.92</v>
      </c>
      <c r="BF177" s="14"/>
      <c r="BG177" s="14">
        <v>1130869.2615617944</v>
      </c>
      <c r="BH177" s="33">
        <v>5100801.1208264641</v>
      </c>
      <c r="BI177" s="13">
        <v>-706735</v>
      </c>
      <c r="BJ177" s="13">
        <v>4491</v>
      </c>
      <c r="BK177" s="33">
        <v>-429231.91249999998</v>
      </c>
    </row>
    <row r="178" spans="1:63" ht="14.25" x14ac:dyDescent="0.2">
      <c r="A178" s="14">
        <v>583</v>
      </c>
      <c r="B178" s="14" t="s">
        <v>450</v>
      </c>
      <c r="C178" s="14">
        <v>910</v>
      </c>
      <c r="D178" s="14">
        <v>23</v>
      </c>
      <c r="E178" s="14">
        <v>8</v>
      </c>
      <c r="F178" s="14">
        <v>42</v>
      </c>
      <c r="G178" s="14">
        <v>12</v>
      </c>
      <c r="H178" s="14">
        <v>825</v>
      </c>
      <c r="I178" s="14">
        <v>448</v>
      </c>
      <c r="K178" s="29">
        <v>38.333333333333336</v>
      </c>
      <c r="L178" s="29">
        <v>397</v>
      </c>
      <c r="M178" s="14">
        <v>46.833333333333336</v>
      </c>
      <c r="N178" s="11">
        <v>18</v>
      </c>
      <c r="O178" s="11">
        <v>0</v>
      </c>
      <c r="P178" s="11">
        <v>0</v>
      </c>
      <c r="Q178" s="11">
        <v>0</v>
      </c>
      <c r="R178" s="11">
        <v>0</v>
      </c>
      <c r="S178" s="11">
        <v>1836.31</v>
      </c>
      <c r="T178" s="14">
        <v>33</v>
      </c>
      <c r="U178" s="14">
        <v>263</v>
      </c>
      <c r="V178" s="330"/>
      <c r="W178" s="11">
        <v>1.8659666666666666</v>
      </c>
      <c r="X178" s="64">
        <v>408</v>
      </c>
      <c r="Y178" s="64">
        <v>372</v>
      </c>
      <c r="Z178" s="331">
        <v>1.1553185369821501</v>
      </c>
      <c r="AA178" s="31">
        <v>0</v>
      </c>
      <c r="AB178" s="11">
        <v>0</v>
      </c>
      <c r="AC178" s="11">
        <v>0</v>
      </c>
      <c r="AE178" s="32">
        <v>-8209.7350000000006</v>
      </c>
      <c r="AF178" s="13">
        <v>-17884.510000000002</v>
      </c>
      <c r="AG178" s="13">
        <v>27242.427337981306</v>
      </c>
      <c r="AH178" s="13">
        <v>-12222.038051398507</v>
      </c>
      <c r="AI178" s="13">
        <v>1904.1353955147424</v>
      </c>
      <c r="AJ178" s="13">
        <v>98737</v>
      </c>
      <c r="AK178" s="13">
        <v>30421</v>
      </c>
      <c r="AL178" s="13">
        <v>86707.593906110051</v>
      </c>
      <c r="AM178" s="13">
        <v>4883.3227807354506</v>
      </c>
      <c r="AN178" s="13">
        <v>12434.331455737256</v>
      </c>
      <c r="AO178" s="13">
        <v>32710.823561396781</v>
      </c>
      <c r="AP178" s="13">
        <v>49945.523806111269</v>
      </c>
      <c r="AQ178" s="13">
        <v>84755.746992006912</v>
      </c>
      <c r="AR178" s="13">
        <v>26259.991914495644</v>
      </c>
      <c r="AS178" s="13">
        <v>48698.913694581999</v>
      </c>
      <c r="AT178" s="34"/>
      <c r="AU178" s="13"/>
      <c r="AV178" s="34"/>
      <c r="AW178" s="34"/>
      <c r="AX178" s="34"/>
      <c r="AY178" s="13">
        <v>63368.438666917144</v>
      </c>
      <c r="AZ178" s="13">
        <v>36270.27248856298</v>
      </c>
      <c r="BA178" s="13">
        <v>32538.849783475729</v>
      </c>
      <c r="BB178" s="32">
        <v>-506309.77841848164</v>
      </c>
      <c r="BC178" s="33">
        <v>298553.51435366785</v>
      </c>
      <c r="BD178" s="33">
        <v>-27118</v>
      </c>
      <c r="BE178" s="33">
        <v>-10392.200000000001</v>
      </c>
      <c r="BF178" s="14"/>
      <c r="BG178" s="14">
        <v>113828.37353706548</v>
      </c>
      <c r="BH178" s="33">
        <v>-9891.4422067851719</v>
      </c>
      <c r="BI178" s="13">
        <v>-138613</v>
      </c>
      <c r="BJ178" s="13">
        <v>133</v>
      </c>
      <c r="BK178" s="33">
        <v>132682.92499999999</v>
      </c>
    </row>
    <row r="179" spans="1:63" ht="14.25" x14ac:dyDescent="0.2">
      <c r="A179" s="14">
        <v>854</v>
      </c>
      <c r="B179" s="14" t="s">
        <v>535</v>
      </c>
      <c r="C179" s="14">
        <v>3191</v>
      </c>
      <c r="D179" s="14">
        <v>102</v>
      </c>
      <c r="E179" s="14">
        <v>10</v>
      </c>
      <c r="F179" s="14">
        <v>149</v>
      </c>
      <c r="G179" s="14">
        <v>69</v>
      </c>
      <c r="H179" s="14">
        <v>2861</v>
      </c>
      <c r="I179" s="14">
        <v>1408</v>
      </c>
      <c r="K179" s="29">
        <v>123.41666666666667</v>
      </c>
      <c r="L179" s="29">
        <v>1218</v>
      </c>
      <c r="M179" s="14">
        <v>180.58333333333334</v>
      </c>
      <c r="N179" s="11">
        <v>84</v>
      </c>
      <c r="O179" s="11">
        <v>0</v>
      </c>
      <c r="P179" s="11">
        <v>26</v>
      </c>
      <c r="Q179" s="11">
        <v>0</v>
      </c>
      <c r="R179" s="11">
        <v>0</v>
      </c>
      <c r="S179" s="11">
        <v>1738.14</v>
      </c>
      <c r="T179" s="14">
        <v>120</v>
      </c>
      <c r="U179" s="14">
        <v>639</v>
      </c>
      <c r="V179" s="330"/>
      <c r="W179" s="11">
        <v>1.7608999999999999</v>
      </c>
      <c r="X179" s="64">
        <v>1047</v>
      </c>
      <c r="Y179" s="64">
        <v>1052</v>
      </c>
      <c r="Z179" s="331">
        <v>0.77631899799450887</v>
      </c>
      <c r="AA179" s="31">
        <v>0</v>
      </c>
      <c r="AB179" s="11">
        <v>0</v>
      </c>
      <c r="AC179" s="11">
        <v>1</v>
      </c>
      <c r="AE179" s="32">
        <v>-74923.56</v>
      </c>
      <c r="AF179" s="13">
        <v>-63469.840000000004</v>
      </c>
      <c r="AG179" s="13">
        <v>115085.06166224676</v>
      </c>
      <c r="AH179" s="13">
        <v>-51360.603848723877</v>
      </c>
      <c r="AI179" s="13">
        <v>29674.851692365621</v>
      </c>
      <c r="AJ179" s="13">
        <v>360045</v>
      </c>
      <c r="AK179" s="13">
        <v>112878</v>
      </c>
      <c r="AL179" s="13">
        <v>279775.47058177443</v>
      </c>
      <c r="AM179" s="13">
        <v>17209.577726508884</v>
      </c>
      <c r="AN179" s="13">
        <v>62791.632195470098</v>
      </c>
      <c r="AO179" s="13">
        <v>135895.88612350414</v>
      </c>
      <c r="AP179" s="13">
        <v>186088.03826940406</v>
      </c>
      <c r="AQ179" s="13">
        <v>316311.98605556018</v>
      </c>
      <c r="AR179" s="13">
        <v>91667.297339574565</v>
      </c>
      <c r="AS179" s="13">
        <v>167685.64765483327</v>
      </c>
      <c r="AT179" s="34"/>
      <c r="AU179" s="13"/>
      <c r="AV179" s="34"/>
      <c r="AW179" s="34"/>
      <c r="AX179" s="34"/>
      <c r="AY179" s="13">
        <v>201193.82557863445</v>
      </c>
      <c r="AZ179" s="13">
        <v>112477.46299856293</v>
      </c>
      <c r="BA179" s="13">
        <v>109966.30461475439</v>
      </c>
      <c r="BB179" s="32">
        <v>-258340.35137623077</v>
      </c>
      <c r="BC179" s="33">
        <v>-203826.51957744564</v>
      </c>
      <c r="BD179" s="33">
        <v>-95091.8</v>
      </c>
      <c r="BE179" s="33">
        <v>-36441.22</v>
      </c>
      <c r="BF179" s="14"/>
      <c r="BG179" s="14">
        <v>438335.22256311</v>
      </c>
      <c r="BH179" s="33">
        <v>1148550.9152648633</v>
      </c>
      <c r="BI179" s="13">
        <v>-9860</v>
      </c>
      <c r="BJ179" s="13">
        <v>565</v>
      </c>
      <c r="BK179" s="33">
        <v>-72507.42</v>
      </c>
    </row>
    <row r="180" spans="1:63" ht="14.25" x14ac:dyDescent="0.2">
      <c r="A180" s="14">
        <v>584</v>
      </c>
      <c r="B180" s="14" t="s">
        <v>451</v>
      </c>
      <c r="C180" s="14">
        <v>2594</v>
      </c>
      <c r="D180" s="14">
        <v>183</v>
      </c>
      <c r="E180" s="14">
        <v>35</v>
      </c>
      <c r="F180" s="14">
        <v>279</v>
      </c>
      <c r="G180" s="14">
        <v>160</v>
      </c>
      <c r="H180" s="14">
        <v>1937</v>
      </c>
      <c r="I180" s="14">
        <v>1169</v>
      </c>
      <c r="K180" s="29">
        <v>85.916666666666671</v>
      </c>
      <c r="L180" s="29">
        <v>990</v>
      </c>
      <c r="M180" s="14">
        <v>132.16666666666669</v>
      </c>
      <c r="N180" s="11">
        <v>31</v>
      </c>
      <c r="O180" s="11">
        <v>0</v>
      </c>
      <c r="P180" s="11">
        <v>11</v>
      </c>
      <c r="Q180" s="11">
        <v>0</v>
      </c>
      <c r="R180" s="11">
        <v>0</v>
      </c>
      <c r="S180" s="11">
        <v>747.86</v>
      </c>
      <c r="T180" s="14">
        <v>106</v>
      </c>
      <c r="U180" s="14">
        <v>606</v>
      </c>
      <c r="V180" s="330"/>
      <c r="W180" s="11">
        <v>1.371</v>
      </c>
      <c r="X180" s="64">
        <v>814</v>
      </c>
      <c r="Y180" s="64">
        <v>861</v>
      </c>
      <c r="Z180" s="331">
        <v>0.95786114661758581</v>
      </c>
      <c r="AA180" s="31">
        <v>0</v>
      </c>
      <c r="AB180" s="11">
        <v>0</v>
      </c>
      <c r="AC180" s="11">
        <v>0</v>
      </c>
      <c r="AE180" s="32">
        <v>-41683.550000000003</v>
      </c>
      <c r="AF180" s="13">
        <v>-51982.26</v>
      </c>
      <c r="AG180" s="13">
        <v>82793.226695439182</v>
      </c>
      <c r="AH180" s="13">
        <v>-106674.75267758626</v>
      </c>
      <c r="AI180" s="13">
        <v>966.72849935345585</v>
      </c>
      <c r="AJ180" s="13">
        <v>248802</v>
      </c>
      <c r="AK180" s="13">
        <v>81810</v>
      </c>
      <c r="AL180" s="13">
        <v>237809.04534196263</v>
      </c>
      <c r="AM180" s="13">
        <v>12373.570511656304</v>
      </c>
      <c r="AN180" s="13">
        <v>37925.092907609796</v>
      </c>
      <c r="AO180" s="13">
        <v>123013.57808496512</v>
      </c>
      <c r="AP180" s="13">
        <v>153607.53770423934</v>
      </c>
      <c r="AQ180" s="13">
        <v>243407.94374177346</v>
      </c>
      <c r="AR180" s="13">
        <v>65115.4129479533</v>
      </c>
      <c r="AS180" s="13">
        <v>128168.12865824169</v>
      </c>
      <c r="AT180" s="34"/>
      <c r="AU180" s="13"/>
      <c r="AV180" s="34"/>
      <c r="AW180" s="34"/>
      <c r="AX180" s="34"/>
      <c r="AY180" s="13">
        <v>178388.33705722212</v>
      </c>
      <c r="AZ180" s="13">
        <v>95273.130648468912</v>
      </c>
      <c r="BA180" s="13">
        <v>99689.156927750984</v>
      </c>
      <c r="BB180" s="32">
        <v>-416187.28131920501</v>
      </c>
      <c r="BC180" s="33">
        <v>-343792.98224829469</v>
      </c>
      <c r="BD180" s="33">
        <v>-77301.2</v>
      </c>
      <c r="BE180" s="33">
        <v>-29623.48</v>
      </c>
      <c r="BF180" s="14"/>
      <c r="BG180" s="14">
        <v>368882.65200835495</v>
      </c>
      <c r="BH180" s="33">
        <v>1811570.0793852259</v>
      </c>
      <c r="BI180" s="13">
        <v>347911</v>
      </c>
      <c r="BJ180" s="13">
        <v>1030</v>
      </c>
      <c r="BK180" s="33">
        <v>-3533.5</v>
      </c>
    </row>
    <row r="181" spans="1:63" ht="14.25" x14ac:dyDescent="0.2">
      <c r="A181" s="14">
        <v>592</v>
      </c>
      <c r="B181" s="14" t="s">
        <v>452</v>
      </c>
      <c r="C181" s="14">
        <v>3552</v>
      </c>
      <c r="D181" s="14">
        <v>165</v>
      </c>
      <c r="E181" s="14">
        <v>30</v>
      </c>
      <c r="F181" s="14">
        <v>262</v>
      </c>
      <c r="G181" s="14">
        <v>169</v>
      </c>
      <c r="H181" s="14">
        <v>2926</v>
      </c>
      <c r="I181" s="14">
        <v>1873</v>
      </c>
      <c r="K181" s="29">
        <v>168.41666666666666</v>
      </c>
      <c r="L181" s="29">
        <v>1635</v>
      </c>
      <c r="M181" s="14">
        <v>243.75</v>
      </c>
      <c r="N181" s="11">
        <v>66</v>
      </c>
      <c r="O181" s="11">
        <v>0</v>
      </c>
      <c r="P181" s="11">
        <v>6</v>
      </c>
      <c r="Q181" s="11">
        <v>0</v>
      </c>
      <c r="R181" s="11">
        <v>0</v>
      </c>
      <c r="S181" s="11">
        <v>456.42</v>
      </c>
      <c r="T181" s="14">
        <v>96</v>
      </c>
      <c r="U181" s="14">
        <v>1059</v>
      </c>
      <c r="V181" s="330"/>
      <c r="W181" s="11">
        <v>0.49086666666666667</v>
      </c>
      <c r="X181" s="64">
        <v>747</v>
      </c>
      <c r="Y181" s="64">
        <v>1431</v>
      </c>
      <c r="Z181" s="331">
        <v>0.886229651105511</v>
      </c>
      <c r="AA181" s="31">
        <v>0</v>
      </c>
      <c r="AB181" s="11">
        <v>0</v>
      </c>
      <c r="AC181" s="11">
        <v>1</v>
      </c>
      <c r="AE181" s="32">
        <v>-96376.125700000004</v>
      </c>
      <c r="AF181" s="13">
        <v>-72460.12000000001</v>
      </c>
      <c r="AG181" s="13">
        <v>172390.47068399773</v>
      </c>
      <c r="AH181" s="13">
        <v>-69602.722840522169</v>
      </c>
      <c r="AI181" s="13">
        <v>25764.339845635928</v>
      </c>
      <c r="AJ181" s="13">
        <v>354457</v>
      </c>
      <c r="AK181" s="13">
        <v>106582</v>
      </c>
      <c r="AL181" s="13">
        <v>254905.20955377643</v>
      </c>
      <c r="AM181" s="13">
        <v>8332.6534902851799</v>
      </c>
      <c r="AN181" s="13">
        <v>26530.701781500757</v>
      </c>
      <c r="AO181" s="13">
        <v>123476.20413054695</v>
      </c>
      <c r="AP181" s="13">
        <v>207997.30219506685</v>
      </c>
      <c r="AQ181" s="13">
        <v>310773.86573296739</v>
      </c>
      <c r="AR181" s="13">
        <v>88610.83356448845</v>
      </c>
      <c r="AS181" s="13">
        <v>171137.42344327332</v>
      </c>
      <c r="AT181" s="34"/>
      <c r="AU181" s="13"/>
      <c r="AV181" s="34"/>
      <c r="AW181" s="34"/>
      <c r="AX181" s="34"/>
      <c r="AY181" s="13">
        <v>227720.80511451929</v>
      </c>
      <c r="AZ181" s="13">
        <v>136697.07753943527</v>
      </c>
      <c r="BA181" s="13">
        <v>127311.48812594403</v>
      </c>
      <c r="BB181" s="32">
        <v>-423633.16340313992</v>
      </c>
      <c r="BC181" s="33">
        <v>-213030.98654325475</v>
      </c>
      <c r="BD181" s="33">
        <v>-105849.60000000001</v>
      </c>
      <c r="BE181" s="33">
        <v>-40563.839999999997</v>
      </c>
      <c r="BF181" s="14"/>
      <c r="BG181" s="14">
        <v>367109.15792439051</v>
      </c>
      <c r="BH181" s="33">
        <v>1752063.9225110335</v>
      </c>
      <c r="BI181" s="13">
        <v>52606</v>
      </c>
      <c r="BJ181" s="13">
        <v>987</v>
      </c>
      <c r="BK181" s="33">
        <v>140244.61499999999</v>
      </c>
    </row>
    <row r="182" spans="1:63" ht="14.25" x14ac:dyDescent="0.2">
      <c r="A182" s="14">
        <v>593</v>
      </c>
      <c r="B182" s="14" t="s">
        <v>453</v>
      </c>
      <c r="C182" s="14">
        <v>17178</v>
      </c>
      <c r="D182" s="14">
        <v>621</v>
      </c>
      <c r="E182" s="14">
        <v>122</v>
      </c>
      <c r="F182" s="14">
        <v>871</v>
      </c>
      <c r="G182" s="14">
        <v>490</v>
      </c>
      <c r="H182" s="14">
        <v>15074</v>
      </c>
      <c r="I182" s="14">
        <v>8650</v>
      </c>
      <c r="K182" s="29">
        <v>733</v>
      </c>
      <c r="L182" s="29">
        <v>6926</v>
      </c>
      <c r="M182" s="14">
        <v>1045.5</v>
      </c>
      <c r="N182" s="11">
        <v>1220</v>
      </c>
      <c r="O182" s="11">
        <v>0</v>
      </c>
      <c r="P182" s="11">
        <v>19</v>
      </c>
      <c r="Q182" s="11">
        <v>0</v>
      </c>
      <c r="R182" s="11">
        <v>0</v>
      </c>
      <c r="S182" s="11">
        <v>1569</v>
      </c>
      <c r="T182" s="14">
        <v>836</v>
      </c>
      <c r="U182" s="14">
        <v>4430</v>
      </c>
      <c r="V182" s="330"/>
      <c r="W182" s="11">
        <v>0</v>
      </c>
      <c r="X182" s="64">
        <v>6432</v>
      </c>
      <c r="Y182" s="64">
        <v>6274</v>
      </c>
      <c r="Z182" s="331">
        <v>1.0834563937129982</v>
      </c>
      <c r="AA182" s="31">
        <v>0</v>
      </c>
      <c r="AB182" s="11">
        <v>0</v>
      </c>
      <c r="AC182" s="11">
        <v>1</v>
      </c>
      <c r="AE182" s="32">
        <v>-877571.98664999998</v>
      </c>
      <c r="AF182" s="13">
        <v>-333773.75</v>
      </c>
      <c r="AG182" s="13">
        <v>978607.24830633495</v>
      </c>
      <c r="AH182" s="13">
        <v>-131880.33329303356</v>
      </c>
      <c r="AI182" s="13">
        <v>101572.81023482973</v>
      </c>
      <c r="AJ182" s="13">
        <v>1560090</v>
      </c>
      <c r="AK182" s="13">
        <v>513971</v>
      </c>
      <c r="AL182" s="13">
        <v>1260126.6268012959</v>
      </c>
      <c r="AM182" s="13">
        <v>63467.032631407666</v>
      </c>
      <c r="AN182" s="13">
        <v>157346.3627602417</v>
      </c>
      <c r="AO182" s="13">
        <v>647965.8766096516</v>
      </c>
      <c r="AP182" s="13">
        <v>974534.74017759331</v>
      </c>
      <c r="AQ182" s="13">
        <v>1699306.929225473</v>
      </c>
      <c r="AR182" s="13">
        <v>475978.11119225342</v>
      </c>
      <c r="AS182" s="13">
        <v>854011.98964441475</v>
      </c>
      <c r="AT182" s="34"/>
      <c r="AU182" s="13"/>
      <c r="AV182" s="34"/>
      <c r="AW182" s="34"/>
      <c r="AX182" s="34"/>
      <c r="AY182" s="13">
        <v>1100093.2699461284</v>
      </c>
      <c r="AZ182" s="13">
        <v>630805.11225964944</v>
      </c>
      <c r="BA182" s="13">
        <v>617439.41324120015</v>
      </c>
      <c r="BB182" s="32">
        <v>-1527706.2598609906</v>
      </c>
      <c r="BC182" s="33">
        <v>-1011400.3722529067</v>
      </c>
      <c r="BD182" s="33">
        <v>-511904.4</v>
      </c>
      <c r="BE182" s="33">
        <v>-196172.76</v>
      </c>
      <c r="BF182" s="14"/>
      <c r="BG182" s="14">
        <v>2020502.6578187447</v>
      </c>
      <c r="BH182" s="33">
        <v>6805663.823365394</v>
      </c>
      <c r="BI182" s="13">
        <v>-279519</v>
      </c>
      <c r="BJ182" s="13">
        <v>3820</v>
      </c>
      <c r="BK182" s="33">
        <v>-222433.82500000001</v>
      </c>
    </row>
    <row r="183" spans="1:63" ht="14.25" x14ac:dyDescent="0.2">
      <c r="A183" s="14">
        <v>595</v>
      </c>
      <c r="B183" s="14" t="s">
        <v>454</v>
      </c>
      <c r="C183" s="14">
        <v>3980</v>
      </c>
      <c r="D183" s="14">
        <v>125</v>
      </c>
      <c r="E183" s="14">
        <v>32</v>
      </c>
      <c r="F183" s="14">
        <v>194</v>
      </c>
      <c r="G183" s="14">
        <v>146</v>
      </c>
      <c r="H183" s="14">
        <v>3483</v>
      </c>
      <c r="I183" s="14">
        <v>1771</v>
      </c>
      <c r="K183" s="29">
        <v>145.66666666666666</v>
      </c>
      <c r="L183" s="29">
        <v>1486</v>
      </c>
      <c r="M183" s="14">
        <v>198.33333333333331</v>
      </c>
      <c r="N183" s="11">
        <v>86</v>
      </c>
      <c r="O183" s="11">
        <v>0</v>
      </c>
      <c r="P183" s="11">
        <v>10</v>
      </c>
      <c r="Q183" s="11">
        <v>0</v>
      </c>
      <c r="R183" s="11">
        <v>0</v>
      </c>
      <c r="S183" s="11">
        <v>1153.22</v>
      </c>
      <c r="T183" s="14">
        <v>126</v>
      </c>
      <c r="U183" s="14">
        <v>855</v>
      </c>
      <c r="V183" s="330"/>
      <c r="W183" s="11">
        <v>1.3087</v>
      </c>
      <c r="X183" s="64">
        <v>1085</v>
      </c>
      <c r="Y183" s="64">
        <v>1311</v>
      </c>
      <c r="Z183" s="331">
        <v>0.93370319464479168</v>
      </c>
      <c r="AA183" s="31">
        <v>0</v>
      </c>
      <c r="AB183" s="11">
        <v>0</v>
      </c>
      <c r="AC183" s="11">
        <v>0</v>
      </c>
      <c r="AE183" s="32">
        <v>-151283.95499999999</v>
      </c>
      <c r="AF183" s="13">
        <v>-83006.41</v>
      </c>
      <c r="AG183" s="13">
        <v>118304.07205779743</v>
      </c>
      <c r="AH183" s="13">
        <v>-101024.2563837382</v>
      </c>
      <c r="AI183" s="13">
        <v>17349.049265940048</v>
      </c>
      <c r="AJ183" s="13">
        <v>533260</v>
      </c>
      <c r="AK183" s="13">
        <v>148458</v>
      </c>
      <c r="AL183" s="13">
        <v>383608.90878330654</v>
      </c>
      <c r="AM183" s="13">
        <v>21691.080452871629</v>
      </c>
      <c r="AN183" s="13">
        <v>60410.255073567154</v>
      </c>
      <c r="AO183" s="13">
        <v>212891.88876775064</v>
      </c>
      <c r="AP183" s="13">
        <v>253801.99598146603</v>
      </c>
      <c r="AQ183" s="13">
        <v>410291.23888696532</v>
      </c>
      <c r="AR183" s="13">
        <v>117412.21913634996</v>
      </c>
      <c r="AS183" s="13">
        <v>229967.58134982461</v>
      </c>
      <c r="AT183" s="34"/>
      <c r="AU183" s="13"/>
      <c r="AV183" s="34"/>
      <c r="AW183" s="34"/>
      <c r="AX183" s="34"/>
      <c r="AY183" s="13">
        <v>322245.50002202089</v>
      </c>
      <c r="AZ183" s="13">
        <v>160579.02552630514</v>
      </c>
      <c r="BA183" s="13">
        <v>149162.63705328177</v>
      </c>
      <c r="BB183" s="32">
        <v>975549.52950968326</v>
      </c>
      <c r="BC183" s="33">
        <v>147148.42815230164</v>
      </c>
      <c r="BD183" s="33">
        <v>-118604</v>
      </c>
      <c r="BE183" s="33">
        <v>-45451.6</v>
      </c>
      <c r="BF183" s="14"/>
      <c r="BG183" s="14">
        <v>742554.51038142608</v>
      </c>
      <c r="BH183" s="33">
        <v>2383154.6727810833</v>
      </c>
      <c r="BI183" s="13">
        <v>-13461</v>
      </c>
      <c r="BJ183" s="13">
        <v>855</v>
      </c>
      <c r="BK183" s="33">
        <v>82030.202499999985</v>
      </c>
    </row>
    <row r="184" spans="1:63" ht="14.25" x14ac:dyDescent="0.2">
      <c r="A184" s="14">
        <v>598</v>
      </c>
      <c r="B184" s="14" t="s">
        <v>455</v>
      </c>
      <c r="C184" s="14">
        <v>19576</v>
      </c>
      <c r="D184" s="14">
        <v>1003</v>
      </c>
      <c r="E184" s="14">
        <v>192</v>
      </c>
      <c r="F184" s="14">
        <v>1190</v>
      </c>
      <c r="G184" s="14">
        <v>713</v>
      </c>
      <c r="H184" s="14">
        <v>16478</v>
      </c>
      <c r="I184" s="14">
        <v>10980</v>
      </c>
      <c r="K184" s="29">
        <v>838.16666666666663</v>
      </c>
      <c r="L184" s="29">
        <v>8762</v>
      </c>
      <c r="M184" s="14">
        <v>1340.9166666666665</v>
      </c>
      <c r="N184" s="11">
        <v>3157</v>
      </c>
      <c r="O184" s="11">
        <v>3</v>
      </c>
      <c r="P184" s="11">
        <v>10477</v>
      </c>
      <c r="Q184" s="11">
        <v>0</v>
      </c>
      <c r="R184" s="11">
        <v>0</v>
      </c>
      <c r="S184" s="11">
        <v>88.38</v>
      </c>
      <c r="T184" s="14">
        <v>1278</v>
      </c>
      <c r="U184" s="14">
        <v>5994</v>
      </c>
      <c r="V184" s="330"/>
      <c r="W184" s="11">
        <v>0</v>
      </c>
      <c r="X184" s="64">
        <v>11285</v>
      </c>
      <c r="Y184" s="64">
        <v>8208</v>
      </c>
      <c r="Z184" s="331">
        <v>0.91867852231029312</v>
      </c>
      <c r="AA184" s="31">
        <v>0.82998164368133232</v>
      </c>
      <c r="AB184" s="11">
        <v>0</v>
      </c>
      <c r="AC184" s="11">
        <v>1</v>
      </c>
      <c r="AE184" s="32">
        <v>-991761.26875000005</v>
      </c>
      <c r="AF184" s="13">
        <v>-366257.86000000004</v>
      </c>
      <c r="AG184" s="13">
        <v>1295711.6964148963</v>
      </c>
      <c r="AH184" s="13">
        <v>-142505.57580919965</v>
      </c>
      <c r="AI184" s="13">
        <v>109166.0633297211</v>
      </c>
      <c r="AJ184" s="13">
        <v>1399413</v>
      </c>
      <c r="AK184" s="13">
        <v>472806</v>
      </c>
      <c r="AL184" s="13">
        <v>1012050.8967615775</v>
      </c>
      <c r="AM184" s="13">
        <v>35295.871407672465</v>
      </c>
      <c r="AN184" s="13">
        <v>186705.40611594936</v>
      </c>
      <c r="AO184" s="13">
        <v>590374.86108309263</v>
      </c>
      <c r="AP184" s="13">
        <v>933102.32378293364</v>
      </c>
      <c r="AQ184" s="13">
        <v>1480886.5428554113</v>
      </c>
      <c r="AR184" s="13">
        <v>440089.8823201661</v>
      </c>
      <c r="AS184" s="13">
        <v>804269.13466749317</v>
      </c>
      <c r="AT184" s="34"/>
      <c r="AU184" s="13"/>
      <c r="AV184" s="34"/>
      <c r="AW184" s="34"/>
      <c r="AX184" s="34"/>
      <c r="AY184" s="13">
        <v>1004830.116367092</v>
      </c>
      <c r="AZ184" s="13">
        <v>628956.7832199384</v>
      </c>
      <c r="BA184" s="13">
        <v>610048.67960989871</v>
      </c>
      <c r="BB184" s="32">
        <v>-7083803.5477295332</v>
      </c>
      <c r="BC184" s="33">
        <v>-3160404.165490109</v>
      </c>
      <c r="BD184" s="33">
        <v>-583364.80000000005</v>
      </c>
      <c r="BE184" s="33">
        <v>-223557.92</v>
      </c>
      <c r="BF184" s="14"/>
      <c r="BG184" s="14">
        <v>1605150.1232284708</v>
      </c>
      <c r="BH184" s="33">
        <v>1628262.9052679725</v>
      </c>
      <c r="BI184" s="13">
        <v>3744515</v>
      </c>
      <c r="BJ184" s="13">
        <v>5847</v>
      </c>
      <c r="BK184" s="33">
        <v>931253.92499999993</v>
      </c>
    </row>
    <row r="185" spans="1:63" ht="14.25" x14ac:dyDescent="0.2">
      <c r="A185" s="14">
        <v>601</v>
      </c>
      <c r="B185" s="14" t="s">
        <v>457</v>
      </c>
      <c r="C185" s="14">
        <v>3692</v>
      </c>
      <c r="D185" s="14">
        <v>142</v>
      </c>
      <c r="E185" s="14">
        <v>25</v>
      </c>
      <c r="F185" s="14">
        <v>211</v>
      </c>
      <c r="G185" s="14">
        <v>138</v>
      </c>
      <c r="H185" s="14">
        <v>3176</v>
      </c>
      <c r="I185" s="14">
        <v>1776</v>
      </c>
      <c r="K185" s="29">
        <v>174</v>
      </c>
      <c r="L185" s="29">
        <v>1554</v>
      </c>
      <c r="M185" s="14">
        <v>233</v>
      </c>
      <c r="N185" s="11">
        <v>58</v>
      </c>
      <c r="O185" s="11">
        <v>0</v>
      </c>
      <c r="P185" s="11">
        <v>0</v>
      </c>
      <c r="Q185" s="11">
        <v>0</v>
      </c>
      <c r="R185" s="11">
        <v>0</v>
      </c>
      <c r="S185" s="11">
        <v>1074.95</v>
      </c>
      <c r="T185" s="14">
        <v>132</v>
      </c>
      <c r="U185" s="14">
        <v>895</v>
      </c>
      <c r="V185" s="330"/>
      <c r="W185" s="11">
        <v>1.4822833333333334</v>
      </c>
      <c r="X185" s="64">
        <v>1265</v>
      </c>
      <c r="Y185" s="64">
        <v>1298</v>
      </c>
      <c r="Z185" s="331">
        <v>0.8124171257306303</v>
      </c>
      <c r="AA185" s="31">
        <v>0</v>
      </c>
      <c r="AB185" s="11">
        <v>0</v>
      </c>
      <c r="AC185" s="11">
        <v>0</v>
      </c>
      <c r="AE185" s="32">
        <v>-137131.45775</v>
      </c>
      <c r="AF185" s="13">
        <v>-75514.510000000009</v>
      </c>
      <c r="AG185" s="13">
        <v>125951.79914684387</v>
      </c>
      <c r="AH185" s="13">
        <v>-91162.320547282681</v>
      </c>
      <c r="AI185" s="13">
        <v>20980.509912250942</v>
      </c>
      <c r="AJ185" s="13">
        <v>435454</v>
      </c>
      <c r="AK185" s="13">
        <v>135058</v>
      </c>
      <c r="AL185" s="13">
        <v>346967.20324628853</v>
      </c>
      <c r="AM185" s="13">
        <v>19218.919902524325</v>
      </c>
      <c r="AN185" s="13">
        <v>38454.638652061432</v>
      </c>
      <c r="AO185" s="13">
        <v>181707.73576224397</v>
      </c>
      <c r="AP185" s="13">
        <v>245469.43428886941</v>
      </c>
      <c r="AQ185" s="13">
        <v>397891.33511148952</v>
      </c>
      <c r="AR185" s="13">
        <v>111904.98708906565</v>
      </c>
      <c r="AS185" s="13">
        <v>209324.67411016495</v>
      </c>
      <c r="AT185" s="34"/>
      <c r="AU185" s="13"/>
      <c r="AV185" s="34"/>
      <c r="AW185" s="34"/>
      <c r="AX185" s="34"/>
      <c r="AY185" s="13">
        <v>289345.97868636297</v>
      </c>
      <c r="AZ185" s="13">
        <v>156993.39808922878</v>
      </c>
      <c r="BA185" s="13">
        <v>147376.88093575384</v>
      </c>
      <c r="BB185" s="32">
        <v>775514.27343585633</v>
      </c>
      <c r="BC185" s="33">
        <v>254593.14503591676</v>
      </c>
      <c r="BD185" s="33">
        <v>-110021.6</v>
      </c>
      <c r="BE185" s="33">
        <v>-42162.64</v>
      </c>
      <c r="BF185" s="14"/>
      <c r="BG185" s="14">
        <v>610014.68182206247</v>
      </c>
      <c r="BH185" s="33">
        <v>1493265.5126293751</v>
      </c>
      <c r="BI185" s="13">
        <v>332762</v>
      </c>
      <c r="BJ185" s="13">
        <v>890</v>
      </c>
      <c r="BK185" s="33">
        <v>1024.7150000000111</v>
      </c>
    </row>
    <row r="186" spans="1:63" ht="14.25" x14ac:dyDescent="0.2">
      <c r="A186" s="14">
        <v>604</v>
      </c>
      <c r="B186" s="14" t="s">
        <v>458</v>
      </c>
      <c r="C186" s="14">
        <v>21042</v>
      </c>
      <c r="D186" s="14">
        <v>1250</v>
      </c>
      <c r="E186" s="14">
        <v>219</v>
      </c>
      <c r="F186" s="14">
        <v>1742</v>
      </c>
      <c r="G186" s="14">
        <v>935</v>
      </c>
      <c r="H186" s="14">
        <v>16896</v>
      </c>
      <c r="I186" s="14">
        <v>12447</v>
      </c>
      <c r="K186" s="29">
        <v>861.83333333333337</v>
      </c>
      <c r="L186" s="29">
        <v>10464</v>
      </c>
      <c r="M186" s="14">
        <v>1185</v>
      </c>
      <c r="N186" s="11">
        <v>1006</v>
      </c>
      <c r="O186" s="11">
        <v>0</v>
      </c>
      <c r="P186" s="11">
        <v>81</v>
      </c>
      <c r="Q186" s="11">
        <v>0</v>
      </c>
      <c r="R186" s="11">
        <v>0</v>
      </c>
      <c r="S186" s="11">
        <v>81.42</v>
      </c>
      <c r="T186" s="14">
        <v>500</v>
      </c>
      <c r="U186" s="14">
        <v>7474</v>
      </c>
      <c r="V186" s="330"/>
      <c r="W186" s="11">
        <v>0</v>
      </c>
      <c r="X186" s="64">
        <v>9928</v>
      </c>
      <c r="Y186" s="64">
        <v>9933</v>
      </c>
      <c r="Z186" s="331">
        <v>1.1193170387639484</v>
      </c>
      <c r="AA186" s="31">
        <v>1.3610214602640298</v>
      </c>
      <c r="AB186" s="11">
        <v>0</v>
      </c>
      <c r="AC186" s="11">
        <v>2</v>
      </c>
      <c r="AE186" s="32">
        <v>-764035.14575000003</v>
      </c>
      <c r="AF186" s="13">
        <v>-380415.63</v>
      </c>
      <c r="AG186" s="13">
        <v>718329.82025030383</v>
      </c>
      <c r="AH186" s="13">
        <v>-390248.74990069139</v>
      </c>
      <c r="AI186" s="13">
        <v>-114558.28962229809</v>
      </c>
      <c r="AJ186" s="13">
        <v>962488</v>
      </c>
      <c r="AK186" s="13">
        <v>315242</v>
      </c>
      <c r="AL186" s="13">
        <v>572600.76511103765</v>
      </c>
      <c r="AM186" s="13">
        <v>-261.91042154564855</v>
      </c>
      <c r="AN186" s="13">
        <v>-137431.19608466787</v>
      </c>
      <c r="AO186" s="13">
        <v>318185.54417433374</v>
      </c>
      <c r="AP186" s="13">
        <v>684278.32505374833</v>
      </c>
      <c r="AQ186" s="13">
        <v>1214601.6352733036</v>
      </c>
      <c r="AR186" s="13">
        <v>334343.71146815491</v>
      </c>
      <c r="AS186" s="13">
        <v>593427.09501551755</v>
      </c>
      <c r="AT186" s="34"/>
      <c r="AU186" s="13"/>
      <c r="AV186" s="34"/>
      <c r="AW186" s="34"/>
      <c r="AX186" s="34"/>
      <c r="AY186" s="13">
        <v>705974.50165903871</v>
      </c>
      <c r="AZ186" s="13">
        <v>505123.56517847604</v>
      </c>
      <c r="BA186" s="13">
        <v>515339.32683568925</v>
      </c>
      <c r="BB186" s="32">
        <v>3959736.1584065026</v>
      </c>
      <c r="BC186" s="33">
        <v>1119406.2255436887</v>
      </c>
      <c r="BD186" s="33">
        <v>-627051.6</v>
      </c>
      <c r="BE186" s="33">
        <v>-240299.63999999998</v>
      </c>
      <c r="BF186" s="14"/>
      <c r="BG186" s="14">
        <v>667759.61888980935</v>
      </c>
      <c r="BH186" s="33">
        <v>-603342.21779457247</v>
      </c>
      <c r="BI186" s="13">
        <v>-2441808</v>
      </c>
      <c r="BJ186" s="13">
        <v>6953</v>
      </c>
      <c r="BK186" s="33">
        <v>-687831.11</v>
      </c>
    </row>
    <row r="187" spans="1:63" ht="14.25" x14ac:dyDescent="0.2">
      <c r="A187" s="14">
        <v>607</v>
      </c>
      <c r="B187" s="14" t="s">
        <v>459</v>
      </c>
      <c r="C187" s="14">
        <v>3999</v>
      </c>
      <c r="D187" s="14">
        <v>158</v>
      </c>
      <c r="E187" s="14">
        <v>35</v>
      </c>
      <c r="F187" s="14">
        <v>230</v>
      </c>
      <c r="G187" s="14">
        <v>132</v>
      </c>
      <c r="H187" s="14">
        <v>3444</v>
      </c>
      <c r="I187" s="14">
        <v>1868</v>
      </c>
      <c r="K187" s="29">
        <v>208.83333333333334</v>
      </c>
      <c r="L187" s="29">
        <v>1607</v>
      </c>
      <c r="M187" s="14">
        <v>291.83333333333337</v>
      </c>
      <c r="N187" s="11">
        <v>58</v>
      </c>
      <c r="O187" s="11">
        <v>0</v>
      </c>
      <c r="P187" s="11">
        <v>5</v>
      </c>
      <c r="Q187" s="11">
        <v>0</v>
      </c>
      <c r="R187" s="11">
        <v>0</v>
      </c>
      <c r="S187" s="11">
        <v>804.62</v>
      </c>
      <c r="T187" s="14">
        <v>116</v>
      </c>
      <c r="U187" s="14">
        <v>1017</v>
      </c>
      <c r="V187" s="330"/>
      <c r="W187" s="11">
        <v>0.61786666666666668</v>
      </c>
      <c r="X187" s="64">
        <v>997</v>
      </c>
      <c r="Y187" s="64">
        <v>1396</v>
      </c>
      <c r="Z187" s="331">
        <v>0.85485943875976345</v>
      </c>
      <c r="AA187" s="31">
        <v>0</v>
      </c>
      <c r="AB187" s="11">
        <v>0</v>
      </c>
      <c r="AC187" s="11">
        <v>0</v>
      </c>
      <c r="AE187" s="32">
        <v>-131793.20000000001</v>
      </c>
      <c r="AF187" s="13">
        <v>-80701.210000000006</v>
      </c>
      <c r="AG187" s="13">
        <v>127735.09787476307</v>
      </c>
      <c r="AH187" s="13">
        <v>-68426.198710448967</v>
      </c>
      <c r="AI187" s="13">
        <v>39988.77350345219</v>
      </c>
      <c r="AJ187" s="13">
        <v>474631</v>
      </c>
      <c r="AK187" s="13">
        <v>148166</v>
      </c>
      <c r="AL187" s="13">
        <v>409995.16215722071</v>
      </c>
      <c r="AM187" s="13">
        <v>23164.831209844506</v>
      </c>
      <c r="AN187" s="13">
        <v>70872.720204695695</v>
      </c>
      <c r="AO187" s="13">
        <v>175906.08465712712</v>
      </c>
      <c r="AP187" s="13">
        <v>265433.29563446343</v>
      </c>
      <c r="AQ187" s="13">
        <v>408578.5953259517</v>
      </c>
      <c r="AR187" s="13">
        <v>117579.48942582084</v>
      </c>
      <c r="AS187" s="13">
        <v>217648.29052226059</v>
      </c>
      <c r="AT187" s="34"/>
      <c r="AU187" s="13"/>
      <c r="AV187" s="34"/>
      <c r="AW187" s="34"/>
      <c r="AX187" s="34"/>
      <c r="AY187" s="13">
        <v>306857.30921319872</v>
      </c>
      <c r="AZ187" s="13">
        <v>160815.64675469534</v>
      </c>
      <c r="BA187" s="13">
        <v>153764.36379155159</v>
      </c>
      <c r="BB187" s="32">
        <v>-553300.11810468417</v>
      </c>
      <c r="BC187" s="33">
        <v>-25010.98642481324</v>
      </c>
      <c r="BD187" s="33">
        <v>-119170.2</v>
      </c>
      <c r="BE187" s="33">
        <v>-45668.58</v>
      </c>
      <c r="BF187" s="14"/>
      <c r="BG187" s="14">
        <v>671840.32510535605</v>
      </c>
      <c r="BH187" s="33">
        <v>2659985.6987212952</v>
      </c>
      <c r="BI187" s="13">
        <v>-583010</v>
      </c>
      <c r="BJ187" s="13">
        <v>853</v>
      </c>
      <c r="BK187" s="33">
        <v>-131905.55499999999</v>
      </c>
    </row>
    <row r="188" spans="1:63" ht="14.25" x14ac:dyDescent="0.2">
      <c r="A188" s="14">
        <v>608</v>
      </c>
      <c r="B188" s="14" t="s">
        <v>460</v>
      </c>
      <c r="C188" s="14">
        <v>1931</v>
      </c>
      <c r="D188" s="14">
        <v>89</v>
      </c>
      <c r="E188" s="14">
        <v>18</v>
      </c>
      <c r="F188" s="14">
        <v>113</v>
      </c>
      <c r="G188" s="14">
        <v>55</v>
      </c>
      <c r="H188" s="14">
        <v>1656</v>
      </c>
      <c r="I188" s="14">
        <v>941</v>
      </c>
      <c r="K188" s="29">
        <v>79</v>
      </c>
      <c r="L188" s="29">
        <v>786</v>
      </c>
      <c r="M188" s="14">
        <v>108.83333333333333</v>
      </c>
      <c r="N188" s="11">
        <v>34</v>
      </c>
      <c r="O188" s="11">
        <v>0</v>
      </c>
      <c r="P188" s="11">
        <v>1</v>
      </c>
      <c r="Q188" s="11">
        <v>0</v>
      </c>
      <c r="R188" s="11">
        <v>0</v>
      </c>
      <c r="S188" s="11">
        <v>301.22000000000003</v>
      </c>
      <c r="T188" s="14">
        <v>86</v>
      </c>
      <c r="U188" s="14">
        <v>488</v>
      </c>
      <c r="V188" s="330"/>
      <c r="W188" s="11">
        <v>0.1082</v>
      </c>
      <c r="X188" s="64">
        <v>504</v>
      </c>
      <c r="Y188" s="64">
        <v>703</v>
      </c>
      <c r="Z188" s="331">
        <v>0.88648460465359125</v>
      </c>
      <c r="AA188" s="31">
        <v>0</v>
      </c>
      <c r="AB188" s="11">
        <v>0</v>
      </c>
      <c r="AC188" s="11">
        <v>0</v>
      </c>
      <c r="AE188" s="32">
        <v>-59450.44</v>
      </c>
      <c r="AF188" s="13">
        <v>-39630.230000000003</v>
      </c>
      <c r="AG188" s="13">
        <v>99936.001041662501</v>
      </c>
      <c r="AH188" s="13">
        <v>-23971.035822179376</v>
      </c>
      <c r="AI188" s="13">
        <v>-76.68923518146039</v>
      </c>
      <c r="AJ188" s="13">
        <v>227685</v>
      </c>
      <c r="AK188" s="13">
        <v>68669</v>
      </c>
      <c r="AL188" s="13">
        <v>174137.51447144392</v>
      </c>
      <c r="AM188" s="13">
        <v>9685.8543086534082</v>
      </c>
      <c r="AN188" s="13">
        <v>19472.155895094435</v>
      </c>
      <c r="AO188" s="13">
        <v>85293.422748963334</v>
      </c>
      <c r="AP188" s="13">
        <v>118840.12738225592</v>
      </c>
      <c r="AQ188" s="13">
        <v>187810.57467574356</v>
      </c>
      <c r="AR188" s="13">
        <v>47927.062904270097</v>
      </c>
      <c r="AS188" s="13">
        <v>97253.69510786733</v>
      </c>
      <c r="AT188" s="34"/>
      <c r="AU188" s="13"/>
      <c r="AV188" s="34"/>
      <c r="AW188" s="34"/>
      <c r="AX188" s="34"/>
      <c r="AY188" s="13">
        <v>136571.18834184707</v>
      </c>
      <c r="AZ188" s="13">
        <v>75138.550309601444</v>
      </c>
      <c r="BA188" s="13">
        <v>66994.745459013429</v>
      </c>
      <c r="BB188" s="32">
        <v>-196109.86067561628</v>
      </c>
      <c r="BC188" s="33">
        <v>-87684.781316255656</v>
      </c>
      <c r="BD188" s="33">
        <v>-57543.8</v>
      </c>
      <c r="BE188" s="33">
        <v>-22052.02</v>
      </c>
      <c r="BF188" s="14"/>
      <c r="BG188" s="14">
        <v>218905.28383742232</v>
      </c>
      <c r="BH188" s="33">
        <v>975586.69683669822</v>
      </c>
      <c r="BI188" s="13">
        <v>380880</v>
      </c>
      <c r="BJ188" s="13">
        <v>478</v>
      </c>
      <c r="BK188" s="33">
        <v>-22967.75</v>
      </c>
    </row>
    <row r="189" spans="1:63" ht="14.25" x14ac:dyDescent="0.2">
      <c r="A189" s="14">
        <v>609</v>
      </c>
      <c r="B189" s="14" t="s">
        <v>461</v>
      </c>
      <c r="C189" s="14">
        <v>83305</v>
      </c>
      <c r="D189" s="14">
        <v>3701</v>
      </c>
      <c r="E189" s="14">
        <v>671</v>
      </c>
      <c r="F189" s="14">
        <v>4800</v>
      </c>
      <c r="G189" s="14">
        <v>2658</v>
      </c>
      <c r="H189" s="14">
        <v>71475</v>
      </c>
      <c r="I189" s="14">
        <v>47156</v>
      </c>
      <c r="K189" s="29">
        <v>4838.583333333333</v>
      </c>
      <c r="L189" s="29">
        <v>38375</v>
      </c>
      <c r="M189" s="14">
        <v>6601.833333333333</v>
      </c>
      <c r="N189" s="11">
        <v>4863</v>
      </c>
      <c r="O189" s="11">
        <v>0</v>
      </c>
      <c r="P189" s="11">
        <v>467</v>
      </c>
      <c r="Q189" s="11">
        <v>3</v>
      </c>
      <c r="R189" s="11">
        <v>858</v>
      </c>
      <c r="S189" s="11">
        <v>1156.49</v>
      </c>
      <c r="T189" s="14">
        <v>3298</v>
      </c>
      <c r="U189" s="14">
        <v>24671</v>
      </c>
      <c r="V189" s="330"/>
      <c r="W189" s="11">
        <v>0</v>
      </c>
      <c r="X189" s="64">
        <v>34578</v>
      </c>
      <c r="Y189" s="64">
        <v>33473</v>
      </c>
      <c r="Z189" s="331">
        <v>0.97581529539998557</v>
      </c>
      <c r="AA189" s="31">
        <v>0</v>
      </c>
      <c r="AB189" s="11">
        <v>0</v>
      </c>
      <c r="AC189" s="11">
        <v>1</v>
      </c>
      <c r="AE189" s="32">
        <v>-4770160.2378000002</v>
      </c>
      <c r="AF189" s="13">
        <v>-1607569.6400000001</v>
      </c>
      <c r="AG189" s="13">
        <v>4695710.6358370222</v>
      </c>
      <c r="AH189" s="13">
        <v>-456321.20945855713</v>
      </c>
      <c r="AI189" s="13">
        <v>34497.750989888329</v>
      </c>
      <c r="AJ189" s="13">
        <v>5977751</v>
      </c>
      <c r="AK189" s="13">
        <v>2064395</v>
      </c>
      <c r="AL189" s="13">
        <v>4911326.5708868736</v>
      </c>
      <c r="AM189" s="13">
        <v>211502.83104590638</v>
      </c>
      <c r="AN189" s="13">
        <v>284484.42643885675</v>
      </c>
      <c r="AO189" s="13">
        <v>2351587.2856159857</v>
      </c>
      <c r="AP189" s="13">
        <v>4132607.3086933289</v>
      </c>
      <c r="AQ189" s="13">
        <v>6287328.9725718396</v>
      </c>
      <c r="AR189" s="13">
        <v>2094464.6514643608</v>
      </c>
      <c r="AS189" s="13">
        <v>3575023.8903953033</v>
      </c>
      <c r="AT189" s="34"/>
      <c r="AU189" s="13"/>
      <c r="AV189" s="34"/>
      <c r="AW189" s="34"/>
      <c r="AX189" s="34"/>
      <c r="AY189" s="13">
        <v>4862199.8474014718</v>
      </c>
      <c r="AZ189" s="13">
        <v>2815404.6290616356</v>
      </c>
      <c r="BA189" s="13">
        <v>2807579.8272083229</v>
      </c>
      <c r="BB189" s="32">
        <v>-15791580.061469169</v>
      </c>
      <c r="BC189" s="33">
        <v>-2117041.6971583082</v>
      </c>
      <c r="BD189" s="33">
        <v>-2482489</v>
      </c>
      <c r="BE189" s="33">
        <v>-951343.1</v>
      </c>
      <c r="BF189" s="14"/>
      <c r="BG189" s="14">
        <v>7612270.4301729379</v>
      </c>
      <c r="BH189" s="33">
        <v>21038615.355013877</v>
      </c>
      <c r="BI189" s="13">
        <v>-4074614</v>
      </c>
      <c r="BJ189" s="13">
        <v>24072</v>
      </c>
      <c r="BK189" s="33">
        <v>-3671606.8474999997</v>
      </c>
    </row>
    <row r="190" spans="1:63" ht="14.25" x14ac:dyDescent="0.2">
      <c r="A190" s="14">
        <v>611</v>
      </c>
      <c r="B190" s="14" t="s">
        <v>462</v>
      </c>
      <c r="C190" s="14">
        <v>4961</v>
      </c>
      <c r="D190" s="14">
        <v>285</v>
      </c>
      <c r="E190" s="14">
        <v>39</v>
      </c>
      <c r="F190" s="14">
        <v>381</v>
      </c>
      <c r="G190" s="14">
        <v>222</v>
      </c>
      <c r="H190" s="14">
        <v>4034</v>
      </c>
      <c r="I190" s="14">
        <v>2915</v>
      </c>
      <c r="K190" s="29">
        <v>190.91666666666666</v>
      </c>
      <c r="L190" s="29">
        <v>2627</v>
      </c>
      <c r="M190" s="14">
        <v>239.75</v>
      </c>
      <c r="N190" s="11">
        <v>193</v>
      </c>
      <c r="O190" s="11">
        <v>0</v>
      </c>
      <c r="P190" s="11">
        <v>119</v>
      </c>
      <c r="Q190" s="11">
        <v>0</v>
      </c>
      <c r="R190" s="11">
        <v>0</v>
      </c>
      <c r="S190" s="11">
        <v>146.54</v>
      </c>
      <c r="T190" s="14">
        <v>195</v>
      </c>
      <c r="U190" s="14">
        <v>1657</v>
      </c>
      <c r="V190" s="330"/>
      <c r="W190" s="11">
        <v>0</v>
      </c>
      <c r="X190" s="64">
        <v>1063</v>
      </c>
      <c r="Y190" s="64">
        <v>2422</v>
      </c>
      <c r="Z190" s="331">
        <v>0.91792197482132776</v>
      </c>
      <c r="AA190" s="31">
        <v>0</v>
      </c>
      <c r="AB190" s="11">
        <v>0</v>
      </c>
      <c r="AC190" s="11">
        <v>0</v>
      </c>
      <c r="AE190" s="32">
        <v>-117371.91499999999</v>
      </c>
      <c r="AF190" s="13">
        <v>-97394.7</v>
      </c>
      <c r="AG190" s="13">
        <v>79791.304038794333</v>
      </c>
      <c r="AH190" s="13">
        <v>-85041.337573897006</v>
      </c>
      <c r="AI190" s="13">
        <v>-26219.699267565593</v>
      </c>
      <c r="AJ190" s="13">
        <v>383656</v>
      </c>
      <c r="AK190" s="13">
        <v>117909</v>
      </c>
      <c r="AL190" s="13">
        <v>224768.97935533107</v>
      </c>
      <c r="AM190" s="13">
        <v>-45.47227589964298</v>
      </c>
      <c r="AN190" s="13">
        <v>9676.0617804857593</v>
      </c>
      <c r="AO190" s="13">
        <v>53223.876379360496</v>
      </c>
      <c r="AP190" s="13">
        <v>245023.06201938295</v>
      </c>
      <c r="AQ190" s="13">
        <v>374090.33204037865</v>
      </c>
      <c r="AR190" s="13">
        <v>101058.82328673525</v>
      </c>
      <c r="AS190" s="13">
        <v>182531.78083425001</v>
      </c>
      <c r="AT190" s="34"/>
      <c r="AU190" s="13"/>
      <c r="AV190" s="34"/>
      <c r="AW190" s="34"/>
      <c r="AX190" s="34"/>
      <c r="AY190" s="13">
        <v>234653.47370810778</v>
      </c>
      <c r="AZ190" s="13">
        <v>155606.96812922566</v>
      </c>
      <c r="BA190" s="13">
        <v>160971.30774963091</v>
      </c>
      <c r="BB190" s="32">
        <v>516078.08943939657</v>
      </c>
      <c r="BC190" s="32">
        <v>-21180.049941844718</v>
      </c>
      <c r="BD190" s="32">
        <v>-147837.80000000002</v>
      </c>
      <c r="BE190" s="32">
        <v>-56654.62</v>
      </c>
      <c r="BF190" s="14"/>
      <c r="BG190" s="14">
        <v>379536.98195045616</v>
      </c>
      <c r="BH190" s="33">
        <v>806296.19293071702</v>
      </c>
      <c r="BI190" s="13">
        <v>-1344074</v>
      </c>
      <c r="BJ190" s="13">
        <v>1505</v>
      </c>
      <c r="BK190" s="33">
        <v>6148.289999999979</v>
      </c>
    </row>
    <row r="191" spans="1:63" ht="14.25" x14ac:dyDescent="0.2">
      <c r="A191" s="14">
        <v>638</v>
      </c>
      <c r="B191" s="14" t="s">
        <v>476</v>
      </c>
      <c r="C191" s="14">
        <v>51737</v>
      </c>
      <c r="D191" s="14">
        <v>2729</v>
      </c>
      <c r="E191" s="14">
        <v>508</v>
      </c>
      <c r="F191" s="14">
        <v>3607</v>
      </c>
      <c r="G191" s="14">
        <v>2011</v>
      </c>
      <c r="H191" s="14">
        <v>42882</v>
      </c>
      <c r="I191" s="14">
        <v>29529</v>
      </c>
      <c r="K191" s="29">
        <v>2365.6666666666665</v>
      </c>
      <c r="L191" s="29">
        <v>25362</v>
      </c>
      <c r="M191" s="14">
        <v>3121</v>
      </c>
      <c r="N191" s="11">
        <v>4820</v>
      </c>
      <c r="O191" s="11">
        <v>1</v>
      </c>
      <c r="P191" s="11">
        <v>14191</v>
      </c>
      <c r="Q191" s="11">
        <v>3</v>
      </c>
      <c r="R191" s="11">
        <v>1717</v>
      </c>
      <c r="S191" s="11">
        <v>654.91999999999996</v>
      </c>
      <c r="T191" s="14">
        <v>2364</v>
      </c>
      <c r="U191" s="14">
        <v>16839</v>
      </c>
      <c r="V191" s="330"/>
      <c r="W191" s="11">
        <v>0</v>
      </c>
      <c r="X191" s="64">
        <v>21331</v>
      </c>
      <c r="Y191" s="64">
        <v>22995</v>
      </c>
      <c r="Z191" s="331">
        <v>1.1245716004256139</v>
      </c>
      <c r="AA191" s="31">
        <v>0.38233708125353277</v>
      </c>
      <c r="AB191" s="11">
        <v>0</v>
      </c>
      <c r="AC191" s="11">
        <v>1</v>
      </c>
      <c r="AE191" s="32">
        <v>-2514323.7477000002</v>
      </c>
      <c r="AF191" s="13">
        <v>-972390.99</v>
      </c>
      <c r="AG191" s="13">
        <v>1255417.5638302919</v>
      </c>
      <c r="AH191" s="13">
        <v>-1013064.5540580725</v>
      </c>
      <c r="AI191" s="13">
        <v>-172896.37144863396</v>
      </c>
      <c r="AJ191" s="13">
        <v>3312713</v>
      </c>
      <c r="AK191" s="13">
        <v>1135672</v>
      </c>
      <c r="AL191" s="13">
        <v>2360718.5689561497</v>
      </c>
      <c r="AM191" s="13">
        <v>50410.920736742679</v>
      </c>
      <c r="AN191" s="13">
        <v>227364.6802771861</v>
      </c>
      <c r="AO191" s="13">
        <v>805241.288831554</v>
      </c>
      <c r="AP191" s="13">
        <v>2210620.0389931998</v>
      </c>
      <c r="AQ191" s="13">
        <v>3474053.0905961739</v>
      </c>
      <c r="AR191" s="13">
        <v>1103991.4519041427</v>
      </c>
      <c r="AS191" s="13">
        <v>1855402.0311445042</v>
      </c>
      <c r="AT191" s="34"/>
      <c r="AU191" s="13"/>
      <c r="AV191" s="34"/>
      <c r="AW191" s="34"/>
      <c r="AX191" s="34"/>
      <c r="AY191" s="13">
        <v>2362034.7201200691</v>
      </c>
      <c r="AZ191" s="13">
        <v>1514885.2425711711</v>
      </c>
      <c r="BA191" s="13">
        <v>1542702.0744774095</v>
      </c>
      <c r="BB191" s="32">
        <v>14522566.989777571</v>
      </c>
      <c r="BC191" s="33">
        <v>3625298.8819000069</v>
      </c>
      <c r="BD191" s="33">
        <v>-1541762.6</v>
      </c>
      <c r="BE191" s="33">
        <v>-590836.54</v>
      </c>
      <c r="BF191" s="14"/>
      <c r="BG191" s="14">
        <v>4513235.2157482579</v>
      </c>
      <c r="BH191" s="33">
        <v>-2458523.3134898902</v>
      </c>
      <c r="BI191" s="13">
        <v>232438</v>
      </c>
      <c r="BJ191" s="13">
        <v>15225</v>
      </c>
      <c r="BK191" s="33">
        <v>-625093.81749999989</v>
      </c>
    </row>
    <row r="192" spans="1:63" ht="14.25" x14ac:dyDescent="0.2">
      <c r="A192" s="14">
        <v>614</v>
      </c>
      <c r="B192" s="14" t="s">
        <v>463</v>
      </c>
      <c r="C192" s="14">
        <v>2878</v>
      </c>
      <c r="D192" s="14">
        <v>66</v>
      </c>
      <c r="E192" s="14">
        <v>11</v>
      </c>
      <c r="F192" s="14">
        <v>100</v>
      </c>
      <c r="G192" s="14">
        <v>57</v>
      </c>
      <c r="H192" s="14">
        <v>2644</v>
      </c>
      <c r="I192" s="14">
        <v>1300</v>
      </c>
      <c r="K192" s="29">
        <v>131.16666666666666</v>
      </c>
      <c r="L192" s="29">
        <v>1163</v>
      </c>
      <c r="M192" s="14">
        <v>184.5</v>
      </c>
      <c r="N192" s="11">
        <v>68</v>
      </c>
      <c r="O192" s="11">
        <v>0</v>
      </c>
      <c r="P192" s="11">
        <v>4</v>
      </c>
      <c r="Q192" s="11">
        <v>0</v>
      </c>
      <c r="R192" s="11">
        <v>0</v>
      </c>
      <c r="S192" s="11">
        <v>3039.65</v>
      </c>
      <c r="T192" s="14">
        <v>88</v>
      </c>
      <c r="U192" s="14">
        <v>588</v>
      </c>
      <c r="V192" s="330"/>
      <c r="W192" s="11">
        <v>1.8032166666666667</v>
      </c>
      <c r="X192" s="64">
        <v>831</v>
      </c>
      <c r="Y192" s="64">
        <v>934</v>
      </c>
      <c r="Z192" s="331">
        <v>0.98739770274230154</v>
      </c>
      <c r="AA192" s="31">
        <v>0</v>
      </c>
      <c r="AB192" s="11">
        <v>0</v>
      </c>
      <c r="AC192" s="11">
        <v>0</v>
      </c>
      <c r="AE192" s="32">
        <v>-52647.794999999998</v>
      </c>
      <c r="AF192" s="13">
        <v>-59877.57</v>
      </c>
      <c r="AG192" s="13">
        <v>171221.5391250276</v>
      </c>
      <c r="AH192" s="13">
        <v>-60169.917567625591</v>
      </c>
      <c r="AI192" s="13">
        <v>14356.345266238473</v>
      </c>
      <c r="AJ192" s="13">
        <v>388225</v>
      </c>
      <c r="AK192" s="13">
        <v>132356</v>
      </c>
      <c r="AL192" s="13">
        <v>346191.88857336773</v>
      </c>
      <c r="AM192" s="13">
        <v>20772.919122280637</v>
      </c>
      <c r="AN192" s="13">
        <v>57066.918804224668</v>
      </c>
      <c r="AO192" s="13">
        <v>160530.74774145751</v>
      </c>
      <c r="AP192" s="13">
        <v>211708.16998792533</v>
      </c>
      <c r="AQ192" s="13">
        <v>327515.57281035808</v>
      </c>
      <c r="AR192" s="13">
        <v>96131.702109409453</v>
      </c>
      <c r="AS192" s="13">
        <v>174842.47341730597</v>
      </c>
      <c r="AT192" s="34"/>
      <c r="AU192" s="13"/>
      <c r="AV192" s="34"/>
      <c r="AW192" s="34"/>
      <c r="AX192" s="34"/>
      <c r="AY192" s="13">
        <v>246134.04062313441</v>
      </c>
      <c r="AZ192" s="13">
        <v>119479.12906191329</v>
      </c>
      <c r="BA192" s="13">
        <v>111221.10715250093</v>
      </c>
      <c r="BB192" s="32">
        <v>-682283.78183482669</v>
      </c>
      <c r="BC192" s="33">
        <v>-335029.07417634252</v>
      </c>
      <c r="BD192" s="33">
        <v>-85764.400000000009</v>
      </c>
      <c r="BE192" s="33">
        <v>-32866.76</v>
      </c>
      <c r="BF192" s="14"/>
      <c r="BG192" s="14">
        <v>570551.37648808723</v>
      </c>
      <c r="BH192" s="33">
        <v>1513412.0365837065</v>
      </c>
      <c r="BI192" s="13">
        <v>425069</v>
      </c>
      <c r="BJ192" s="13">
        <v>418</v>
      </c>
      <c r="BK192" s="33">
        <v>-68903.25</v>
      </c>
    </row>
    <row r="193" spans="1:63" ht="14.25" x14ac:dyDescent="0.2">
      <c r="A193" s="14">
        <v>615</v>
      </c>
      <c r="B193" s="14" t="s">
        <v>464</v>
      </c>
      <c r="C193" s="14">
        <v>7304</v>
      </c>
      <c r="D193" s="14">
        <v>315</v>
      </c>
      <c r="E193" s="14">
        <v>60</v>
      </c>
      <c r="F193" s="14">
        <v>475</v>
      </c>
      <c r="G193" s="14">
        <v>274</v>
      </c>
      <c r="H193" s="14">
        <v>6180</v>
      </c>
      <c r="I193" s="14">
        <v>3340</v>
      </c>
      <c r="K193" s="29">
        <v>463.25</v>
      </c>
      <c r="L193" s="29">
        <v>2874</v>
      </c>
      <c r="M193" s="14">
        <v>619.5</v>
      </c>
      <c r="N193" s="11">
        <v>163</v>
      </c>
      <c r="O193" s="11">
        <v>0</v>
      </c>
      <c r="P193" s="11">
        <v>11</v>
      </c>
      <c r="Q193" s="11">
        <v>0</v>
      </c>
      <c r="R193" s="11">
        <v>0</v>
      </c>
      <c r="S193" s="11">
        <v>5638.52</v>
      </c>
      <c r="T193" s="14">
        <v>243</v>
      </c>
      <c r="U193" s="14">
        <v>1667</v>
      </c>
      <c r="V193" s="330"/>
      <c r="W193" s="11">
        <v>1.5287166666666667</v>
      </c>
      <c r="X193" s="64">
        <v>2318</v>
      </c>
      <c r="Y193" s="64">
        <v>2272</v>
      </c>
      <c r="Z193" s="331">
        <v>0.81337689567915605</v>
      </c>
      <c r="AA193" s="31">
        <v>0</v>
      </c>
      <c r="AB193" s="11">
        <v>0</v>
      </c>
      <c r="AC193" s="11">
        <v>0</v>
      </c>
      <c r="AE193" s="32">
        <v>-300162.16879999998</v>
      </c>
      <c r="AF193" s="13">
        <v>-149434.59</v>
      </c>
      <c r="AG193" s="13">
        <v>361294.09643929312</v>
      </c>
      <c r="AH193" s="13">
        <v>-319603.98004852625</v>
      </c>
      <c r="AI193" s="13">
        <v>51571.53695005842</v>
      </c>
      <c r="AJ193" s="13">
        <v>805732</v>
      </c>
      <c r="AK193" s="13">
        <v>241095</v>
      </c>
      <c r="AL193" s="13">
        <v>688020.98312893382</v>
      </c>
      <c r="AM193" s="13">
        <v>36509.242249512936</v>
      </c>
      <c r="AN193" s="13">
        <v>95626.548892238308</v>
      </c>
      <c r="AO193" s="13">
        <v>348466.62608508661</v>
      </c>
      <c r="AP193" s="13">
        <v>455622.06844321423</v>
      </c>
      <c r="AQ193" s="13">
        <v>656757.20291132282</v>
      </c>
      <c r="AR193" s="13">
        <v>192948.82523202122</v>
      </c>
      <c r="AS193" s="13">
        <v>373608.37530788733</v>
      </c>
      <c r="AT193" s="34"/>
      <c r="AU193" s="13"/>
      <c r="AV193" s="34"/>
      <c r="AW193" s="34"/>
      <c r="AX193" s="34"/>
      <c r="AY193" s="13">
        <v>508458.22630120337</v>
      </c>
      <c r="AZ193" s="13">
        <v>277970.89200871246</v>
      </c>
      <c r="BA193" s="13">
        <v>273558.71522533783</v>
      </c>
      <c r="BB193" s="32">
        <v>2046202.4918174073</v>
      </c>
      <c r="BC193" s="33">
        <v>85498.070898260892</v>
      </c>
      <c r="BD193" s="33">
        <v>-217659.2</v>
      </c>
      <c r="BE193" s="33">
        <v>-83411.679999999993</v>
      </c>
      <c r="BF193" s="14"/>
      <c r="BG193" s="14">
        <v>1038732.5041587838</v>
      </c>
      <c r="BH193" s="33">
        <v>3966523.5680291285</v>
      </c>
      <c r="BI193" s="13">
        <v>129934</v>
      </c>
      <c r="BJ193" s="13">
        <v>1803</v>
      </c>
      <c r="BK193" s="33">
        <v>49734.012500000012</v>
      </c>
    </row>
    <row r="194" spans="1:63" ht="14.25" x14ac:dyDescent="0.2">
      <c r="A194" s="14">
        <v>616</v>
      </c>
      <c r="B194" s="14" t="s">
        <v>465</v>
      </c>
      <c r="C194" s="14">
        <v>1743</v>
      </c>
      <c r="D194" s="14">
        <v>69</v>
      </c>
      <c r="E194" s="14">
        <v>8</v>
      </c>
      <c r="F194" s="14">
        <v>111</v>
      </c>
      <c r="G194" s="14">
        <v>64</v>
      </c>
      <c r="H194" s="14">
        <v>1491</v>
      </c>
      <c r="I194" s="14">
        <v>1011</v>
      </c>
      <c r="K194" s="29">
        <v>88.833333333333329</v>
      </c>
      <c r="L194" s="29">
        <v>900</v>
      </c>
      <c r="M194" s="14">
        <v>106.75</v>
      </c>
      <c r="N194" s="11">
        <v>64</v>
      </c>
      <c r="O194" s="11">
        <v>0</v>
      </c>
      <c r="P194" s="11">
        <v>14</v>
      </c>
      <c r="Q194" s="11">
        <v>0</v>
      </c>
      <c r="R194" s="11">
        <v>0</v>
      </c>
      <c r="S194" s="11">
        <v>145.09</v>
      </c>
      <c r="T194" s="14">
        <v>66</v>
      </c>
      <c r="U194" s="14">
        <v>511</v>
      </c>
      <c r="V194" s="330"/>
      <c r="W194" s="11">
        <v>0</v>
      </c>
      <c r="X194" s="64">
        <v>488</v>
      </c>
      <c r="Y194" s="64">
        <v>815</v>
      </c>
      <c r="Z194" s="331">
        <v>1.043357664015252</v>
      </c>
      <c r="AA194" s="31">
        <v>0</v>
      </c>
      <c r="AB194" s="11">
        <v>0</v>
      </c>
      <c r="AC194" s="11">
        <v>0</v>
      </c>
      <c r="AE194" s="32">
        <v>-55796.11735</v>
      </c>
      <c r="AF194" s="13">
        <v>-35211.93</v>
      </c>
      <c r="AG194" s="13">
        <v>36547.180845823896</v>
      </c>
      <c r="AH194" s="13">
        <v>-17589.910120664834</v>
      </c>
      <c r="AI194" s="13">
        <v>-2744.8676795683496</v>
      </c>
      <c r="AJ194" s="13">
        <v>169950</v>
      </c>
      <c r="AK194" s="13">
        <v>60269</v>
      </c>
      <c r="AL194" s="13">
        <v>134916.29841328936</v>
      </c>
      <c r="AM194" s="13">
        <v>5613.3109009170948</v>
      </c>
      <c r="AN194" s="13">
        <v>26742.799375526462</v>
      </c>
      <c r="AO194" s="13">
        <v>40079.038482578464</v>
      </c>
      <c r="AP194" s="13">
        <v>126662.72441790301</v>
      </c>
      <c r="AQ194" s="13">
        <v>192233.72481729407</v>
      </c>
      <c r="AR194" s="13">
        <v>54526.841074924756</v>
      </c>
      <c r="AS194" s="13">
        <v>91988.066537506427</v>
      </c>
      <c r="AT194" s="34"/>
      <c r="AU194" s="13"/>
      <c r="AV194" s="34"/>
      <c r="AW194" s="34"/>
      <c r="AX194" s="34"/>
      <c r="AY194" s="13">
        <v>123308.51827207985</v>
      </c>
      <c r="AZ194" s="13">
        <v>73576.473385919075</v>
      </c>
      <c r="BA194" s="13">
        <v>73236.006387891539</v>
      </c>
      <c r="BB194" s="32">
        <v>-211724.65895705426</v>
      </c>
      <c r="BC194" s="33">
        <v>-104253.99744696496</v>
      </c>
      <c r="BD194" s="33">
        <v>-51941.4</v>
      </c>
      <c r="BE194" s="33">
        <v>-19905.060000000001</v>
      </c>
      <c r="BF194" s="14"/>
      <c r="BG194" s="14">
        <v>234902.35766692276</v>
      </c>
      <c r="BH194" s="33">
        <v>762668.01920933509</v>
      </c>
      <c r="BI194" s="13">
        <v>-466465</v>
      </c>
      <c r="BJ194" s="13">
        <v>450</v>
      </c>
      <c r="BK194" s="33">
        <v>-915176.5</v>
      </c>
    </row>
    <row r="195" spans="1:63" ht="14.25" x14ac:dyDescent="0.2">
      <c r="A195" s="14">
        <v>619</v>
      </c>
      <c r="B195" s="14" t="s">
        <v>466</v>
      </c>
      <c r="C195" s="14">
        <v>2607</v>
      </c>
      <c r="D195" s="14">
        <v>83</v>
      </c>
      <c r="E195" s="14">
        <v>23</v>
      </c>
      <c r="F195" s="14">
        <v>132</v>
      </c>
      <c r="G195" s="14">
        <v>77</v>
      </c>
      <c r="H195" s="14">
        <v>2292</v>
      </c>
      <c r="I195" s="14">
        <v>1236</v>
      </c>
      <c r="K195" s="29">
        <v>67.666666666666671</v>
      </c>
      <c r="L195" s="29">
        <v>1015</v>
      </c>
      <c r="M195" s="14">
        <v>116.33333333333334</v>
      </c>
      <c r="N195" s="11">
        <v>89</v>
      </c>
      <c r="O195" s="11">
        <v>0</v>
      </c>
      <c r="P195" s="11">
        <v>3</v>
      </c>
      <c r="Q195" s="11">
        <v>0</v>
      </c>
      <c r="R195" s="11">
        <v>0</v>
      </c>
      <c r="S195" s="11">
        <v>361.1</v>
      </c>
      <c r="T195" s="14">
        <v>106</v>
      </c>
      <c r="U195" s="14">
        <v>627</v>
      </c>
      <c r="V195" s="330"/>
      <c r="W195" s="11">
        <v>0.47946666666666665</v>
      </c>
      <c r="X195" s="64">
        <v>719</v>
      </c>
      <c r="Y195" s="64">
        <v>934</v>
      </c>
      <c r="Z195" s="331">
        <v>0.7987708992350635</v>
      </c>
      <c r="AA195" s="31">
        <v>0</v>
      </c>
      <c r="AB195" s="11">
        <v>0</v>
      </c>
      <c r="AC195" s="11">
        <v>0</v>
      </c>
      <c r="AE195" s="32">
        <v>-140695.67999999999</v>
      </c>
      <c r="AF195" s="13">
        <v>-53499.850000000006</v>
      </c>
      <c r="AG195" s="13">
        <v>176657.18624702407</v>
      </c>
      <c r="AH195" s="13">
        <v>-60465.818476433029</v>
      </c>
      <c r="AI195" s="13">
        <v>-8942.3590914481683</v>
      </c>
      <c r="AJ195" s="13">
        <v>336617</v>
      </c>
      <c r="AK195" s="13">
        <v>105974</v>
      </c>
      <c r="AL195" s="13">
        <v>275176.42614633241</v>
      </c>
      <c r="AM195" s="13">
        <v>17270.633688822705</v>
      </c>
      <c r="AN195" s="13">
        <v>36750.650098258549</v>
      </c>
      <c r="AO195" s="13">
        <v>126163.3288833969</v>
      </c>
      <c r="AP195" s="13">
        <v>187520.19939022846</v>
      </c>
      <c r="AQ195" s="13">
        <v>296557.11276921572</v>
      </c>
      <c r="AR195" s="13">
        <v>89942.95135549175</v>
      </c>
      <c r="AS195" s="13">
        <v>155477.05861407673</v>
      </c>
      <c r="AT195" s="34"/>
      <c r="AU195" s="13"/>
      <c r="AV195" s="34"/>
      <c r="AW195" s="34"/>
      <c r="AX195" s="34"/>
      <c r="AY195" s="13">
        <v>222713.93433008689</v>
      </c>
      <c r="AZ195" s="13">
        <v>118045.23278182595</v>
      </c>
      <c r="BA195" s="13">
        <v>111342.96420507933</v>
      </c>
      <c r="BB195" s="32">
        <v>773848.59838102816</v>
      </c>
      <c r="BC195" s="33">
        <v>292994.15297621972</v>
      </c>
      <c r="BD195" s="33">
        <v>-77688.600000000006</v>
      </c>
      <c r="BE195" s="33">
        <v>-29771.94</v>
      </c>
      <c r="BF195" s="14"/>
      <c r="BG195" s="14">
        <v>556979.95015914948</v>
      </c>
      <c r="BH195" s="33">
        <v>1692098.0560710218</v>
      </c>
      <c r="BI195" s="13">
        <v>139388</v>
      </c>
      <c r="BJ195" s="13">
        <v>558</v>
      </c>
      <c r="BK195" s="33">
        <v>148495.33749999999</v>
      </c>
    </row>
    <row r="196" spans="1:63" ht="14.25" x14ac:dyDescent="0.2">
      <c r="A196" s="14">
        <v>620</v>
      </c>
      <c r="B196" s="14" t="s">
        <v>467</v>
      </c>
      <c r="C196" s="14">
        <v>2345</v>
      </c>
      <c r="D196" s="14">
        <v>50</v>
      </c>
      <c r="E196" s="14">
        <v>12</v>
      </c>
      <c r="F196" s="14">
        <v>91</v>
      </c>
      <c r="G196" s="14">
        <v>59</v>
      </c>
      <c r="H196" s="14">
        <v>2133</v>
      </c>
      <c r="I196" s="14">
        <v>1057</v>
      </c>
      <c r="K196" s="29">
        <v>160</v>
      </c>
      <c r="L196" s="29">
        <v>854</v>
      </c>
      <c r="M196" s="14">
        <v>226.08333333333331</v>
      </c>
      <c r="N196" s="11">
        <v>84</v>
      </c>
      <c r="O196" s="11">
        <v>0</v>
      </c>
      <c r="P196" s="11">
        <v>5</v>
      </c>
      <c r="Q196" s="11">
        <v>0</v>
      </c>
      <c r="R196" s="11">
        <v>0</v>
      </c>
      <c r="S196" s="11">
        <v>2461.1999999999998</v>
      </c>
      <c r="T196" s="14">
        <v>85</v>
      </c>
      <c r="U196" s="14">
        <v>476</v>
      </c>
      <c r="V196" s="330"/>
      <c r="W196" s="11">
        <v>1.79895</v>
      </c>
      <c r="X196" s="64">
        <v>592</v>
      </c>
      <c r="Y196" s="64">
        <v>666</v>
      </c>
      <c r="Z196" s="331">
        <v>0.99655795038342576</v>
      </c>
      <c r="AA196" s="31">
        <v>0</v>
      </c>
      <c r="AB196" s="11">
        <v>0</v>
      </c>
      <c r="AC196" s="11">
        <v>1</v>
      </c>
      <c r="AE196" s="32">
        <v>-57280.237450000001</v>
      </c>
      <c r="AF196" s="13">
        <v>-47852.11</v>
      </c>
      <c r="AG196" s="13">
        <v>159119.45601182082</v>
      </c>
      <c r="AH196" s="13">
        <v>-83053.916480488377</v>
      </c>
      <c r="AI196" s="13">
        <v>36710.025820982512</v>
      </c>
      <c r="AJ196" s="13">
        <v>322815</v>
      </c>
      <c r="AK196" s="13">
        <v>97700</v>
      </c>
      <c r="AL196" s="13">
        <v>244790.15556027857</v>
      </c>
      <c r="AM196" s="13">
        <v>14632.251434991533</v>
      </c>
      <c r="AN196" s="13">
        <v>24727.255836303801</v>
      </c>
      <c r="AO196" s="13">
        <v>130873.78517567727</v>
      </c>
      <c r="AP196" s="13">
        <v>148340.09179502461</v>
      </c>
      <c r="AQ196" s="13">
        <v>236625.14772444111</v>
      </c>
      <c r="AR196" s="13">
        <v>72430.377757550363</v>
      </c>
      <c r="AS196" s="13">
        <v>137823.41903855279</v>
      </c>
      <c r="AT196" s="34"/>
      <c r="AU196" s="13"/>
      <c r="AV196" s="34"/>
      <c r="AW196" s="34"/>
      <c r="AX196" s="34"/>
      <c r="AY196" s="13">
        <v>182730.18673995262</v>
      </c>
      <c r="AZ196" s="13">
        <v>94781.972079031737</v>
      </c>
      <c r="BA196" s="13">
        <v>87076.799758604495</v>
      </c>
      <c r="BB196" s="32">
        <v>280238.32780430245</v>
      </c>
      <c r="BC196" s="33">
        <v>252465.82271401468</v>
      </c>
      <c r="BD196" s="33">
        <v>-69881</v>
      </c>
      <c r="BE196" s="33">
        <v>-26779.9</v>
      </c>
      <c r="BF196" s="14"/>
      <c r="BG196" s="14">
        <v>447000.17532559007</v>
      </c>
      <c r="BH196" s="33">
        <v>986243.37318809854</v>
      </c>
      <c r="BI196" s="13">
        <v>305419</v>
      </c>
      <c r="BJ196" s="13">
        <v>378</v>
      </c>
      <c r="BK196" s="33">
        <v>-5300.25</v>
      </c>
    </row>
    <row r="197" spans="1:63" ht="14.25" x14ac:dyDescent="0.2">
      <c r="A197" s="14">
        <v>623</v>
      </c>
      <c r="B197" s="14" t="s">
        <v>468</v>
      </c>
      <c r="C197" s="14">
        <v>2101</v>
      </c>
      <c r="D197" s="14">
        <v>56</v>
      </c>
      <c r="E197" s="14">
        <v>6</v>
      </c>
      <c r="F197" s="14">
        <v>48</v>
      </c>
      <c r="G197" s="14">
        <v>34</v>
      </c>
      <c r="H197" s="14">
        <v>1957</v>
      </c>
      <c r="I197" s="14">
        <v>928</v>
      </c>
      <c r="K197" s="29">
        <v>67.916666666666671</v>
      </c>
      <c r="L197" s="29">
        <v>818</v>
      </c>
      <c r="M197" s="14">
        <v>94.25</v>
      </c>
      <c r="N197" s="11">
        <v>72</v>
      </c>
      <c r="O197" s="11">
        <v>0</v>
      </c>
      <c r="P197" s="11">
        <v>6</v>
      </c>
      <c r="Q197" s="11">
        <v>1</v>
      </c>
      <c r="R197" s="11">
        <v>0</v>
      </c>
      <c r="S197" s="11">
        <v>794.12</v>
      </c>
      <c r="T197" s="14">
        <v>66</v>
      </c>
      <c r="U197" s="14">
        <v>443</v>
      </c>
      <c r="V197" s="330"/>
      <c r="W197" s="11">
        <v>1.7429666666666668</v>
      </c>
      <c r="X197" s="64">
        <v>553</v>
      </c>
      <c r="Y197" s="64">
        <v>720</v>
      </c>
      <c r="Z197" s="331">
        <v>0.9385545332057047</v>
      </c>
      <c r="AA197" s="31">
        <v>0</v>
      </c>
      <c r="AB197" s="11">
        <v>0</v>
      </c>
      <c r="AC197" s="11">
        <v>0</v>
      </c>
      <c r="AE197" s="32">
        <v>-52707.65</v>
      </c>
      <c r="AF197" s="13">
        <v>-41051.770000000004</v>
      </c>
      <c r="AG197" s="13">
        <v>62975.021016002516</v>
      </c>
      <c r="AH197" s="13">
        <v>-32229.486544563828</v>
      </c>
      <c r="AI197" s="13">
        <v>5666.6444294256071</v>
      </c>
      <c r="AJ197" s="13">
        <v>306712</v>
      </c>
      <c r="AK197" s="13">
        <v>80932</v>
      </c>
      <c r="AL197" s="13">
        <v>212840.17227451561</v>
      </c>
      <c r="AM197" s="13">
        <v>11757.206041825455</v>
      </c>
      <c r="AN197" s="13">
        <v>28178.923088862364</v>
      </c>
      <c r="AO197" s="13">
        <v>96841.916664258693</v>
      </c>
      <c r="AP197" s="13">
        <v>115917.57965680344</v>
      </c>
      <c r="AQ197" s="13">
        <v>195401.13376254923</v>
      </c>
      <c r="AR197" s="13">
        <v>64132.152054768645</v>
      </c>
      <c r="AS197" s="13">
        <v>103884.00046307367</v>
      </c>
      <c r="AT197" s="34"/>
      <c r="AU197" s="13"/>
      <c r="AV197" s="34"/>
      <c r="AW197" s="34"/>
      <c r="AX197" s="34"/>
      <c r="AY197" s="13">
        <v>147871.35475768524</v>
      </c>
      <c r="AZ197" s="13">
        <v>77000.090780405691</v>
      </c>
      <c r="BA197" s="13">
        <v>74300.180469895029</v>
      </c>
      <c r="BB197" s="32">
        <v>507635.85202716128</v>
      </c>
      <c r="BC197" s="33">
        <v>29567.011706293397</v>
      </c>
      <c r="BD197" s="33">
        <v>-62609.8</v>
      </c>
      <c r="BE197" s="33">
        <v>-23993.42</v>
      </c>
      <c r="BF197" s="14"/>
      <c r="BG197" s="14">
        <v>400468.77063220821</v>
      </c>
      <c r="BH197" s="33">
        <v>-62972.616700989201</v>
      </c>
      <c r="BI197" s="13">
        <v>-505943</v>
      </c>
      <c r="BJ197" s="13">
        <v>277</v>
      </c>
      <c r="BK197" s="33">
        <v>-22119.71</v>
      </c>
    </row>
    <row r="198" spans="1:63" ht="14.25" x14ac:dyDescent="0.2">
      <c r="A198" s="14">
        <v>624</v>
      </c>
      <c r="B198" s="14" t="s">
        <v>469</v>
      </c>
      <c r="C198" s="14">
        <v>5001</v>
      </c>
      <c r="D198" s="14">
        <v>237</v>
      </c>
      <c r="E198" s="14">
        <v>37</v>
      </c>
      <c r="F198" s="14">
        <v>346</v>
      </c>
      <c r="G198" s="14">
        <v>193</v>
      </c>
      <c r="H198" s="14">
        <v>4188</v>
      </c>
      <c r="I198" s="14">
        <v>2661</v>
      </c>
      <c r="K198" s="29">
        <v>235</v>
      </c>
      <c r="L198" s="29">
        <v>2360</v>
      </c>
      <c r="M198" s="14">
        <v>292.08333333333331</v>
      </c>
      <c r="N198" s="11">
        <v>246</v>
      </c>
      <c r="O198" s="11">
        <v>1</v>
      </c>
      <c r="P198" s="11">
        <v>331</v>
      </c>
      <c r="Q198" s="11">
        <v>3</v>
      </c>
      <c r="R198" s="11">
        <v>186</v>
      </c>
      <c r="S198" s="11">
        <v>324.63</v>
      </c>
      <c r="T198" s="14">
        <v>202</v>
      </c>
      <c r="U198" s="14">
        <v>1529</v>
      </c>
      <c r="V198" s="330"/>
      <c r="W198" s="11">
        <v>0</v>
      </c>
      <c r="X198" s="64">
        <v>983</v>
      </c>
      <c r="Y198" s="64">
        <v>2084</v>
      </c>
      <c r="Z198" s="331">
        <v>0.91738400995131075</v>
      </c>
      <c r="AA198" s="31">
        <v>0</v>
      </c>
      <c r="AB198" s="11">
        <v>0</v>
      </c>
      <c r="AC198" s="11">
        <v>0</v>
      </c>
      <c r="AE198" s="32">
        <v>-102564.72749999999</v>
      </c>
      <c r="AF198" s="13">
        <v>-98451.25</v>
      </c>
      <c r="AG198" s="13">
        <v>134712.92813885765</v>
      </c>
      <c r="AH198" s="13">
        <v>-89946.613527218011</v>
      </c>
      <c r="AI198" s="13">
        <v>-591.85199138321332</v>
      </c>
      <c r="AJ198" s="13">
        <v>373776</v>
      </c>
      <c r="AK198" s="13">
        <v>115577</v>
      </c>
      <c r="AL198" s="13">
        <v>235069.57846489979</v>
      </c>
      <c r="AM198" s="13">
        <v>9112.4034369587462</v>
      </c>
      <c r="AN198" s="13">
        <v>-127110.83688082914</v>
      </c>
      <c r="AO198" s="13">
        <v>99430.336952960934</v>
      </c>
      <c r="AP198" s="13">
        <v>228962.00169117263</v>
      </c>
      <c r="AQ198" s="13">
        <v>403407.92759863316</v>
      </c>
      <c r="AR198" s="13">
        <v>117512.97516334013</v>
      </c>
      <c r="AS198" s="13">
        <v>200386.0547264546</v>
      </c>
      <c r="AT198" s="34"/>
      <c r="AU198" s="13"/>
      <c r="AV198" s="34"/>
      <c r="AW198" s="34"/>
      <c r="AX198" s="34"/>
      <c r="AY198" s="13">
        <v>250593.10278812898</v>
      </c>
      <c r="AZ198" s="13">
        <v>148940.87429900857</v>
      </c>
      <c r="BA198" s="13">
        <v>160976.5801636691</v>
      </c>
      <c r="BB198" s="32">
        <v>725888.94401539117</v>
      </c>
      <c r="BC198" s="33">
        <v>630109.32615474646</v>
      </c>
      <c r="BD198" s="33">
        <v>-149029.80000000002</v>
      </c>
      <c r="BE198" s="33">
        <v>-57111.42</v>
      </c>
      <c r="BF198" s="14"/>
      <c r="BG198" s="14">
        <v>372298.91583000572</v>
      </c>
      <c r="BH198" s="33">
        <v>613157.6775982579</v>
      </c>
      <c r="BI198" s="13">
        <v>-797862</v>
      </c>
      <c r="BJ198" s="13">
        <v>1247</v>
      </c>
      <c r="BK198" s="33">
        <v>-236567.82500000001</v>
      </c>
    </row>
    <row r="199" spans="1:63" ht="14.25" x14ac:dyDescent="0.2">
      <c r="A199" s="14">
        <v>625</v>
      </c>
      <c r="B199" s="14" t="s">
        <v>470</v>
      </c>
      <c r="C199" s="14">
        <v>2976</v>
      </c>
      <c r="D199" s="14">
        <v>155</v>
      </c>
      <c r="E199" s="14">
        <v>19</v>
      </c>
      <c r="F199" s="14">
        <v>212</v>
      </c>
      <c r="G199" s="14">
        <v>130</v>
      </c>
      <c r="H199" s="14">
        <v>2460</v>
      </c>
      <c r="I199" s="14">
        <v>1476</v>
      </c>
      <c r="K199" s="29">
        <v>128.25</v>
      </c>
      <c r="L199" s="29">
        <v>1251</v>
      </c>
      <c r="M199" s="14">
        <v>165.25</v>
      </c>
      <c r="N199" s="11">
        <v>127</v>
      </c>
      <c r="O199" s="11">
        <v>0</v>
      </c>
      <c r="P199" s="11">
        <v>6</v>
      </c>
      <c r="Q199" s="11">
        <v>0</v>
      </c>
      <c r="R199" s="11">
        <v>0</v>
      </c>
      <c r="S199" s="11">
        <v>543.6</v>
      </c>
      <c r="T199" s="14">
        <v>116</v>
      </c>
      <c r="U199" s="14">
        <v>831</v>
      </c>
      <c r="V199" s="330"/>
      <c r="W199" s="11">
        <v>0.87180000000000002</v>
      </c>
      <c r="X199" s="64">
        <v>703</v>
      </c>
      <c r="Y199" s="64">
        <v>1070</v>
      </c>
      <c r="Z199" s="331">
        <v>0.91871919631315169</v>
      </c>
      <c r="AA199" s="31">
        <v>0</v>
      </c>
      <c r="AB199" s="11">
        <v>0</v>
      </c>
      <c r="AC199" s="11">
        <v>0</v>
      </c>
      <c r="AE199" s="32">
        <v>-66879.81</v>
      </c>
      <c r="AF199" s="13">
        <v>-58609.71</v>
      </c>
      <c r="AG199" s="13">
        <v>70256.306288046122</v>
      </c>
      <c r="AH199" s="13">
        <v>-82084.167293680526</v>
      </c>
      <c r="AI199" s="13">
        <v>-13955.187625103863</v>
      </c>
      <c r="AJ199" s="13">
        <v>278360</v>
      </c>
      <c r="AK199" s="13">
        <v>90828</v>
      </c>
      <c r="AL199" s="13">
        <v>209003.70193620183</v>
      </c>
      <c r="AM199" s="13">
        <v>9695.6380265799944</v>
      </c>
      <c r="AN199" s="13">
        <v>35066.451506575082</v>
      </c>
      <c r="AO199" s="13">
        <v>103455.7139788927</v>
      </c>
      <c r="AP199" s="13">
        <v>169578.02322362876</v>
      </c>
      <c r="AQ199" s="13">
        <v>253663.12014994805</v>
      </c>
      <c r="AR199" s="13">
        <v>67489.591737845505</v>
      </c>
      <c r="AS199" s="13">
        <v>122279.33884860553</v>
      </c>
      <c r="AT199" s="34"/>
      <c r="AU199" s="13"/>
      <c r="AV199" s="34"/>
      <c r="AW199" s="34"/>
      <c r="AX199" s="34"/>
      <c r="AY199" s="13">
        <v>168297.57116804409</v>
      </c>
      <c r="AZ199" s="13">
        <v>100966.63864636546</v>
      </c>
      <c r="BA199" s="13">
        <v>94686.115404240001</v>
      </c>
      <c r="BB199" s="32">
        <v>866263.96259344369</v>
      </c>
      <c r="BC199" s="33">
        <v>423052.13533208088</v>
      </c>
      <c r="BD199" s="33">
        <v>-88684.800000000003</v>
      </c>
      <c r="BE199" s="33">
        <v>-33985.919999999998</v>
      </c>
      <c r="BF199" s="14"/>
      <c r="BG199" s="14">
        <v>387229.85498629475</v>
      </c>
      <c r="BH199" s="33">
        <v>651986.44212920126</v>
      </c>
      <c r="BI199" s="13">
        <v>364919</v>
      </c>
      <c r="BJ199" s="13">
        <v>821</v>
      </c>
      <c r="BK199" s="33">
        <v>-53002.5</v>
      </c>
    </row>
    <row r="200" spans="1:63" ht="14.25" x14ac:dyDescent="0.2">
      <c r="A200" s="14">
        <v>626</v>
      </c>
      <c r="B200" s="14" t="s">
        <v>471</v>
      </c>
      <c r="C200" s="14">
        <v>4702</v>
      </c>
      <c r="D200" s="14">
        <v>172</v>
      </c>
      <c r="E200" s="14">
        <v>43</v>
      </c>
      <c r="F200" s="14">
        <v>284</v>
      </c>
      <c r="G200" s="14">
        <v>179</v>
      </c>
      <c r="H200" s="14">
        <v>4024</v>
      </c>
      <c r="I200" s="14">
        <v>2132</v>
      </c>
      <c r="K200" s="29">
        <v>225.16666666666666</v>
      </c>
      <c r="L200" s="29">
        <v>1805</v>
      </c>
      <c r="M200" s="14">
        <v>314.08333333333331</v>
      </c>
      <c r="N200" s="11">
        <v>145</v>
      </c>
      <c r="O200" s="11">
        <v>0</v>
      </c>
      <c r="P200" s="11">
        <v>8</v>
      </c>
      <c r="Q200" s="11">
        <v>0</v>
      </c>
      <c r="R200" s="11">
        <v>0</v>
      </c>
      <c r="S200" s="11">
        <v>1310.32</v>
      </c>
      <c r="T200" s="14">
        <v>174</v>
      </c>
      <c r="U200" s="14">
        <v>1082</v>
      </c>
      <c r="V200" s="330"/>
      <c r="W200" s="11">
        <v>1.2624333333333335</v>
      </c>
      <c r="X200" s="64">
        <v>1438</v>
      </c>
      <c r="Y200" s="64">
        <v>1543</v>
      </c>
      <c r="Z200" s="331">
        <v>1.0248260290880506</v>
      </c>
      <c r="AA200" s="31">
        <v>0</v>
      </c>
      <c r="AB200" s="11">
        <v>0</v>
      </c>
      <c r="AC200" s="11">
        <v>0</v>
      </c>
      <c r="AE200" s="32">
        <v>-165569.88500000001</v>
      </c>
      <c r="AF200" s="13">
        <v>-96683.930000000008</v>
      </c>
      <c r="AG200" s="13">
        <v>280330.62720259011</v>
      </c>
      <c r="AH200" s="13">
        <v>-79437.194346789795</v>
      </c>
      <c r="AI200" s="13">
        <v>7131.5054364828684</v>
      </c>
      <c r="AJ200" s="13">
        <v>568854</v>
      </c>
      <c r="AK200" s="13">
        <v>160404</v>
      </c>
      <c r="AL200" s="13">
        <v>347711.14435782126</v>
      </c>
      <c r="AM200" s="13">
        <v>18609.896890713761</v>
      </c>
      <c r="AN200" s="13">
        <v>54407.338960087392</v>
      </c>
      <c r="AO200" s="13">
        <v>220486.06081992874</v>
      </c>
      <c r="AP200" s="13">
        <v>276663.93872109958</v>
      </c>
      <c r="AQ200" s="13">
        <v>449731.40092725924</v>
      </c>
      <c r="AR200" s="13">
        <v>115058.54717717654</v>
      </c>
      <c r="AS200" s="13">
        <v>223906.49939928832</v>
      </c>
      <c r="AT200" s="34"/>
      <c r="AU200" s="13"/>
      <c r="AV200" s="34"/>
      <c r="AW200" s="34"/>
      <c r="AX200" s="34"/>
      <c r="AY200" s="13">
        <v>306356.24364803953</v>
      </c>
      <c r="AZ200" s="13">
        <v>164017.38871118447</v>
      </c>
      <c r="BA200" s="13">
        <v>161082.93069770833</v>
      </c>
      <c r="BB200" s="32">
        <v>-810274.76302125945</v>
      </c>
      <c r="BC200" s="33">
        <v>-512011.65792195394</v>
      </c>
      <c r="BD200" s="33">
        <v>-140119.6</v>
      </c>
      <c r="BE200" s="33">
        <v>-53696.84</v>
      </c>
      <c r="BF200" s="14"/>
      <c r="BG200" s="14">
        <v>665869.60013610101</v>
      </c>
      <c r="BH200" s="33">
        <v>2413971.5936243399</v>
      </c>
      <c r="BI200" s="13">
        <v>-74072</v>
      </c>
      <c r="BJ200" s="13">
        <v>1087</v>
      </c>
      <c r="BK200" s="33">
        <v>-84892.337499999994</v>
      </c>
    </row>
    <row r="201" spans="1:63" ht="14.25" x14ac:dyDescent="0.2">
      <c r="A201" s="14">
        <v>630</v>
      </c>
      <c r="B201" s="14" t="s">
        <v>472</v>
      </c>
      <c r="C201" s="14">
        <v>1641</v>
      </c>
      <c r="D201" s="14">
        <v>136</v>
      </c>
      <c r="E201" s="14">
        <v>19</v>
      </c>
      <c r="F201" s="14">
        <v>137</v>
      </c>
      <c r="G201" s="14">
        <v>77</v>
      </c>
      <c r="H201" s="14">
        <v>1272</v>
      </c>
      <c r="I201" s="14">
        <v>807</v>
      </c>
      <c r="K201" s="29">
        <v>61</v>
      </c>
      <c r="L201" s="29">
        <v>643</v>
      </c>
      <c r="M201" s="14">
        <v>87</v>
      </c>
      <c r="N201" s="11">
        <v>147</v>
      </c>
      <c r="O201" s="11">
        <v>0</v>
      </c>
      <c r="P201" s="11">
        <v>0</v>
      </c>
      <c r="Q201" s="11">
        <v>0</v>
      </c>
      <c r="R201" s="11">
        <v>0</v>
      </c>
      <c r="S201" s="11">
        <v>810.18</v>
      </c>
      <c r="T201" s="14">
        <v>92</v>
      </c>
      <c r="U201" s="14">
        <v>426</v>
      </c>
      <c r="V201" s="330"/>
      <c r="W201" s="11">
        <v>1.6342166666666667</v>
      </c>
      <c r="X201" s="64">
        <v>762</v>
      </c>
      <c r="Y201" s="64">
        <v>565</v>
      </c>
      <c r="Z201" s="331">
        <v>0.97418168628025215</v>
      </c>
      <c r="AA201" s="31">
        <v>0.20475482712222584</v>
      </c>
      <c r="AB201" s="11">
        <v>0</v>
      </c>
      <c r="AC201" s="11">
        <v>0</v>
      </c>
      <c r="AE201" s="32">
        <v>-15786.19</v>
      </c>
      <c r="AF201" s="13">
        <v>-30601.530000000002</v>
      </c>
      <c r="AG201" s="13">
        <v>32217.877101606398</v>
      </c>
      <c r="AH201" s="13">
        <v>-66297.62246125676</v>
      </c>
      <c r="AI201" s="13">
        <v>-1533.0136277756683</v>
      </c>
      <c r="AJ201" s="13">
        <v>142597</v>
      </c>
      <c r="AK201" s="13">
        <v>43369</v>
      </c>
      <c r="AL201" s="13">
        <v>115066.93553217359</v>
      </c>
      <c r="AM201" s="13">
        <v>6926.7245693992936</v>
      </c>
      <c r="AN201" s="13">
        <v>14447.999352274763</v>
      </c>
      <c r="AO201" s="13">
        <v>58673.825378823858</v>
      </c>
      <c r="AP201" s="13">
        <v>84154.459678724073</v>
      </c>
      <c r="AQ201" s="13">
        <v>133597.43870718923</v>
      </c>
      <c r="AR201" s="13">
        <v>38246.733577729887</v>
      </c>
      <c r="AS201" s="13">
        <v>71275.458681500822</v>
      </c>
      <c r="AT201" s="34"/>
      <c r="AU201" s="13"/>
      <c r="AV201" s="34"/>
      <c r="AW201" s="34"/>
      <c r="AX201" s="34"/>
      <c r="AY201" s="13">
        <v>97779.000739567084</v>
      </c>
      <c r="AZ201" s="13">
        <v>56073.092596502313</v>
      </c>
      <c r="BA201" s="13">
        <v>54659.551212099585</v>
      </c>
      <c r="BB201" s="32">
        <v>-212876.4904722666</v>
      </c>
      <c r="BC201" s="33">
        <v>-314998.46195164818</v>
      </c>
      <c r="BD201" s="33">
        <v>-48901.8</v>
      </c>
      <c r="BE201" s="33">
        <v>-18740.22</v>
      </c>
      <c r="BF201" s="14"/>
      <c r="BG201" s="14">
        <v>208964.05253399708</v>
      </c>
      <c r="BH201" s="33">
        <v>753804.04969494406</v>
      </c>
      <c r="BI201" s="13">
        <v>-102723</v>
      </c>
      <c r="BJ201" s="13">
        <v>588</v>
      </c>
      <c r="BK201" s="33">
        <v>258210.51250000001</v>
      </c>
    </row>
    <row r="202" spans="1:63" ht="14.25" x14ac:dyDescent="0.2">
      <c r="A202" s="14">
        <v>631</v>
      </c>
      <c r="B202" s="14" t="s">
        <v>473</v>
      </c>
      <c r="C202" s="14">
        <v>1919</v>
      </c>
      <c r="D202" s="14">
        <v>94</v>
      </c>
      <c r="E202" s="14">
        <v>12</v>
      </c>
      <c r="F202" s="14">
        <v>119</v>
      </c>
      <c r="G202" s="14">
        <v>70</v>
      </c>
      <c r="H202" s="14">
        <v>1624</v>
      </c>
      <c r="I202" s="14">
        <v>987</v>
      </c>
      <c r="K202" s="29">
        <v>67.666666666666671</v>
      </c>
      <c r="L202" s="29">
        <v>900</v>
      </c>
      <c r="M202" s="14">
        <v>90.583333333333343</v>
      </c>
      <c r="N202" s="11">
        <v>64</v>
      </c>
      <c r="O202" s="11">
        <v>0</v>
      </c>
      <c r="P202" s="11">
        <v>10</v>
      </c>
      <c r="Q202" s="11">
        <v>0</v>
      </c>
      <c r="R202" s="11">
        <v>0</v>
      </c>
      <c r="S202" s="11">
        <v>143.66999999999999</v>
      </c>
      <c r="T202" s="14">
        <v>72</v>
      </c>
      <c r="U202" s="14">
        <v>519</v>
      </c>
      <c r="V202" s="330"/>
      <c r="W202" s="11">
        <v>0</v>
      </c>
      <c r="X202" s="64">
        <v>382</v>
      </c>
      <c r="Y202" s="64">
        <v>812</v>
      </c>
      <c r="Z202" s="331">
        <v>0.64464720813844945</v>
      </c>
      <c r="AA202" s="31">
        <v>0</v>
      </c>
      <c r="AB202" s="11">
        <v>0</v>
      </c>
      <c r="AC202" s="11">
        <v>0</v>
      </c>
      <c r="AE202" s="32">
        <v>-29106.74</v>
      </c>
      <c r="AF202" s="13">
        <v>-38304.740000000005</v>
      </c>
      <c r="AG202" s="13">
        <v>80979.601978083418</v>
      </c>
      <c r="AH202" s="13">
        <v>-31455.086557733568</v>
      </c>
      <c r="AI202" s="13">
        <v>5498.2458346722997</v>
      </c>
      <c r="AJ202" s="13">
        <v>166578</v>
      </c>
      <c r="AK202" s="13">
        <v>56438</v>
      </c>
      <c r="AL202" s="13">
        <v>129722.21444774065</v>
      </c>
      <c r="AM202" s="13">
        <v>5761.3464177759088</v>
      </c>
      <c r="AN202" s="13">
        <v>-32797.722960964798</v>
      </c>
      <c r="AO202" s="13">
        <v>53378.442383955633</v>
      </c>
      <c r="AP202" s="13">
        <v>104600.43267838539</v>
      </c>
      <c r="AQ202" s="13">
        <v>186841.64452944396</v>
      </c>
      <c r="AR202" s="13">
        <v>53002.486559640914</v>
      </c>
      <c r="AS202" s="13">
        <v>88648.774104628959</v>
      </c>
      <c r="AT202" s="34"/>
      <c r="AU202" s="13"/>
      <c r="AV202" s="34"/>
      <c r="AW202" s="34"/>
      <c r="AX202" s="34"/>
      <c r="AY202" s="13">
        <v>112294.50293525125</v>
      </c>
      <c r="AZ202" s="13">
        <v>68189.773244786789</v>
      </c>
      <c r="BA202" s="13">
        <v>72752.035498274621</v>
      </c>
      <c r="BB202" s="32">
        <v>142206.73888944913</v>
      </c>
      <c r="BC202" s="33">
        <v>167181.63384707706</v>
      </c>
      <c r="BD202" s="33">
        <v>-57186.200000000004</v>
      </c>
      <c r="BE202" s="33">
        <v>-21914.98</v>
      </c>
      <c r="BF202" s="14"/>
      <c r="BG202" s="14">
        <v>169418.17864947679</v>
      </c>
      <c r="BH202" s="33">
        <v>625336.09549948701</v>
      </c>
      <c r="BI202" s="13">
        <v>-477151</v>
      </c>
      <c r="BJ202" s="13">
        <v>451</v>
      </c>
      <c r="BK202" s="33">
        <v>-980457.91249999998</v>
      </c>
    </row>
    <row r="203" spans="1:63" ht="14.25" x14ac:dyDescent="0.2">
      <c r="A203" s="14">
        <v>635</v>
      </c>
      <c r="B203" s="14" t="s">
        <v>474</v>
      </c>
      <c r="C203" s="14">
        <v>6238</v>
      </c>
      <c r="D203" s="14">
        <v>254</v>
      </c>
      <c r="E203" s="14">
        <v>50</v>
      </c>
      <c r="F203" s="14">
        <v>361</v>
      </c>
      <c r="G203" s="14">
        <v>212</v>
      </c>
      <c r="H203" s="14">
        <v>5361</v>
      </c>
      <c r="I203" s="14">
        <v>3257</v>
      </c>
      <c r="K203" s="29">
        <v>181.33333333333334</v>
      </c>
      <c r="L203" s="29">
        <v>2777</v>
      </c>
      <c r="M203" s="14">
        <v>323.16666666666669</v>
      </c>
      <c r="N203" s="11">
        <v>247</v>
      </c>
      <c r="O203" s="11">
        <v>0</v>
      </c>
      <c r="P203" s="11">
        <v>22</v>
      </c>
      <c r="Q203" s="11">
        <v>0</v>
      </c>
      <c r="R203" s="11">
        <v>0</v>
      </c>
      <c r="S203" s="11">
        <v>560.67999999999995</v>
      </c>
      <c r="T203" s="14">
        <v>256</v>
      </c>
      <c r="U203" s="14">
        <v>1735</v>
      </c>
      <c r="V203" s="330"/>
      <c r="W203" s="11">
        <v>0.39179999999999998</v>
      </c>
      <c r="X203" s="64">
        <v>1735</v>
      </c>
      <c r="Y203" s="64">
        <v>2576</v>
      </c>
      <c r="Z203" s="331">
        <v>0.83894280727212078</v>
      </c>
      <c r="AA203" s="31">
        <v>0</v>
      </c>
      <c r="AB203" s="11">
        <v>0</v>
      </c>
      <c r="AC203" s="11">
        <v>0</v>
      </c>
      <c r="AE203" s="32">
        <v>-170733.4</v>
      </c>
      <c r="AF203" s="13">
        <v>-123232.15000000001</v>
      </c>
      <c r="AG203" s="13">
        <v>308307.01977222238</v>
      </c>
      <c r="AH203" s="13">
        <v>-70728.859000676108</v>
      </c>
      <c r="AI203" s="13">
        <v>-4734.4175199819874</v>
      </c>
      <c r="AJ203" s="13">
        <v>642019</v>
      </c>
      <c r="AK203" s="13">
        <v>195798</v>
      </c>
      <c r="AL203" s="13">
        <v>456431.13350845047</v>
      </c>
      <c r="AM203" s="13">
        <v>18923.518182305219</v>
      </c>
      <c r="AN203" s="13">
        <v>38485.852356147429</v>
      </c>
      <c r="AO203" s="13">
        <v>180396.70705651797</v>
      </c>
      <c r="AP203" s="13">
        <v>367715.8901137397</v>
      </c>
      <c r="AQ203" s="13">
        <v>580818.18193554052</v>
      </c>
      <c r="AR203" s="13">
        <v>180688.9369229741</v>
      </c>
      <c r="AS203" s="13">
        <v>312527.85830413218</v>
      </c>
      <c r="AT203" s="34"/>
      <c r="AU203" s="13"/>
      <c r="AV203" s="34"/>
      <c r="AW203" s="34"/>
      <c r="AX203" s="34"/>
      <c r="AY203" s="13">
        <v>425403.13553182187</v>
      </c>
      <c r="AZ203" s="13">
        <v>247451.07246388606</v>
      </c>
      <c r="BA203" s="13">
        <v>240180.80440330142</v>
      </c>
      <c r="BB203" s="32">
        <v>-114422.80464292956</v>
      </c>
      <c r="BC203" s="33">
        <v>-26826.936136676995</v>
      </c>
      <c r="BD203" s="33">
        <v>-185892.4</v>
      </c>
      <c r="BE203" s="33">
        <v>-71237.960000000006</v>
      </c>
      <c r="BF203" s="14"/>
      <c r="BG203" s="14">
        <v>811284.87532799272</v>
      </c>
      <c r="BH203" s="33">
        <v>2147069.1743951421</v>
      </c>
      <c r="BI203" s="13">
        <v>-403112</v>
      </c>
      <c r="BJ203" s="13">
        <v>1477</v>
      </c>
      <c r="BK203" s="33">
        <v>-305824.42500000005</v>
      </c>
    </row>
    <row r="204" spans="1:63" ht="14.25" x14ac:dyDescent="0.2">
      <c r="A204" s="14">
        <v>636</v>
      </c>
      <c r="B204" s="14" t="s">
        <v>475</v>
      </c>
      <c r="C204" s="14">
        <v>8011</v>
      </c>
      <c r="D204" s="14">
        <v>394</v>
      </c>
      <c r="E204" s="14">
        <v>64</v>
      </c>
      <c r="F204" s="14">
        <v>611</v>
      </c>
      <c r="G204" s="14">
        <v>349</v>
      </c>
      <c r="H204" s="14">
        <v>6593</v>
      </c>
      <c r="I204" s="14">
        <v>4219</v>
      </c>
      <c r="K204" s="29">
        <v>318.25</v>
      </c>
      <c r="L204" s="29">
        <v>3656</v>
      </c>
      <c r="M204" s="14">
        <v>449.58333333333337</v>
      </c>
      <c r="N204" s="11">
        <v>430</v>
      </c>
      <c r="O204" s="11">
        <v>0</v>
      </c>
      <c r="P204" s="11">
        <v>43</v>
      </c>
      <c r="Q204" s="11">
        <v>0</v>
      </c>
      <c r="R204" s="11">
        <v>0</v>
      </c>
      <c r="S204" s="11">
        <v>749.98</v>
      </c>
      <c r="T204" s="14">
        <v>454</v>
      </c>
      <c r="U204" s="14">
        <v>2351</v>
      </c>
      <c r="V204" s="330"/>
      <c r="W204" s="11">
        <v>0</v>
      </c>
      <c r="X204" s="64">
        <v>2382</v>
      </c>
      <c r="Y204" s="64">
        <v>3286</v>
      </c>
      <c r="Z204" s="331">
        <v>0.85908279229112394</v>
      </c>
      <c r="AA204" s="31">
        <v>0</v>
      </c>
      <c r="AB204" s="11">
        <v>0</v>
      </c>
      <c r="AC204" s="11">
        <v>2</v>
      </c>
      <c r="AE204" s="32">
        <v>-272372.67249999999</v>
      </c>
      <c r="AF204" s="13">
        <v>-158079.09</v>
      </c>
      <c r="AG204" s="13">
        <v>157085.41384277394</v>
      </c>
      <c r="AH204" s="13">
        <v>-178870.04371870146</v>
      </c>
      <c r="AI204" s="13">
        <v>46715.085372806876</v>
      </c>
      <c r="AJ204" s="13">
        <v>728276</v>
      </c>
      <c r="AK204" s="13">
        <v>246779</v>
      </c>
      <c r="AL204" s="13">
        <v>568370.51566298259</v>
      </c>
      <c r="AM204" s="13">
        <v>26839.740816751018</v>
      </c>
      <c r="AN204" s="13">
        <v>50553.860423168335</v>
      </c>
      <c r="AO204" s="13">
        <v>235055.66469803228</v>
      </c>
      <c r="AP204" s="13">
        <v>500128.31312373478</v>
      </c>
      <c r="AQ204" s="13">
        <v>790161.82195025135</v>
      </c>
      <c r="AR204" s="13">
        <v>233954.87761570083</v>
      </c>
      <c r="AS204" s="13">
        <v>406319.46533997421</v>
      </c>
      <c r="AT204" s="34"/>
      <c r="AU204" s="13"/>
      <c r="AV204" s="34"/>
      <c r="AW204" s="34"/>
      <c r="AX204" s="34"/>
      <c r="AY204" s="13">
        <v>551237.13645169255</v>
      </c>
      <c r="AZ204" s="13">
        <v>327075.04841978848</v>
      </c>
      <c r="BA204" s="13">
        <v>325564.13382002286</v>
      </c>
      <c r="BB204" s="32">
        <v>736313.75676624791</v>
      </c>
      <c r="BC204" s="33">
        <v>-34464.603317861074</v>
      </c>
      <c r="BD204" s="33">
        <v>-238727.80000000002</v>
      </c>
      <c r="BE204" s="33">
        <v>-91485.62</v>
      </c>
      <c r="BF204" s="14"/>
      <c r="BG204" s="14">
        <v>1252193.9821836967</v>
      </c>
      <c r="BH204" s="33">
        <v>3191617.1325482465</v>
      </c>
      <c r="BI204" s="13">
        <v>-773243</v>
      </c>
      <c r="BJ204" s="13">
        <v>2258</v>
      </c>
      <c r="BK204" s="33">
        <v>703254.83750000002</v>
      </c>
    </row>
    <row r="205" spans="1:63" ht="14.25" x14ac:dyDescent="0.2">
      <c r="A205" s="14">
        <v>678</v>
      </c>
      <c r="B205" s="14" t="s">
        <v>477</v>
      </c>
      <c r="C205" s="14">
        <v>23571</v>
      </c>
      <c r="D205" s="14">
        <v>1093</v>
      </c>
      <c r="E205" s="14">
        <v>217</v>
      </c>
      <c r="F205" s="14">
        <v>1760</v>
      </c>
      <c r="G205" s="14">
        <v>1042</v>
      </c>
      <c r="H205" s="14">
        <v>19459</v>
      </c>
      <c r="I205" s="14">
        <v>12125</v>
      </c>
      <c r="K205" s="29">
        <v>1195.6666666666667</v>
      </c>
      <c r="L205" s="29">
        <v>10020</v>
      </c>
      <c r="M205" s="14">
        <v>1667.25</v>
      </c>
      <c r="N205" s="11">
        <v>1048</v>
      </c>
      <c r="O205" s="11">
        <v>0</v>
      </c>
      <c r="P205" s="11">
        <v>19</v>
      </c>
      <c r="Q205" s="11">
        <v>0</v>
      </c>
      <c r="R205" s="11">
        <v>0</v>
      </c>
      <c r="S205" s="11">
        <v>1013.79</v>
      </c>
      <c r="T205" s="14">
        <v>813</v>
      </c>
      <c r="U205" s="14">
        <v>6715</v>
      </c>
      <c r="V205" s="330"/>
      <c r="W205" s="11">
        <v>0.41796666666666665</v>
      </c>
      <c r="X205" s="64">
        <v>9758</v>
      </c>
      <c r="Y205" s="64">
        <v>8622</v>
      </c>
      <c r="Z205" s="331">
        <v>1.0217831333816629</v>
      </c>
      <c r="AA205" s="31">
        <v>0</v>
      </c>
      <c r="AB205" s="11">
        <v>0</v>
      </c>
      <c r="AC205" s="11">
        <v>1</v>
      </c>
      <c r="AE205" s="32">
        <v>-1042411.5125</v>
      </c>
      <c r="AF205" s="13">
        <v>-467821.13</v>
      </c>
      <c r="AG205" s="13">
        <v>1020494.7637855788</v>
      </c>
      <c r="AH205" s="13">
        <v>-304625.96669927804</v>
      </c>
      <c r="AI205" s="13">
        <v>10096.541783329798</v>
      </c>
      <c r="AJ205" s="13">
        <v>1718173</v>
      </c>
      <c r="AK205" s="13">
        <v>523096</v>
      </c>
      <c r="AL205" s="13">
        <v>1194796.5756121939</v>
      </c>
      <c r="AM205" s="13">
        <v>48400.668529056275</v>
      </c>
      <c r="AN205" s="13">
        <v>88377.661392066453</v>
      </c>
      <c r="AO205" s="13">
        <v>693320.62247581675</v>
      </c>
      <c r="AP205" s="13">
        <v>1030296.7893436988</v>
      </c>
      <c r="AQ205" s="13">
        <v>1749558.4975446665</v>
      </c>
      <c r="AR205" s="13">
        <v>422834.26123831893</v>
      </c>
      <c r="AS205" s="13">
        <v>858606.17456177482</v>
      </c>
      <c r="AT205" s="34"/>
      <c r="AU205" s="13"/>
      <c r="AV205" s="34"/>
      <c r="AW205" s="34"/>
      <c r="AX205" s="34"/>
      <c r="AY205" s="13">
        <v>1286850.0456335321</v>
      </c>
      <c r="AZ205" s="13">
        <v>658927.33528103528</v>
      </c>
      <c r="BA205" s="13">
        <v>660025.13710312743</v>
      </c>
      <c r="BB205" s="32">
        <v>1514748.4909656369</v>
      </c>
      <c r="BC205" s="33">
        <v>-101749.61928757292</v>
      </c>
      <c r="BD205" s="33">
        <v>-702415.8</v>
      </c>
      <c r="BE205" s="33">
        <v>-269180.82</v>
      </c>
      <c r="BF205" s="14"/>
      <c r="BG205" s="14">
        <v>1731828.2143781339</v>
      </c>
      <c r="BH205" s="33">
        <v>-178935.375830729</v>
      </c>
      <c r="BI205" s="13">
        <v>-270085</v>
      </c>
      <c r="BJ205" s="13">
        <v>7130</v>
      </c>
      <c r="BK205" s="33">
        <v>51076.742499999935</v>
      </c>
    </row>
    <row r="206" spans="1:63" ht="14.25" x14ac:dyDescent="0.2">
      <c r="A206" s="14">
        <v>710</v>
      </c>
      <c r="B206" s="14" t="s">
        <v>493</v>
      </c>
      <c r="C206" s="14">
        <v>27036</v>
      </c>
      <c r="D206" s="14">
        <v>1247</v>
      </c>
      <c r="E206" s="14">
        <v>249</v>
      </c>
      <c r="F206" s="14">
        <v>1558</v>
      </c>
      <c r="G206" s="14">
        <v>922</v>
      </c>
      <c r="H206" s="14">
        <v>23060</v>
      </c>
      <c r="I206" s="14">
        <v>14616</v>
      </c>
      <c r="K206" s="29">
        <v>1069.0833333333333</v>
      </c>
      <c r="L206" s="29">
        <v>12656</v>
      </c>
      <c r="M206" s="14">
        <v>1429</v>
      </c>
      <c r="N206" s="11">
        <v>1683</v>
      </c>
      <c r="O206" s="11">
        <v>3</v>
      </c>
      <c r="P206" s="11">
        <v>17143</v>
      </c>
      <c r="Q206" s="11">
        <v>3</v>
      </c>
      <c r="R206" s="11">
        <v>1770</v>
      </c>
      <c r="S206" s="11">
        <v>1152.1400000000001</v>
      </c>
      <c r="T206" s="14">
        <v>1313</v>
      </c>
      <c r="U206" s="14">
        <v>8085</v>
      </c>
      <c r="V206" s="330"/>
      <c r="W206" s="11">
        <v>0</v>
      </c>
      <c r="X206" s="64">
        <v>9703</v>
      </c>
      <c r="Y206" s="64">
        <v>11468</v>
      </c>
      <c r="Z206" s="331">
        <v>0.87949306698748353</v>
      </c>
      <c r="AA206" s="31">
        <v>0</v>
      </c>
      <c r="AB206" s="11">
        <v>0</v>
      </c>
      <c r="AC206" s="11">
        <v>1</v>
      </c>
      <c r="AE206" s="32">
        <v>-1124453.5266</v>
      </c>
      <c r="AF206" s="13">
        <v>-528812.88</v>
      </c>
      <c r="AG206" s="13">
        <v>654281.92265551211</v>
      </c>
      <c r="AH206" s="13">
        <v>-358454.09442700015</v>
      </c>
      <c r="AI206" s="13">
        <v>-62143.01599874231</v>
      </c>
      <c r="AJ206" s="13">
        <v>2274555</v>
      </c>
      <c r="AK206" s="13">
        <v>774472</v>
      </c>
      <c r="AL206" s="13">
        <v>1740977.2657312586</v>
      </c>
      <c r="AM206" s="13">
        <v>55966.148536983434</v>
      </c>
      <c r="AN206" s="13">
        <v>183065.70473621695</v>
      </c>
      <c r="AO206" s="13">
        <v>718511.30992746202</v>
      </c>
      <c r="AP206" s="13">
        <v>1375150.3688940979</v>
      </c>
      <c r="AQ206" s="13">
        <v>2388585.2460968662</v>
      </c>
      <c r="AR206" s="13">
        <v>737475.75146692712</v>
      </c>
      <c r="AS206" s="13">
        <v>1230032.8171418419</v>
      </c>
      <c r="AT206" s="34"/>
      <c r="AU206" s="13"/>
      <c r="AV206" s="34"/>
      <c r="AW206" s="34"/>
      <c r="AX206" s="34"/>
      <c r="AY206" s="13">
        <v>1550371.8240211143</v>
      </c>
      <c r="AZ206" s="13">
        <v>960423.96734376345</v>
      </c>
      <c r="BA206" s="13">
        <v>977767.04491421627</v>
      </c>
      <c r="BB206" s="32">
        <v>-2352267.1041067266</v>
      </c>
      <c r="BC206" s="33">
        <v>-115414.57667372019</v>
      </c>
      <c r="BD206" s="33">
        <v>-805672.8</v>
      </c>
      <c r="BE206" s="33">
        <v>-308751.12</v>
      </c>
      <c r="BF206" s="14"/>
      <c r="BG206" s="14">
        <v>2793639.1779662031</v>
      </c>
      <c r="BH206" s="33">
        <v>6792107.8003036818</v>
      </c>
      <c r="BI206" s="13">
        <v>13034</v>
      </c>
      <c r="BJ206" s="13">
        <v>6859</v>
      </c>
      <c r="BK206" s="33">
        <v>-1351828.7625</v>
      </c>
    </row>
    <row r="207" spans="1:63" ht="14.25" x14ac:dyDescent="0.2">
      <c r="A207" s="14">
        <v>680</v>
      </c>
      <c r="B207" s="14" t="s">
        <v>478</v>
      </c>
      <c r="C207" s="14">
        <v>25738</v>
      </c>
      <c r="D207" s="14">
        <v>1422</v>
      </c>
      <c r="E207" s="14">
        <v>232</v>
      </c>
      <c r="F207" s="14">
        <v>1676</v>
      </c>
      <c r="G207" s="14">
        <v>839</v>
      </c>
      <c r="H207" s="14">
        <v>21569</v>
      </c>
      <c r="I207" s="14">
        <v>14855</v>
      </c>
      <c r="K207" s="29">
        <v>1032.1666666666667</v>
      </c>
      <c r="L207" s="29">
        <v>12271</v>
      </c>
      <c r="M207" s="14">
        <v>1621.5833333333335</v>
      </c>
      <c r="N207" s="11">
        <v>3509</v>
      </c>
      <c r="O207" s="11">
        <v>0</v>
      </c>
      <c r="P207" s="11">
        <v>362</v>
      </c>
      <c r="Q207" s="11">
        <v>0</v>
      </c>
      <c r="R207" s="11">
        <v>0</v>
      </c>
      <c r="S207" s="11">
        <v>48.8</v>
      </c>
      <c r="T207" s="14">
        <v>1587</v>
      </c>
      <c r="U207" s="14">
        <v>8638</v>
      </c>
      <c r="V207" s="330"/>
      <c r="W207" s="11">
        <v>0</v>
      </c>
      <c r="X207" s="64">
        <v>11474</v>
      </c>
      <c r="Y207" s="64">
        <v>11491</v>
      </c>
      <c r="Z207" s="331">
        <v>0.98520735285339878</v>
      </c>
      <c r="AA207" s="31">
        <v>1.2327962602331894</v>
      </c>
      <c r="AB207" s="11">
        <v>0</v>
      </c>
      <c r="AC207" s="11">
        <v>0</v>
      </c>
      <c r="AE207" s="32">
        <v>-1281253.6203000001</v>
      </c>
      <c r="AF207" s="13">
        <v>-468858.47000000003</v>
      </c>
      <c r="AG207" s="13">
        <v>1383232.4838348543</v>
      </c>
      <c r="AH207" s="13">
        <v>-335477.10358698532</v>
      </c>
      <c r="AI207" s="13">
        <v>14315.185005313484</v>
      </c>
      <c r="AJ207" s="13">
        <v>1528954</v>
      </c>
      <c r="AK207" s="13">
        <v>539128</v>
      </c>
      <c r="AL207" s="13">
        <v>1052685.2707331371</v>
      </c>
      <c r="AM207" s="13">
        <v>26314.82731204461</v>
      </c>
      <c r="AN207" s="13">
        <v>-43151.456473502243</v>
      </c>
      <c r="AO207" s="13">
        <v>577164.9349497573</v>
      </c>
      <c r="AP207" s="13">
        <v>1044890.0202465078</v>
      </c>
      <c r="AQ207" s="13">
        <v>1811262.2017673086</v>
      </c>
      <c r="AR207" s="13">
        <v>522894.02766410855</v>
      </c>
      <c r="AS207" s="13">
        <v>949681.4101408351</v>
      </c>
      <c r="AT207" s="34"/>
      <c r="AU207" s="13"/>
      <c r="AV207" s="34"/>
      <c r="AW207" s="34"/>
      <c r="AX207" s="34"/>
      <c r="AY207" s="13">
        <v>1144307.0500356471</v>
      </c>
      <c r="AZ207" s="13">
        <v>773158.65094576834</v>
      </c>
      <c r="BA207" s="13">
        <v>739326.7071502154</v>
      </c>
      <c r="BB207" s="32">
        <v>787177.58923664829</v>
      </c>
      <c r="BC207" s="33">
        <v>-105422.63134094811</v>
      </c>
      <c r="BD207" s="33">
        <v>-766992.4</v>
      </c>
      <c r="BE207" s="33">
        <v>-293927.96000000002</v>
      </c>
      <c r="BF207" s="14"/>
      <c r="BG207" s="14">
        <v>1771507.3555578613</v>
      </c>
      <c r="BH207" s="33">
        <v>1702440.7553708737</v>
      </c>
      <c r="BI207" s="13">
        <v>695593</v>
      </c>
      <c r="BJ207" s="13">
        <v>7132</v>
      </c>
      <c r="BK207" s="33">
        <v>-756416.34499999997</v>
      </c>
    </row>
    <row r="208" spans="1:63" ht="14.25" x14ac:dyDescent="0.2">
      <c r="A208" s="14">
        <v>681</v>
      </c>
      <c r="B208" s="14" t="s">
        <v>479</v>
      </c>
      <c r="C208" s="14">
        <v>3246</v>
      </c>
      <c r="D208" s="14">
        <v>104</v>
      </c>
      <c r="E208" s="14">
        <v>17</v>
      </c>
      <c r="F208" s="14">
        <v>188</v>
      </c>
      <c r="G208" s="14">
        <v>84</v>
      </c>
      <c r="H208" s="14">
        <v>2853</v>
      </c>
      <c r="I208" s="14">
        <v>1565</v>
      </c>
      <c r="K208" s="29">
        <v>135.83333333333334</v>
      </c>
      <c r="L208" s="29">
        <v>1338</v>
      </c>
      <c r="M208" s="14">
        <v>176.08333333333334</v>
      </c>
      <c r="N208" s="11">
        <v>209</v>
      </c>
      <c r="O208" s="11">
        <v>0</v>
      </c>
      <c r="P208" s="11">
        <v>7</v>
      </c>
      <c r="Q208" s="11">
        <v>0</v>
      </c>
      <c r="R208" s="11">
        <v>0</v>
      </c>
      <c r="S208" s="11">
        <v>559.66</v>
      </c>
      <c r="T208" s="14">
        <v>164</v>
      </c>
      <c r="U208" s="14">
        <v>804</v>
      </c>
      <c r="V208" s="330"/>
      <c r="W208" s="11">
        <v>0.93268333333333331</v>
      </c>
      <c r="X208" s="64">
        <v>1052</v>
      </c>
      <c r="Y208" s="64">
        <v>1214</v>
      </c>
      <c r="Z208" s="331">
        <v>0.87200225473181026</v>
      </c>
      <c r="AA208" s="31">
        <v>0</v>
      </c>
      <c r="AB208" s="11">
        <v>0</v>
      </c>
      <c r="AC208" s="11">
        <v>0</v>
      </c>
      <c r="AE208" s="32">
        <v>-139423.07165</v>
      </c>
      <c r="AF208" s="13">
        <v>-64622.44</v>
      </c>
      <c r="AG208" s="13">
        <v>108726.106271461</v>
      </c>
      <c r="AH208" s="13">
        <v>-50985.130048139166</v>
      </c>
      <c r="AI208" s="13">
        <v>14242.448327901482</v>
      </c>
      <c r="AJ208" s="13">
        <v>411804</v>
      </c>
      <c r="AK208" s="13">
        <v>130474</v>
      </c>
      <c r="AL208" s="13">
        <v>344562.18255849381</v>
      </c>
      <c r="AM208" s="13">
        <v>19231.416215970072</v>
      </c>
      <c r="AN208" s="13">
        <v>10822.416604734512</v>
      </c>
      <c r="AO208" s="13">
        <v>149765.78572192296</v>
      </c>
      <c r="AP208" s="13">
        <v>221860.94889061732</v>
      </c>
      <c r="AQ208" s="13">
        <v>352014.0620886088</v>
      </c>
      <c r="AR208" s="13">
        <v>109483.44561055586</v>
      </c>
      <c r="AS208" s="13">
        <v>181810.03428081225</v>
      </c>
      <c r="AT208" s="34"/>
      <c r="AU208" s="13"/>
      <c r="AV208" s="34"/>
      <c r="AW208" s="34"/>
      <c r="AX208" s="34"/>
      <c r="AY208" s="13">
        <v>257046.21336313189</v>
      </c>
      <c r="AZ208" s="13">
        <v>140634.18487005719</v>
      </c>
      <c r="BA208" s="13">
        <v>134081.76422677931</v>
      </c>
      <c r="BB208" s="32">
        <v>335908.79838194582</v>
      </c>
      <c r="BC208" s="33">
        <v>171972.47196929672</v>
      </c>
      <c r="BD208" s="33">
        <v>-96730.8</v>
      </c>
      <c r="BE208" s="33">
        <v>-37069.32</v>
      </c>
      <c r="BF208" s="14"/>
      <c r="BG208" s="14">
        <v>600143.47131473804</v>
      </c>
      <c r="BH208" s="33">
        <v>1365511.6989759188</v>
      </c>
      <c r="BI208" s="13">
        <v>-7956</v>
      </c>
      <c r="BJ208" s="13">
        <v>646</v>
      </c>
      <c r="BK208" s="33">
        <v>33833.262499999997</v>
      </c>
    </row>
    <row r="209" spans="1:63" ht="14.25" x14ac:dyDescent="0.2">
      <c r="A209" s="14">
        <v>683</v>
      </c>
      <c r="B209" s="14" t="s">
        <v>480</v>
      </c>
      <c r="C209" s="14">
        <v>3570</v>
      </c>
      <c r="D209" s="14">
        <v>161</v>
      </c>
      <c r="E209" s="14">
        <v>30</v>
      </c>
      <c r="F209" s="14">
        <v>266</v>
      </c>
      <c r="G209" s="14">
        <v>182</v>
      </c>
      <c r="H209" s="14">
        <v>2931</v>
      </c>
      <c r="I209" s="14">
        <v>1654</v>
      </c>
      <c r="K209" s="29">
        <v>124.16666666666667</v>
      </c>
      <c r="L209" s="29">
        <v>1369</v>
      </c>
      <c r="M209" s="14">
        <v>167.41666666666669</v>
      </c>
      <c r="N209" s="11">
        <v>70</v>
      </c>
      <c r="O209" s="11">
        <v>0</v>
      </c>
      <c r="P209" s="11">
        <v>7</v>
      </c>
      <c r="Q209" s="11">
        <v>0</v>
      </c>
      <c r="R209" s="11">
        <v>0</v>
      </c>
      <c r="S209" s="11">
        <v>3454.14</v>
      </c>
      <c r="T209" s="14">
        <v>136</v>
      </c>
      <c r="U209" s="14">
        <v>798</v>
      </c>
      <c r="V209" s="330"/>
      <c r="W209" s="11">
        <v>1.7670166666666667</v>
      </c>
      <c r="X209" s="64">
        <v>1148</v>
      </c>
      <c r="Y209" s="64">
        <v>1231</v>
      </c>
      <c r="Z209" s="331">
        <v>0.79090120428278099</v>
      </c>
      <c r="AA209" s="31">
        <v>0</v>
      </c>
      <c r="AB209" s="11">
        <v>0</v>
      </c>
      <c r="AC209" s="11">
        <v>0</v>
      </c>
      <c r="AE209" s="32">
        <v>-94482.42</v>
      </c>
      <c r="AF209" s="13">
        <v>-71307.520000000004</v>
      </c>
      <c r="AG209" s="13">
        <v>173173.94264537166</v>
      </c>
      <c r="AH209" s="13">
        <v>-175446.4374848463</v>
      </c>
      <c r="AI209" s="13">
        <v>8335.6048524473445</v>
      </c>
      <c r="AJ209" s="13">
        <v>390442</v>
      </c>
      <c r="AK209" s="13">
        <v>122609</v>
      </c>
      <c r="AL209" s="13">
        <v>347331.21264556574</v>
      </c>
      <c r="AM209" s="13">
        <v>19520.681091053913</v>
      </c>
      <c r="AN209" s="13">
        <v>49288.643283940051</v>
      </c>
      <c r="AO209" s="13">
        <v>162882.72037355308</v>
      </c>
      <c r="AP209" s="13">
        <v>214276.46054791639</v>
      </c>
      <c r="AQ209" s="13">
        <v>320128.62437187933</v>
      </c>
      <c r="AR209" s="13">
        <v>93831.441759775567</v>
      </c>
      <c r="AS209" s="13">
        <v>177882.02778664883</v>
      </c>
      <c r="AT209" s="34"/>
      <c r="AU209" s="13"/>
      <c r="AV209" s="34"/>
      <c r="AW209" s="34"/>
      <c r="AX209" s="34"/>
      <c r="AY209" s="13">
        <v>252353.83534358026</v>
      </c>
      <c r="AZ209" s="13">
        <v>132981.72406705932</v>
      </c>
      <c r="BA209" s="13">
        <v>130011.31562804965</v>
      </c>
      <c r="BB209" s="32">
        <v>-129120.03389231845</v>
      </c>
      <c r="BC209" s="33">
        <v>17474.173488363282</v>
      </c>
      <c r="BD209" s="33">
        <v>-106386</v>
      </c>
      <c r="BE209" s="33">
        <v>-40769.4</v>
      </c>
      <c r="BF209" s="14"/>
      <c r="BG209" s="14">
        <v>563117.334262538</v>
      </c>
      <c r="BH209" s="33">
        <v>2498748.0955703384</v>
      </c>
      <c r="BI209" s="13">
        <v>286024</v>
      </c>
      <c r="BJ209" s="13">
        <v>1024</v>
      </c>
      <c r="BK209" s="33">
        <v>31801.5</v>
      </c>
    </row>
    <row r="210" spans="1:63" ht="14.25" x14ac:dyDescent="0.2">
      <c r="A210" s="14">
        <v>684</v>
      </c>
      <c r="B210" s="14" t="s">
        <v>481</v>
      </c>
      <c r="C210" s="14">
        <v>38968</v>
      </c>
      <c r="D210" s="14">
        <v>1717</v>
      </c>
      <c r="E210" s="14">
        <v>285</v>
      </c>
      <c r="F210" s="14">
        <v>2280</v>
      </c>
      <c r="G210" s="14">
        <v>1303</v>
      </c>
      <c r="H210" s="14">
        <v>33383</v>
      </c>
      <c r="I210" s="14">
        <v>21933</v>
      </c>
      <c r="K210" s="29">
        <v>1658.5</v>
      </c>
      <c r="L210" s="29">
        <v>18013</v>
      </c>
      <c r="M210" s="14">
        <v>2317.9166666666665</v>
      </c>
      <c r="N210" s="11">
        <v>3681</v>
      </c>
      <c r="O210" s="11">
        <v>0</v>
      </c>
      <c r="P210" s="11">
        <v>118</v>
      </c>
      <c r="Q210" s="11">
        <v>0</v>
      </c>
      <c r="R210" s="11">
        <v>0</v>
      </c>
      <c r="S210" s="11">
        <v>496.3</v>
      </c>
      <c r="T210" s="14">
        <v>2198</v>
      </c>
      <c r="U210" s="14">
        <v>11887</v>
      </c>
      <c r="V210" s="330"/>
      <c r="W210" s="11">
        <v>0</v>
      </c>
      <c r="X210" s="64">
        <v>16734</v>
      </c>
      <c r="Y210" s="64">
        <v>16406</v>
      </c>
      <c r="Z210" s="331">
        <v>1.0076898601710089</v>
      </c>
      <c r="AA210" s="31">
        <v>9.147061906999987E-3</v>
      </c>
      <c r="AB210" s="11">
        <v>0</v>
      </c>
      <c r="AC210" s="11">
        <v>0</v>
      </c>
      <c r="AE210" s="32">
        <v>-1357700.6473000001</v>
      </c>
      <c r="AF210" s="13">
        <v>-749958.4</v>
      </c>
      <c r="AG210" s="13">
        <v>1868985.3069247869</v>
      </c>
      <c r="AH210" s="13">
        <v>-220217.82987311538</v>
      </c>
      <c r="AI210" s="13">
        <v>-44803.17710296018</v>
      </c>
      <c r="AJ210" s="13">
        <v>2791678</v>
      </c>
      <c r="AK210" s="13">
        <v>1004850</v>
      </c>
      <c r="AL210" s="13">
        <v>2239849.1841518381</v>
      </c>
      <c r="AM210" s="13">
        <v>98973.149852400791</v>
      </c>
      <c r="AN210" s="13">
        <v>-246556.05155528249</v>
      </c>
      <c r="AO210" s="13">
        <v>955269.06142467621</v>
      </c>
      <c r="AP210" s="13">
        <v>1905271.7645717259</v>
      </c>
      <c r="AQ210" s="13">
        <v>3014864.1932441685</v>
      </c>
      <c r="AR210" s="13">
        <v>1134287.8098450401</v>
      </c>
      <c r="AS210" s="13">
        <v>1813915.2562913159</v>
      </c>
      <c r="AT210" s="34"/>
      <c r="AU210" s="13"/>
      <c r="AV210" s="34"/>
      <c r="AW210" s="34"/>
      <c r="AX210" s="34"/>
      <c r="AY210" s="13">
        <v>4724703.5573128043</v>
      </c>
      <c r="AZ210" s="13">
        <v>1332597.995242775</v>
      </c>
      <c r="BA210" s="13">
        <v>1467006.6618778487</v>
      </c>
      <c r="BB210" s="32">
        <v>-324383.78114465909</v>
      </c>
      <c r="BC210" s="33">
        <v>-163434.24288591294</v>
      </c>
      <c r="BD210" s="33">
        <v>-1161246.4000000001</v>
      </c>
      <c r="BE210" s="33">
        <v>-445014.56</v>
      </c>
      <c r="BF210" s="14"/>
      <c r="BG210" s="14">
        <v>4746278.311746805</v>
      </c>
      <c r="BH210" s="33">
        <v>-475787.80173418467</v>
      </c>
      <c r="BI210" s="13">
        <v>-68721</v>
      </c>
      <c r="BJ210" s="13">
        <v>10912</v>
      </c>
      <c r="BK210" s="33">
        <v>-3071265.1974999998</v>
      </c>
    </row>
    <row r="211" spans="1:63" ht="14.25" x14ac:dyDescent="0.2">
      <c r="A211" s="14">
        <v>686</v>
      </c>
      <c r="B211" s="14" t="s">
        <v>482</v>
      </c>
      <c r="C211" s="14">
        <v>2935</v>
      </c>
      <c r="D211" s="14">
        <v>80</v>
      </c>
      <c r="E211" s="14">
        <v>18</v>
      </c>
      <c r="F211" s="14">
        <v>155</v>
      </c>
      <c r="G211" s="14">
        <v>89</v>
      </c>
      <c r="H211" s="14">
        <v>2593</v>
      </c>
      <c r="I211" s="14">
        <v>1425</v>
      </c>
      <c r="K211" s="29">
        <v>118.83333333333333</v>
      </c>
      <c r="L211" s="29">
        <v>1152</v>
      </c>
      <c r="M211" s="14">
        <v>162.41666666666666</v>
      </c>
      <c r="N211" s="11">
        <v>123</v>
      </c>
      <c r="O211" s="11">
        <v>0</v>
      </c>
      <c r="P211" s="11">
        <v>4</v>
      </c>
      <c r="Q211" s="11">
        <v>0</v>
      </c>
      <c r="R211" s="11">
        <v>0</v>
      </c>
      <c r="S211" s="11">
        <v>538.95000000000005</v>
      </c>
      <c r="T211" s="14">
        <v>95</v>
      </c>
      <c r="U211" s="14">
        <v>714</v>
      </c>
      <c r="V211" s="330"/>
      <c r="W211" s="11">
        <v>1.22455</v>
      </c>
      <c r="X211" s="64">
        <v>833</v>
      </c>
      <c r="Y211" s="64">
        <v>1017</v>
      </c>
      <c r="Z211" s="331">
        <v>0.8501311514970189</v>
      </c>
      <c r="AA211" s="31">
        <v>0</v>
      </c>
      <c r="AB211" s="11">
        <v>0</v>
      </c>
      <c r="AC211" s="11">
        <v>0</v>
      </c>
      <c r="AE211" s="32">
        <v>-135575.57764999999</v>
      </c>
      <c r="AF211" s="13">
        <v>-58648.130000000005</v>
      </c>
      <c r="AG211" s="13">
        <v>78236.526261392122</v>
      </c>
      <c r="AH211" s="13">
        <v>-34072.536921189741</v>
      </c>
      <c r="AI211" s="13">
        <v>17727.95886431064</v>
      </c>
      <c r="AJ211" s="13">
        <v>362670</v>
      </c>
      <c r="AK211" s="13">
        <v>102000</v>
      </c>
      <c r="AL211" s="13">
        <v>267642.68335153849</v>
      </c>
      <c r="AM211" s="13">
        <v>13261.625876543416</v>
      </c>
      <c r="AN211" s="13">
        <v>41439.795470267258</v>
      </c>
      <c r="AO211" s="13">
        <v>141735.98122573993</v>
      </c>
      <c r="AP211" s="13">
        <v>170023.73389113502</v>
      </c>
      <c r="AQ211" s="13">
        <v>295831.91594265332</v>
      </c>
      <c r="AR211" s="13">
        <v>79431.954369478073</v>
      </c>
      <c r="AS211" s="13">
        <v>154362.25998894344</v>
      </c>
      <c r="AT211" s="34"/>
      <c r="AU211" s="13"/>
      <c r="AV211" s="34"/>
      <c r="AW211" s="34"/>
      <c r="AX211" s="34"/>
      <c r="AY211" s="13">
        <v>220006.05179252618</v>
      </c>
      <c r="AZ211" s="13">
        <v>116377.74932455209</v>
      </c>
      <c r="BA211" s="13">
        <v>102056.74823110791</v>
      </c>
      <c r="BB211" s="32">
        <v>-180845.56850963301</v>
      </c>
      <c r="BC211" s="33">
        <v>-148885.25143689683</v>
      </c>
      <c r="BD211" s="33">
        <v>-87463</v>
      </c>
      <c r="BE211" s="33">
        <v>-33517.699999999997</v>
      </c>
      <c r="BF211" s="14"/>
      <c r="BG211" s="14">
        <v>465190.56219729589</v>
      </c>
      <c r="BH211" s="33">
        <v>1481549.7436150773</v>
      </c>
      <c r="BI211" s="13">
        <v>727719</v>
      </c>
      <c r="BJ211" s="13">
        <v>629</v>
      </c>
      <c r="BK211" s="33">
        <v>-21201</v>
      </c>
    </row>
    <row r="212" spans="1:63" ht="14.25" x14ac:dyDescent="0.2">
      <c r="A212" s="14">
        <v>687</v>
      </c>
      <c r="B212" s="14" t="s">
        <v>483</v>
      </c>
      <c r="C212" s="14">
        <v>1413</v>
      </c>
      <c r="D212" s="14">
        <v>35</v>
      </c>
      <c r="E212" s="14">
        <v>7</v>
      </c>
      <c r="F212" s="14">
        <v>53</v>
      </c>
      <c r="G212" s="14">
        <v>37</v>
      </c>
      <c r="H212" s="14">
        <v>1281</v>
      </c>
      <c r="I212" s="14">
        <v>643</v>
      </c>
      <c r="K212" s="29">
        <v>61.333333333333336</v>
      </c>
      <c r="L212" s="29">
        <v>517</v>
      </c>
      <c r="M212" s="14">
        <v>78.666666666666671</v>
      </c>
      <c r="N212" s="11">
        <v>35</v>
      </c>
      <c r="O212" s="11">
        <v>0</v>
      </c>
      <c r="P212" s="11">
        <v>0</v>
      </c>
      <c r="Q212" s="11">
        <v>0</v>
      </c>
      <c r="R212" s="11">
        <v>0</v>
      </c>
      <c r="S212" s="11">
        <v>1150.81</v>
      </c>
      <c r="T212" s="14">
        <v>57</v>
      </c>
      <c r="U212" s="14">
        <v>299</v>
      </c>
      <c r="V212" s="330"/>
      <c r="W212" s="11">
        <v>1.7679666666666667</v>
      </c>
      <c r="X212" s="64">
        <v>392</v>
      </c>
      <c r="Y212" s="64">
        <v>432</v>
      </c>
      <c r="Z212" s="331">
        <v>0.99101403417114198</v>
      </c>
      <c r="AA212" s="31">
        <v>0</v>
      </c>
      <c r="AB212" s="11">
        <v>0</v>
      </c>
      <c r="AC212" s="11">
        <v>0</v>
      </c>
      <c r="AE212" s="32">
        <v>-53906.577499999999</v>
      </c>
      <c r="AF212" s="13">
        <v>-29986.81</v>
      </c>
      <c r="AG212" s="13">
        <v>94628.493958858409</v>
      </c>
      <c r="AH212" s="13">
        <v>-30485.405841207907</v>
      </c>
      <c r="AI212" s="13">
        <v>1943.1259268107569</v>
      </c>
      <c r="AJ212" s="13">
        <v>218394</v>
      </c>
      <c r="AK212" s="13">
        <v>59737</v>
      </c>
      <c r="AL212" s="13">
        <v>173456.83602170279</v>
      </c>
      <c r="AM212" s="13">
        <v>9949.9820201028579</v>
      </c>
      <c r="AN212" s="13">
        <v>29351.961617280187</v>
      </c>
      <c r="AO212" s="13">
        <v>82980.829580676524</v>
      </c>
      <c r="AP212" s="13">
        <v>94923.594795330529</v>
      </c>
      <c r="AQ212" s="13">
        <v>146572.19571545711</v>
      </c>
      <c r="AR212" s="13">
        <v>46860.109769195558</v>
      </c>
      <c r="AS212" s="13">
        <v>87182.780620565492</v>
      </c>
      <c r="AT212" s="34"/>
      <c r="AU212" s="13"/>
      <c r="AV212" s="34"/>
      <c r="AW212" s="34"/>
      <c r="AX212" s="34"/>
      <c r="AY212" s="13">
        <v>125192.00739380659</v>
      </c>
      <c r="AZ212" s="13">
        <v>63840.055087677341</v>
      </c>
      <c r="BA212" s="13">
        <v>54911.180268248041</v>
      </c>
      <c r="BB212" s="32">
        <v>81211.573948834237</v>
      </c>
      <c r="BC212" s="33">
        <v>-50174.821617113463</v>
      </c>
      <c r="BD212" s="33">
        <v>-42107.4</v>
      </c>
      <c r="BE212" s="33">
        <v>-16136.46</v>
      </c>
      <c r="BF212" s="14"/>
      <c r="BG212" s="14">
        <v>291236.62681755499</v>
      </c>
      <c r="BH212" s="33">
        <v>371377.33091722662</v>
      </c>
      <c r="BI212" s="13">
        <v>308145</v>
      </c>
      <c r="BJ212" s="13">
        <v>229</v>
      </c>
      <c r="BK212" s="33">
        <v>160862.58749999999</v>
      </c>
    </row>
    <row r="213" spans="1:63" ht="14.25" x14ac:dyDescent="0.2">
      <c r="A213" s="14">
        <v>689</v>
      </c>
      <c r="B213" s="14" t="s">
        <v>484</v>
      </c>
      <c r="C213" s="14">
        <v>3008</v>
      </c>
      <c r="D213" s="14">
        <v>78</v>
      </c>
      <c r="E213" s="14">
        <v>23</v>
      </c>
      <c r="F213" s="14">
        <v>124</v>
      </c>
      <c r="G213" s="14">
        <v>72</v>
      </c>
      <c r="H213" s="14">
        <v>2711</v>
      </c>
      <c r="I213" s="14">
        <v>1396</v>
      </c>
      <c r="K213" s="29">
        <v>162</v>
      </c>
      <c r="L213" s="29">
        <v>1131</v>
      </c>
      <c r="M213" s="14">
        <v>228</v>
      </c>
      <c r="N213" s="11">
        <v>182</v>
      </c>
      <c r="O213" s="11">
        <v>0</v>
      </c>
      <c r="P213" s="11">
        <v>6</v>
      </c>
      <c r="Q213" s="11">
        <v>0</v>
      </c>
      <c r="R213" s="11">
        <v>0</v>
      </c>
      <c r="S213" s="11">
        <v>351.48</v>
      </c>
      <c r="T213" s="14">
        <v>112</v>
      </c>
      <c r="U213" s="14">
        <v>655</v>
      </c>
      <c r="V213" s="330"/>
      <c r="W213" s="11">
        <v>1.0862000000000001</v>
      </c>
      <c r="X213" s="64">
        <v>795</v>
      </c>
      <c r="Y213" s="64">
        <v>910</v>
      </c>
      <c r="Z213" s="331">
        <v>0.95635270374183656</v>
      </c>
      <c r="AA213" s="31">
        <v>0</v>
      </c>
      <c r="AB213" s="11">
        <v>0</v>
      </c>
      <c r="AC213" s="11">
        <v>0</v>
      </c>
      <c r="AE213" s="32">
        <v>-115370.50335</v>
      </c>
      <c r="AF213" s="13">
        <v>-60434.66</v>
      </c>
      <c r="AG213" s="13">
        <v>185085.57098897052</v>
      </c>
      <c r="AH213" s="13">
        <v>-61087.695945119449</v>
      </c>
      <c r="AI213" s="13">
        <v>23730.956558513804</v>
      </c>
      <c r="AJ213" s="13">
        <v>325681</v>
      </c>
      <c r="AK213" s="13">
        <v>97347</v>
      </c>
      <c r="AL213" s="13">
        <v>241802.75114383121</v>
      </c>
      <c r="AM213" s="13">
        <v>12693.207108820638</v>
      </c>
      <c r="AN213" s="13">
        <v>48835.586890509971</v>
      </c>
      <c r="AO213" s="13">
        <v>132015.90703346976</v>
      </c>
      <c r="AP213" s="13">
        <v>166885.05560943205</v>
      </c>
      <c r="AQ213" s="13">
        <v>280292.94047990604</v>
      </c>
      <c r="AR213" s="13">
        <v>76194.953267757854</v>
      </c>
      <c r="AS213" s="13">
        <v>135895.78831440024</v>
      </c>
      <c r="AT213" s="34"/>
      <c r="AU213" s="13"/>
      <c r="AV213" s="34"/>
      <c r="AW213" s="34"/>
      <c r="AX213" s="34"/>
      <c r="AY213" s="13">
        <v>172840.80402792315</v>
      </c>
      <c r="AZ213" s="13">
        <v>95853.891097220112</v>
      </c>
      <c r="BA213" s="13">
        <v>94841.408288988328</v>
      </c>
      <c r="BB213" s="32">
        <v>1376801.1554838896</v>
      </c>
      <c r="BC213" s="33">
        <v>788060.09474489884</v>
      </c>
      <c r="BD213" s="33">
        <v>-89638.400000000009</v>
      </c>
      <c r="BE213" s="33">
        <v>-34351.360000000001</v>
      </c>
      <c r="BF213" s="14"/>
      <c r="BG213" s="14">
        <v>424517.53333874233</v>
      </c>
      <c r="BH213" s="33">
        <v>613102.77882654278</v>
      </c>
      <c r="BI213" s="13">
        <v>32441</v>
      </c>
      <c r="BJ213" s="13">
        <v>531</v>
      </c>
      <c r="BK213" s="33">
        <v>-17579.162499999999</v>
      </c>
    </row>
    <row r="214" spans="1:63" ht="14.25" x14ac:dyDescent="0.2">
      <c r="A214" s="14">
        <v>691</v>
      </c>
      <c r="B214" s="14" t="s">
        <v>485</v>
      </c>
      <c r="C214" s="14">
        <v>2556</v>
      </c>
      <c r="D214" s="14">
        <v>154</v>
      </c>
      <c r="E214" s="14">
        <v>36</v>
      </c>
      <c r="F214" s="14">
        <v>208</v>
      </c>
      <c r="G214" s="14">
        <v>103</v>
      </c>
      <c r="H214" s="14">
        <v>2055</v>
      </c>
      <c r="I214" s="14">
        <v>1215</v>
      </c>
      <c r="K214" s="29">
        <v>65.333333333333329</v>
      </c>
      <c r="L214" s="29">
        <v>1064</v>
      </c>
      <c r="M214" s="14">
        <v>94.833333333333329</v>
      </c>
      <c r="N214" s="11">
        <v>14</v>
      </c>
      <c r="O214" s="11">
        <v>0</v>
      </c>
      <c r="P214" s="11">
        <v>1</v>
      </c>
      <c r="Q214" s="11">
        <v>0</v>
      </c>
      <c r="R214" s="11">
        <v>0</v>
      </c>
      <c r="S214" s="11">
        <v>473.7</v>
      </c>
      <c r="T214" s="14">
        <v>88</v>
      </c>
      <c r="U214" s="14">
        <v>621</v>
      </c>
      <c r="V214" s="330"/>
      <c r="W214" s="11">
        <v>1.246</v>
      </c>
      <c r="X214" s="64">
        <v>873</v>
      </c>
      <c r="Y214" s="64">
        <v>974</v>
      </c>
      <c r="Z214" s="331">
        <v>1.084321834598879</v>
      </c>
      <c r="AA214" s="31">
        <v>0</v>
      </c>
      <c r="AB214" s="11">
        <v>0</v>
      </c>
      <c r="AC214" s="11">
        <v>0</v>
      </c>
      <c r="AE214" s="32">
        <v>-44623.294999999998</v>
      </c>
      <c r="AF214" s="13">
        <v>-52059.100000000006</v>
      </c>
      <c r="AG214" s="13">
        <v>92489.491500817981</v>
      </c>
      <c r="AH214" s="13">
        <v>-91204.932608053772</v>
      </c>
      <c r="AI214" s="13">
        <v>-4738.1078795419453</v>
      </c>
      <c r="AJ214" s="13">
        <v>279753</v>
      </c>
      <c r="AK214" s="13">
        <v>82585</v>
      </c>
      <c r="AL214" s="13">
        <v>234894.54925491245</v>
      </c>
      <c r="AM214" s="13">
        <v>11397.254284469251</v>
      </c>
      <c r="AN214" s="13">
        <v>43223.195023402732</v>
      </c>
      <c r="AO214" s="13">
        <v>116300.28153997274</v>
      </c>
      <c r="AP214" s="13">
        <v>159182.77197731164</v>
      </c>
      <c r="AQ214" s="13">
        <v>290154.13399775798</v>
      </c>
      <c r="AR214" s="13">
        <v>74547.255121681243</v>
      </c>
      <c r="AS214" s="13">
        <v>137589.4888417758</v>
      </c>
      <c r="AT214" s="34"/>
      <c r="AU214" s="13"/>
      <c r="AV214" s="34"/>
      <c r="AW214" s="34"/>
      <c r="AX214" s="34"/>
      <c r="AY214" s="13">
        <v>194956.26325318945</v>
      </c>
      <c r="AZ214" s="13">
        <v>99726.181667758181</v>
      </c>
      <c r="BA214" s="13">
        <v>101532.57298890543</v>
      </c>
      <c r="BB214" s="32">
        <v>540346.54838544631</v>
      </c>
      <c r="BC214" s="33">
        <v>-11141.610785612189</v>
      </c>
      <c r="BD214" s="33">
        <v>-76168.800000000003</v>
      </c>
      <c r="BE214" s="33">
        <v>-29189.52</v>
      </c>
      <c r="BF214" s="14"/>
      <c r="BG214" s="14">
        <v>448285.36578267679</v>
      </c>
      <c r="BH214" s="33">
        <v>1722475.2976628437</v>
      </c>
      <c r="BI214" s="13">
        <v>88157</v>
      </c>
      <c r="BJ214" s="13">
        <v>788</v>
      </c>
      <c r="BK214" s="33">
        <v>22967.75</v>
      </c>
    </row>
    <row r="215" spans="1:63" ht="14.25" x14ac:dyDescent="0.2">
      <c r="A215" s="14">
        <v>694</v>
      </c>
      <c r="B215" s="14" t="s">
        <v>486</v>
      </c>
      <c r="C215" s="14">
        <v>28643</v>
      </c>
      <c r="D215" s="14">
        <v>1189</v>
      </c>
      <c r="E215" s="14">
        <v>257</v>
      </c>
      <c r="F215" s="14">
        <v>1775</v>
      </c>
      <c r="G215" s="14">
        <v>1091</v>
      </c>
      <c r="H215" s="14">
        <v>24331</v>
      </c>
      <c r="I215" s="14">
        <v>16480</v>
      </c>
      <c r="K215" s="29">
        <v>1460.3333333333333</v>
      </c>
      <c r="L215" s="29">
        <v>13498</v>
      </c>
      <c r="M215" s="14">
        <v>2118.583333333333</v>
      </c>
      <c r="N215" s="11">
        <v>2330</v>
      </c>
      <c r="O215" s="11">
        <v>0</v>
      </c>
      <c r="P215" s="11">
        <v>122</v>
      </c>
      <c r="Q215" s="11">
        <v>0</v>
      </c>
      <c r="R215" s="11">
        <v>0</v>
      </c>
      <c r="S215" s="11">
        <v>121.01</v>
      </c>
      <c r="T215" s="14">
        <v>1449</v>
      </c>
      <c r="U215" s="14">
        <v>8936</v>
      </c>
      <c r="V215" s="330"/>
      <c r="W215" s="11">
        <v>0</v>
      </c>
      <c r="X215" s="64">
        <v>11940</v>
      </c>
      <c r="Y215" s="64">
        <v>12231</v>
      </c>
      <c r="Z215" s="331">
        <v>0.93467070795856411</v>
      </c>
      <c r="AA215" s="31">
        <v>0.14378466152188038</v>
      </c>
      <c r="AB215" s="11">
        <v>0</v>
      </c>
      <c r="AC215" s="11">
        <v>0</v>
      </c>
      <c r="AE215" s="32">
        <v>-2092151.6306</v>
      </c>
      <c r="AF215" s="13">
        <v>-551519.1</v>
      </c>
      <c r="AG215" s="13">
        <v>1812118.1243834731</v>
      </c>
      <c r="AH215" s="13">
        <v>-168316.65168159822</v>
      </c>
      <c r="AI215" s="13">
        <v>-82321.146952319075</v>
      </c>
      <c r="AJ215" s="13">
        <v>1862094</v>
      </c>
      <c r="AK215" s="13">
        <v>644858</v>
      </c>
      <c r="AL215" s="13">
        <v>1377691.1378719537</v>
      </c>
      <c r="AM215" s="13">
        <v>37343.723898934812</v>
      </c>
      <c r="AN215" s="13">
        <v>125027.78905120381</v>
      </c>
      <c r="AO215" s="13">
        <v>564070.10810071311</v>
      </c>
      <c r="AP215" s="13">
        <v>1348464.5471801157</v>
      </c>
      <c r="AQ215" s="13">
        <v>2106124.3002889347</v>
      </c>
      <c r="AR215" s="13">
        <v>643405.0512731222</v>
      </c>
      <c r="AS215" s="13">
        <v>1110852.129278579</v>
      </c>
      <c r="AT215" s="34"/>
      <c r="AU215" s="13"/>
      <c r="AV215" s="34"/>
      <c r="AW215" s="34"/>
      <c r="AX215" s="34"/>
      <c r="AY215" s="13">
        <v>1349792.11827776</v>
      </c>
      <c r="AZ215" s="13">
        <v>893173.18058569345</v>
      </c>
      <c r="BA215" s="13">
        <v>910086.0976110351</v>
      </c>
      <c r="BB215" s="32">
        <v>-1473514.3347520274</v>
      </c>
      <c r="BC215" s="33">
        <v>-119823.03648001516</v>
      </c>
      <c r="BD215" s="33">
        <v>-853561.4</v>
      </c>
      <c r="BE215" s="33">
        <v>-327103.06</v>
      </c>
      <c r="BF215" s="14"/>
      <c r="BG215" s="14">
        <v>2350562.7507692478</v>
      </c>
      <c r="BH215" s="33">
        <v>-96011.626126176023</v>
      </c>
      <c r="BI215" s="13">
        <v>1832447</v>
      </c>
      <c r="BJ215" s="13">
        <v>8404</v>
      </c>
      <c r="BK215" s="33">
        <v>137241.14000000013</v>
      </c>
    </row>
    <row r="216" spans="1:63" ht="14.25" x14ac:dyDescent="0.2">
      <c r="A216" s="14">
        <v>697</v>
      </c>
      <c r="B216" s="14" t="s">
        <v>487</v>
      </c>
      <c r="C216" s="14">
        <v>1163</v>
      </c>
      <c r="D216" s="14">
        <v>34</v>
      </c>
      <c r="E216" s="14">
        <v>6</v>
      </c>
      <c r="F216" s="14">
        <v>63</v>
      </c>
      <c r="G216" s="14">
        <v>28</v>
      </c>
      <c r="H216" s="14">
        <v>1032</v>
      </c>
      <c r="I216" s="14">
        <v>516</v>
      </c>
      <c r="K216" s="29">
        <v>47.333333333333336</v>
      </c>
      <c r="L216" s="29">
        <v>465</v>
      </c>
      <c r="M216" s="14">
        <v>76.166666666666671</v>
      </c>
      <c r="N216" s="11">
        <v>43</v>
      </c>
      <c r="O216" s="11">
        <v>0</v>
      </c>
      <c r="P216" s="11">
        <v>0</v>
      </c>
      <c r="Q216" s="11">
        <v>0</v>
      </c>
      <c r="R216" s="11">
        <v>0</v>
      </c>
      <c r="S216" s="11">
        <v>835.9</v>
      </c>
      <c r="T216" s="14">
        <v>27</v>
      </c>
      <c r="U216" s="14">
        <v>244</v>
      </c>
      <c r="V216" s="330"/>
      <c r="W216" s="11">
        <v>1.0741833333333333</v>
      </c>
      <c r="X216" s="64">
        <v>275</v>
      </c>
      <c r="Y216" s="64">
        <v>394</v>
      </c>
      <c r="Z216" s="331">
        <v>0.97006437462953599</v>
      </c>
      <c r="AA216" s="31">
        <v>0</v>
      </c>
      <c r="AB216" s="11">
        <v>0</v>
      </c>
      <c r="AC216" s="11">
        <v>0</v>
      </c>
      <c r="AE216" s="32">
        <v>-26394.384999999998</v>
      </c>
      <c r="AF216" s="13">
        <v>-23724.350000000002</v>
      </c>
      <c r="AG216" s="13">
        <v>31118.452918584284</v>
      </c>
      <c r="AH216" s="13">
        <v>-20024.197074657804</v>
      </c>
      <c r="AI216" s="13">
        <v>18918.734751230626</v>
      </c>
      <c r="AJ216" s="13">
        <v>160754</v>
      </c>
      <c r="AK216" s="13">
        <v>49462</v>
      </c>
      <c r="AL216" s="13">
        <v>124485.65817589301</v>
      </c>
      <c r="AM216" s="13">
        <v>7172.2060367844988</v>
      </c>
      <c r="AN216" s="13">
        <v>22496.753395076463</v>
      </c>
      <c r="AO216" s="13">
        <v>55433.955616155188</v>
      </c>
      <c r="AP216" s="13">
        <v>80855.7585815372</v>
      </c>
      <c r="AQ216" s="13">
        <v>122685.15994105836</v>
      </c>
      <c r="AR216" s="13">
        <v>38672.477677938157</v>
      </c>
      <c r="AS216" s="13">
        <v>64114.954434536216</v>
      </c>
      <c r="AT216" s="34"/>
      <c r="AU216" s="13"/>
      <c r="AV216" s="34"/>
      <c r="AW216" s="34"/>
      <c r="AX216" s="34"/>
      <c r="AY216" s="13">
        <v>88317.987608475902</v>
      </c>
      <c r="AZ216" s="13">
        <v>44680.555159620308</v>
      </c>
      <c r="BA216" s="13">
        <v>47117.68783062118</v>
      </c>
      <c r="BB216" s="32">
        <v>-129552.52919706824</v>
      </c>
      <c r="BC216" s="33">
        <v>-32418.441541301858</v>
      </c>
      <c r="BD216" s="33">
        <v>-34657.4</v>
      </c>
      <c r="BE216" s="33">
        <v>-13281.46</v>
      </c>
      <c r="BF216" s="14"/>
      <c r="BG216" s="14">
        <v>215012.99581907751</v>
      </c>
      <c r="BH216" s="33">
        <v>473419.05457435118</v>
      </c>
      <c r="BI216" s="13">
        <v>-197982</v>
      </c>
      <c r="BJ216" s="13">
        <v>194</v>
      </c>
      <c r="BK216" s="33">
        <v>28268</v>
      </c>
    </row>
    <row r="217" spans="1:63" ht="14.25" x14ac:dyDescent="0.2">
      <c r="A217" s="14">
        <v>698</v>
      </c>
      <c r="B217" s="14" t="s">
        <v>488</v>
      </c>
      <c r="C217" s="14">
        <v>65722</v>
      </c>
      <c r="D217" s="14">
        <v>3584</v>
      </c>
      <c r="E217" s="14">
        <v>611</v>
      </c>
      <c r="F217" s="14">
        <v>4256</v>
      </c>
      <c r="G217" s="14">
        <v>2403</v>
      </c>
      <c r="H217" s="14">
        <v>54868</v>
      </c>
      <c r="I217" s="14">
        <v>39205</v>
      </c>
      <c r="K217" s="29">
        <v>2960.5</v>
      </c>
      <c r="L217" s="29">
        <v>31891</v>
      </c>
      <c r="M217" s="14">
        <v>4186.833333333333</v>
      </c>
      <c r="N217" s="11">
        <v>3616</v>
      </c>
      <c r="O217" s="11">
        <v>0</v>
      </c>
      <c r="P217" s="11">
        <v>140</v>
      </c>
      <c r="Q217" s="11">
        <v>0</v>
      </c>
      <c r="R217" s="11">
        <v>0</v>
      </c>
      <c r="S217" s="11">
        <v>7581.53</v>
      </c>
      <c r="T217" s="14">
        <v>2204</v>
      </c>
      <c r="U217" s="14">
        <v>20740</v>
      </c>
      <c r="V217" s="330"/>
      <c r="W217" s="11">
        <v>0</v>
      </c>
      <c r="X217" s="64">
        <v>29022</v>
      </c>
      <c r="Y217" s="64">
        <v>29404</v>
      </c>
      <c r="Z217" s="331">
        <v>0.96318413943195946</v>
      </c>
      <c r="AA217" s="31">
        <v>0.79489073568688173</v>
      </c>
      <c r="AB217" s="11">
        <v>0</v>
      </c>
      <c r="AC217" s="11">
        <v>216</v>
      </c>
      <c r="AE217" s="32">
        <v>-3099441.6789000002</v>
      </c>
      <c r="AF217" s="13">
        <v>-1220372.8800000001</v>
      </c>
      <c r="AG217" s="13">
        <v>1850232.9212748902</v>
      </c>
      <c r="AH217" s="13">
        <v>-426850.63496110571</v>
      </c>
      <c r="AI217" s="13">
        <v>422166.01127426676</v>
      </c>
      <c r="AJ217" s="13">
        <v>4170263</v>
      </c>
      <c r="AK217" s="13">
        <v>1400370</v>
      </c>
      <c r="AL217" s="13">
        <v>3556984.1957876254</v>
      </c>
      <c r="AM217" s="13">
        <v>130689.61392386896</v>
      </c>
      <c r="AN217" s="13">
        <v>170271.45091107712</v>
      </c>
      <c r="AO217" s="13">
        <v>1530495.8688007353</v>
      </c>
      <c r="AP217" s="13">
        <v>3039795.0447149575</v>
      </c>
      <c r="AQ217" s="13">
        <v>4487658.9408401158</v>
      </c>
      <c r="AR217" s="13">
        <v>1486426.2087844117</v>
      </c>
      <c r="AS217" s="13">
        <v>2651524.0560848992</v>
      </c>
      <c r="AT217" s="34"/>
      <c r="AU217" s="13"/>
      <c r="AV217" s="34"/>
      <c r="AW217" s="34"/>
      <c r="AX217" s="34"/>
      <c r="AY217" s="13">
        <v>3383597.7885625116</v>
      </c>
      <c r="AZ217" s="13">
        <v>2151932.7038128218</v>
      </c>
      <c r="BA217" s="13">
        <v>2074504.0798393257</v>
      </c>
      <c r="BB217" s="32">
        <v>-18170790.172582045</v>
      </c>
      <c r="BC217" s="33">
        <v>-9437110.0156319514</v>
      </c>
      <c r="BD217" s="33">
        <v>-1958515.6</v>
      </c>
      <c r="BE217" s="33">
        <v>-750545.24</v>
      </c>
      <c r="BF217" s="14"/>
      <c r="BG217" s="14">
        <v>4943851.3085880568</v>
      </c>
      <c r="BH217" s="33">
        <v>16399345.147336496</v>
      </c>
      <c r="BI217" s="13">
        <v>-1201391</v>
      </c>
      <c r="BJ217" s="13">
        <v>22139</v>
      </c>
      <c r="BK217" s="33">
        <v>-5838508.0550000016</v>
      </c>
    </row>
    <row r="218" spans="1:63" ht="14.25" x14ac:dyDescent="0.2">
      <c r="A218" s="14">
        <v>700</v>
      </c>
      <c r="B218" s="14" t="s">
        <v>489</v>
      </c>
      <c r="C218" s="14">
        <v>4733</v>
      </c>
      <c r="D218" s="14">
        <v>132</v>
      </c>
      <c r="E218" s="14">
        <v>25</v>
      </c>
      <c r="F218" s="14">
        <v>234</v>
      </c>
      <c r="G218" s="14">
        <v>166</v>
      </c>
      <c r="H218" s="14">
        <v>4176</v>
      </c>
      <c r="I218" s="14">
        <v>2302</v>
      </c>
      <c r="K218" s="29">
        <v>217.25</v>
      </c>
      <c r="L218" s="29">
        <v>1936</v>
      </c>
      <c r="M218" s="14">
        <v>290.75</v>
      </c>
      <c r="N218" s="11">
        <v>199</v>
      </c>
      <c r="O218" s="11">
        <v>0</v>
      </c>
      <c r="P218" s="11">
        <v>11</v>
      </c>
      <c r="Q218" s="11">
        <v>3</v>
      </c>
      <c r="R218" s="11">
        <v>292</v>
      </c>
      <c r="S218" s="11">
        <v>942.22</v>
      </c>
      <c r="T218" s="14">
        <v>153</v>
      </c>
      <c r="U218" s="14">
        <v>1182</v>
      </c>
      <c r="V218" s="330"/>
      <c r="W218" s="11">
        <v>7.9149999999999998E-2</v>
      </c>
      <c r="X218" s="64">
        <v>963</v>
      </c>
      <c r="Y218" s="64">
        <v>1655</v>
      </c>
      <c r="Z218" s="331">
        <v>0.9097688118688253</v>
      </c>
      <c r="AA218" s="31">
        <v>0</v>
      </c>
      <c r="AB218" s="11">
        <v>0</v>
      </c>
      <c r="AC218" s="11">
        <v>0</v>
      </c>
      <c r="AE218" s="32">
        <v>-141366.1231</v>
      </c>
      <c r="AF218" s="13">
        <v>-94551.62000000001</v>
      </c>
      <c r="AG218" s="13">
        <v>246252.03226485406</v>
      </c>
      <c r="AH218" s="13">
        <v>-37744.254637064587</v>
      </c>
      <c r="AI218" s="13">
        <v>11031.666317203286</v>
      </c>
      <c r="AJ218" s="13">
        <v>450007</v>
      </c>
      <c r="AK218" s="13">
        <v>136482</v>
      </c>
      <c r="AL218" s="13">
        <v>271197.13744083105</v>
      </c>
      <c r="AM218" s="13">
        <v>13584.735741688815</v>
      </c>
      <c r="AN218" s="13">
        <v>29722.573333173579</v>
      </c>
      <c r="AO218" s="13">
        <v>156223.5218588037</v>
      </c>
      <c r="AP218" s="13">
        <v>258715.99132247956</v>
      </c>
      <c r="AQ218" s="13">
        <v>425231.14270262397</v>
      </c>
      <c r="AR218" s="13">
        <v>110087.1294553271</v>
      </c>
      <c r="AS218" s="13">
        <v>194251.75467668803</v>
      </c>
      <c r="AT218" s="34"/>
      <c r="AU218" s="13"/>
      <c r="AV218" s="34"/>
      <c r="AW218" s="34"/>
      <c r="AX218" s="34"/>
      <c r="AY218" s="13">
        <v>247547.68959945301</v>
      </c>
      <c r="AZ218" s="13">
        <v>147392.74113989249</v>
      </c>
      <c r="BA218" s="13">
        <v>146980.31720778599</v>
      </c>
      <c r="BB218" s="32">
        <v>262424.35537567706</v>
      </c>
      <c r="BC218" s="33">
        <v>260826.14952176184</v>
      </c>
      <c r="BD218" s="33">
        <v>-141043.4</v>
      </c>
      <c r="BE218" s="33">
        <v>-54050.86</v>
      </c>
      <c r="BF218" s="14"/>
      <c r="BG218" s="14">
        <v>476590.66851579718</v>
      </c>
      <c r="BH218" s="33">
        <v>523775.86466725159</v>
      </c>
      <c r="BI218" s="13">
        <v>-1009065</v>
      </c>
      <c r="BJ218" s="13">
        <v>905</v>
      </c>
      <c r="BK218" s="33">
        <v>-105916.66250000001</v>
      </c>
    </row>
    <row r="219" spans="1:63" ht="14.25" x14ac:dyDescent="0.2">
      <c r="A219" s="14">
        <v>702</v>
      </c>
      <c r="B219" s="14" t="s">
        <v>490</v>
      </c>
      <c r="C219" s="14">
        <v>4039</v>
      </c>
      <c r="D219" s="14">
        <v>132</v>
      </c>
      <c r="E219" s="14">
        <v>23</v>
      </c>
      <c r="F219" s="14">
        <v>188</v>
      </c>
      <c r="G219" s="14">
        <v>116</v>
      </c>
      <c r="H219" s="14">
        <v>3580</v>
      </c>
      <c r="I219" s="14">
        <v>1851</v>
      </c>
      <c r="K219" s="29">
        <v>173.58333333333334</v>
      </c>
      <c r="L219" s="29">
        <v>1625</v>
      </c>
      <c r="M219" s="14">
        <v>275.5</v>
      </c>
      <c r="N219" s="11">
        <v>144</v>
      </c>
      <c r="O219" s="11">
        <v>0</v>
      </c>
      <c r="P219" s="11">
        <v>11</v>
      </c>
      <c r="Q219" s="11">
        <v>0</v>
      </c>
      <c r="R219" s="11">
        <v>0</v>
      </c>
      <c r="S219" s="11">
        <v>776.93</v>
      </c>
      <c r="T219" s="14">
        <v>150</v>
      </c>
      <c r="U219" s="14">
        <v>946</v>
      </c>
      <c r="V219" s="330"/>
      <c r="W219" s="11">
        <v>1.0883333333333334</v>
      </c>
      <c r="X219" s="64">
        <v>1334</v>
      </c>
      <c r="Y219" s="64">
        <v>1414</v>
      </c>
      <c r="Z219" s="331">
        <v>0.92076974454873661</v>
      </c>
      <c r="AA219" s="31">
        <v>0</v>
      </c>
      <c r="AB219" s="11">
        <v>0</v>
      </c>
      <c r="AC219" s="11">
        <v>0</v>
      </c>
      <c r="AE219" s="32">
        <v>-67374.287500000006</v>
      </c>
      <c r="AF219" s="13">
        <v>-80970.150000000009</v>
      </c>
      <c r="AG219" s="13">
        <v>241073.09003501321</v>
      </c>
      <c r="AH219" s="13">
        <v>-56459.345898695508</v>
      </c>
      <c r="AI219" s="13">
        <v>33432.409066214997</v>
      </c>
      <c r="AJ219" s="13">
        <v>482033</v>
      </c>
      <c r="AK219" s="13">
        <v>141231</v>
      </c>
      <c r="AL219" s="13">
        <v>359715.40688170458</v>
      </c>
      <c r="AM219" s="13">
        <v>16850.194763104068</v>
      </c>
      <c r="AN219" s="13">
        <v>65127.400944814086</v>
      </c>
      <c r="AO219" s="13">
        <v>181748.09925467972</v>
      </c>
      <c r="AP219" s="13">
        <v>240034.11603973378</v>
      </c>
      <c r="AQ219" s="13">
        <v>413638.03733832762</v>
      </c>
      <c r="AR219" s="13">
        <v>119454.53586719323</v>
      </c>
      <c r="AS219" s="13">
        <v>216746.83981150473</v>
      </c>
      <c r="AT219" s="34"/>
      <c r="AU219" s="13"/>
      <c r="AV219" s="34"/>
      <c r="AW219" s="34"/>
      <c r="AX219" s="34"/>
      <c r="AY219" s="13">
        <v>281044.92960719019</v>
      </c>
      <c r="AZ219" s="13">
        <v>156848.75897363797</v>
      </c>
      <c r="BA219" s="13">
        <v>145267.97884029197</v>
      </c>
      <c r="BB219" s="32">
        <v>631630.07506514434</v>
      </c>
      <c r="BC219" s="33">
        <v>21525.020684865212</v>
      </c>
      <c r="BD219" s="33">
        <v>-120362.2</v>
      </c>
      <c r="BE219" s="33">
        <v>-46125.38</v>
      </c>
      <c r="BF219" s="14"/>
      <c r="BG219" s="14">
        <v>613044.51169558463</v>
      </c>
      <c r="BH219" s="33">
        <v>1245521.2552185957</v>
      </c>
      <c r="BI219" s="13">
        <v>-831821</v>
      </c>
      <c r="BJ219" s="13">
        <v>773</v>
      </c>
      <c r="BK219" s="33">
        <v>-10600.5</v>
      </c>
    </row>
    <row r="220" spans="1:63" ht="14.25" x14ac:dyDescent="0.2">
      <c r="A220" s="14">
        <v>704</v>
      </c>
      <c r="B220" s="14" t="s">
        <v>491</v>
      </c>
      <c r="C220" s="14">
        <v>6418</v>
      </c>
      <c r="D220" s="14">
        <v>421</v>
      </c>
      <c r="E220" s="14">
        <v>91</v>
      </c>
      <c r="F220" s="14">
        <v>565</v>
      </c>
      <c r="G220" s="14">
        <v>262</v>
      </c>
      <c r="H220" s="14">
        <v>5079</v>
      </c>
      <c r="I220" s="14">
        <v>3539</v>
      </c>
      <c r="K220" s="29">
        <v>144.75</v>
      </c>
      <c r="L220" s="29">
        <v>3175</v>
      </c>
      <c r="M220" s="14">
        <v>213.41666666666669</v>
      </c>
      <c r="N220" s="11">
        <v>208</v>
      </c>
      <c r="O220" s="11">
        <v>0</v>
      </c>
      <c r="P220" s="11">
        <v>101</v>
      </c>
      <c r="Q220" s="11">
        <v>0</v>
      </c>
      <c r="R220" s="11">
        <v>0</v>
      </c>
      <c r="S220" s="11">
        <v>127.16</v>
      </c>
      <c r="T220" s="14">
        <v>167</v>
      </c>
      <c r="U220" s="14">
        <v>2236</v>
      </c>
      <c r="V220" s="330"/>
      <c r="W220" s="11">
        <v>0</v>
      </c>
      <c r="X220" s="64">
        <v>2009</v>
      </c>
      <c r="Y220" s="64">
        <v>3070</v>
      </c>
      <c r="Z220" s="331">
        <v>1.2095847518224683</v>
      </c>
      <c r="AA220" s="31">
        <v>0.20430805553480016</v>
      </c>
      <c r="AB220" s="11">
        <v>0</v>
      </c>
      <c r="AC220" s="11">
        <v>0</v>
      </c>
      <c r="AE220" s="32">
        <v>-51102.79</v>
      </c>
      <c r="AF220" s="13">
        <v>-122060.34000000001</v>
      </c>
      <c r="AG220" s="13">
        <v>104677.6286543271</v>
      </c>
      <c r="AH220" s="13">
        <v>-132189.64620265932</v>
      </c>
      <c r="AI220" s="13">
        <v>-23803.90016889316</v>
      </c>
      <c r="AJ220" s="13">
        <v>387043</v>
      </c>
      <c r="AK220" s="13">
        <v>126882</v>
      </c>
      <c r="AL220" s="13">
        <v>241368.28376477773</v>
      </c>
      <c r="AM220" s="13">
        <v>4103.0352897275307</v>
      </c>
      <c r="AN220" s="13">
        <v>27149.87359443658</v>
      </c>
      <c r="AO220" s="13">
        <v>119934.73479326064</v>
      </c>
      <c r="AP220" s="13">
        <v>275731.56641233416</v>
      </c>
      <c r="AQ220" s="13">
        <v>473017.7979280093</v>
      </c>
      <c r="AR220" s="13">
        <v>126067.88854329768</v>
      </c>
      <c r="AS220" s="13">
        <v>214989.74805185717</v>
      </c>
      <c r="AT220" s="34"/>
      <c r="AU220" s="13"/>
      <c r="AV220" s="34"/>
      <c r="AW220" s="34"/>
      <c r="AX220" s="34"/>
      <c r="AY220" s="13">
        <v>278526.28633174399</v>
      </c>
      <c r="AZ220" s="13">
        <v>191763.34913031512</v>
      </c>
      <c r="BA220" s="13">
        <v>190940.49866764026</v>
      </c>
      <c r="BB220" s="32">
        <v>919069.55215610692</v>
      </c>
      <c r="BC220" s="33">
        <v>-27169.299745794822</v>
      </c>
      <c r="BD220" s="33">
        <v>-191256.4</v>
      </c>
      <c r="BE220" s="33">
        <v>-73293.56</v>
      </c>
      <c r="BF220" s="14"/>
      <c r="BG220" s="14">
        <v>419605.96225896431</v>
      </c>
      <c r="BH220" s="33">
        <v>989180.80747918843</v>
      </c>
      <c r="BI220" s="13">
        <v>-1167760</v>
      </c>
      <c r="BJ220" s="13">
        <v>1917</v>
      </c>
      <c r="BK220" s="33">
        <v>42136.987500000047</v>
      </c>
    </row>
    <row r="221" spans="1:63" ht="14.25" x14ac:dyDescent="0.2">
      <c r="A221" s="14">
        <v>707</v>
      </c>
      <c r="B221" s="14" t="s">
        <v>492</v>
      </c>
      <c r="C221" s="14">
        <v>1881</v>
      </c>
      <c r="D221" s="14">
        <v>27</v>
      </c>
      <c r="E221" s="14">
        <v>7</v>
      </c>
      <c r="F221" s="14">
        <v>65</v>
      </c>
      <c r="G221" s="14">
        <v>36</v>
      </c>
      <c r="H221" s="14">
        <v>1746</v>
      </c>
      <c r="I221" s="14">
        <v>820</v>
      </c>
      <c r="K221" s="29">
        <v>118.41666666666667</v>
      </c>
      <c r="L221" s="29">
        <v>716</v>
      </c>
      <c r="M221" s="14">
        <v>156.16666666666669</v>
      </c>
      <c r="N221" s="11">
        <v>89</v>
      </c>
      <c r="O221" s="11">
        <v>0</v>
      </c>
      <c r="P221" s="11">
        <v>2</v>
      </c>
      <c r="Q221" s="11">
        <v>3</v>
      </c>
      <c r="R221" s="11">
        <v>333</v>
      </c>
      <c r="S221" s="11">
        <v>428.07</v>
      </c>
      <c r="T221" s="14">
        <v>65</v>
      </c>
      <c r="U221" s="14">
        <v>398</v>
      </c>
      <c r="V221" s="330"/>
      <c r="W221" s="11">
        <v>1.4392333333333334</v>
      </c>
      <c r="X221" s="64">
        <v>429</v>
      </c>
      <c r="Y221" s="64">
        <v>566</v>
      </c>
      <c r="Z221" s="331">
        <v>0.99083474594928722</v>
      </c>
      <c r="AA221" s="31">
        <v>0</v>
      </c>
      <c r="AB221" s="11">
        <v>0</v>
      </c>
      <c r="AC221" s="11">
        <v>0</v>
      </c>
      <c r="AE221" s="32">
        <v>-45575.885000000002</v>
      </c>
      <c r="AF221" s="13">
        <v>-39687.86</v>
      </c>
      <c r="AG221" s="13">
        <v>120962.63307402789</v>
      </c>
      <c r="AH221" s="13">
        <v>-20919.714490310995</v>
      </c>
      <c r="AI221" s="13">
        <v>37732.763553081728</v>
      </c>
      <c r="AJ221" s="13">
        <v>302843</v>
      </c>
      <c r="AK221" s="13">
        <v>87748</v>
      </c>
      <c r="AL221" s="13">
        <v>236964.11147003429</v>
      </c>
      <c r="AM221" s="13">
        <v>12584.419830805715</v>
      </c>
      <c r="AN221" s="13">
        <v>39572.361571092901</v>
      </c>
      <c r="AO221" s="13">
        <v>110909.52963556179</v>
      </c>
      <c r="AP221" s="13">
        <v>139255.86191162129</v>
      </c>
      <c r="AQ221" s="13">
        <v>209563.85038227681</v>
      </c>
      <c r="AR221" s="13">
        <v>68562.922203709764</v>
      </c>
      <c r="AS221" s="13">
        <v>114765.60193857328</v>
      </c>
      <c r="AT221" s="34"/>
      <c r="AU221" s="13"/>
      <c r="AV221" s="34"/>
      <c r="AW221" s="34"/>
      <c r="AX221" s="34"/>
      <c r="AY221" s="13">
        <v>162854.27178432132</v>
      </c>
      <c r="AZ221" s="13">
        <v>80831.961291842454</v>
      </c>
      <c r="BA221" s="13">
        <v>83042.957371751021</v>
      </c>
      <c r="BB221" s="32">
        <v>-212619.09718746648</v>
      </c>
      <c r="BC221" s="33">
        <v>-8284.3539984066356</v>
      </c>
      <c r="BD221" s="33">
        <v>-56053.8</v>
      </c>
      <c r="BE221" s="33">
        <v>-21481.02</v>
      </c>
      <c r="BF221" s="14"/>
      <c r="BG221" s="14">
        <v>410557.45513372711</v>
      </c>
      <c r="BH221" s="33">
        <v>1235777.7625499123</v>
      </c>
      <c r="BI221" s="13">
        <v>-547761</v>
      </c>
      <c r="BJ221" s="13">
        <v>228</v>
      </c>
      <c r="BK221" s="33">
        <v>-30865.122500000001</v>
      </c>
    </row>
    <row r="222" spans="1:63" ht="14.25" x14ac:dyDescent="0.2">
      <c r="A222" s="14">
        <v>729</v>
      </c>
      <c r="B222" s="14" t="s">
        <v>494</v>
      </c>
      <c r="C222" s="14">
        <v>8858</v>
      </c>
      <c r="D222" s="14">
        <v>312</v>
      </c>
      <c r="E222" s="14">
        <v>78</v>
      </c>
      <c r="F222" s="14">
        <v>513</v>
      </c>
      <c r="G222" s="14">
        <v>268</v>
      </c>
      <c r="H222" s="14">
        <v>7687</v>
      </c>
      <c r="I222" s="14">
        <v>4270</v>
      </c>
      <c r="K222" s="29">
        <v>493.16666666666669</v>
      </c>
      <c r="L222" s="29">
        <v>3559</v>
      </c>
      <c r="M222" s="14">
        <v>718.16666666666674</v>
      </c>
      <c r="N222" s="11">
        <v>246</v>
      </c>
      <c r="O222" s="11">
        <v>0</v>
      </c>
      <c r="P222" s="11">
        <v>12</v>
      </c>
      <c r="Q222" s="11">
        <v>0</v>
      </c>
      <c r="R222" s="11">
        <v>0</v>
      </c>
      <c r="S222" s="11">
        <v>1251.76</v>
      </c>
      <c r="T222" s="14">
        <v>337</v>
      </c>
      <c r="U222" s="14">
        <v>2182</v>
      </c>
      <c r="V222" s="330"/>
      <c r="W222" s="11">
        <v>0.7809166666666667</v>
      </c>
      <c r="X222" s="64">
        <v>2674</v>
      </c>
      <c r="Y222" s="64">
        <v>2936</v>
      </c>
      <c r="Z222" s="331">
        <v>0.99204323075830381</v>
      </c>
      <c r="AA222" s="31">
        <v>0</v>
      </c>
      <c r="AB222" s="11">
        <v>0</v>
      </c>
      <c r="AC222" s="11">
        <v>0</v>
      </c>
      <c r="AE222" s="32">
        <v>-346728.1876</v>
      </c>
      <c r="AF222" s="13">
        <v>-176885.68000000002</v>
      </c>
      <c r="AG222" s="13">
        <v>569654.39742835204</v>
      </c>
      <c r="AH222" s="13">
        <v>-132467.43413158704</v>
      </c>
      <c r="AI222" s="13">
        <v>48389.652056312654</v>
      </c>
      <c r="AJ222" s="13">
        <v>954489</v>
      </c>
      <c r="AK222" s="13">
        <v>293114</v>
      </c>
      <c r="AL222" s="13">
        <v>743309.25554292719</v>
      </c>
      <c r="AM222" s="13">
        <v>41048.663354125973</v>
      </c>
      <c r="AN222" s="13">
        <v>106843.04163109911</v>
      </c>
      <c r="AO222" s="13">
        <v>374059.29699343286</v>
      </c>
      <c r="AP222" s="13">
        <v>564756.29807290237</v>
      </c>
      <c r="AQ222" s="13">
        <v>868628.60086900461</v>
      </c>
      <c r="AR222" s="13">
        <v>262472.32790500263</v>
      </c>
      <c r="AS222" s="13">
        <v>452921.73872454348</v>
      </c>
      <c r="AT222" s="34"/>
      <c r="AU222" s="13"/>
      <c r="AV222" s="34"/>
      <c r="AW222" s="34"/>
      <c r="AX222" s="34"/>
      <c r="AY222" s="13">
        <v>616123.82788015436</v>
      </c>
      <c r="AZ222" s="13">
        <v>347446.57805433089</v>
      </c>
      <c r="BA222" s="13">
        <v>343577.39897101442</v>
      </c>
      <c r="BB222" s="32">
        <v>-506507.40780627506</v>
      </c>
      <c r="BC222" s="33">
        <v>-37934.73323249977</v>
      </c>
      <c r="BD222" s="33">
        <v>-263968.40000000002</v>
      </c>
      <c r="BE222" s="33">
        <v>-101158.36</v>
      </c>
      <c r="BF222" s="14"/>
      <c r="BG222" s="14">
        <v>1293363.8131165865</v>
      </c>
      <c r="BH222" s="33">
        <v>4563661.2094696062</v>
      </c>
      <c r="BI222" s="13">
        <v>696672</v>
      </c>
      <c r="BJ222" s="13">
        <v>1994</v>
      </c>
      <c r="BK222" s="33">
        <v>21960.702500000014</v>
      </c>
    </row>
    <row r="223" spans="1:63" ht="14.25" x14ac:dyDescent="0.2">
      <c r="A223" s="14">
        <v>732</v>
      </c>
      <c r="B223" s="14" t="s">
        <v>495</v>
      </c>
      <c r="C223" s="14">
        <v>3285</v>
      </c>
      <c r="D223" s="14">
        <v>77</v>
      </c>
      <c r="E223" s="14">
        <v>12</v>
      </c>
      <c r="F223" s="14">
        <v>120</v>
      </c>
      <c r="G223" s="14">
        <v>72</v>
      </c>
      <c r="H223" s="14">
        <v>3004</v>
      </c>
      <c r="I223" s="14">
        <v>1550</v>
      </c>
      <c r="K223" s="29">
        <v>170.25</v>
      </c>
      <c r="L223" s="29">
        <v>1330</v>
      </c>
      <c r="M223" s="14">
        <v>212.58333333333334</v>
      </c>
      <c r="N223" s="11">
        <v>139</v>
      </c>
      <c r="O223" s="11">
        <v>0</v>
      </c>
      <c r="P223" s="11">
        <v>10</v>
      </c>
      <c r="Q223" s="11">
        <v>0</v>
      </c>
      <c r="R223" s="11">
        <v>0</v>
      </c>
      <c r="S223" s="11">
        <v>5729.75</v>
      </c>
      <c r="T223" s="14">
        <v>94</v>
      </c>
      <c r="U223" s="14">
        <v>726</v>
      </c>
      <c r="V223" s="330"/>
      <c r="W223" s="11">
        <v>1.7943166666666666</v>
      </c>
      <c r="X223" s="64">
        <v>1112</v>
      </c>
      <c r="Y223" s="64">
        <v>1194</v>
      </c>
      <c r="Z223" s="331">
        <v>0.77001274203571202</v>
      </c>
      <c r="AA223" s="31">
        <v>0</v>
      </c>
      <c r="AB223" s="11">
        <v>0</v>
      </c>
      <c r="AC223" s="11">
        <v>3</v>
      </c>
      <c r="AE223" s="32">
        <v>-48746.75</v>
      </c>
      <c r="AF223" s="13">
        <v>-65448.47</v>
      </c>
      <c r="AG223" s="13">
        <v>161858.85386017902</v>
      </c>
      <c r="AH223" s="13">
        <v>-84259.030814965954</v>
      </c>
      <c r="AI223" s="13">
        <v>23887.253092136249</v>
      </c>
      <c r="AJ223" s="13">
        <v>397132</v>
      </c>
      <c r="AK223" s="13">
        <v>120884</v>
      </c>
      <c r="AL223" s="13">
        <v>323961.87830235338</v>
      </c>
      <c r="AM223" s="13">
        <v>18056.029456748154</v>
      </c>
      <c r="AN223" s="13">
        <v>65713.152198170254</v>
      </c>
      <c r="AO223" s="13">
        <v>160800.97622708709</v>
      </c>
      <c r="AP223" s="13">
        <v>206884.00489435552</v>
      </c>
      <c r="AQ223" s="13">
        <v>312809.48339130171</v>
      </c>
      <c r="AR223" s="13">
        <v>103830.87014994409</v>
      </c>
      <c r="AS223" s="13">
        <v>177671.04133237439</v>
      </c>
      <c r="AT223" s="34"/>
      <c r="AU223" s="13"/>
      <c r="AV223" s="34"/>
      <c r="AW223" s="34"/>
      <c r="AX223" s="34"/>
      <c r="AY223" s="13">
        <v>237633.23338444397</v>
      </c>
      <c r="AZ223" s="13">
        <v>125693.30274580349</v>
      </c>
      <c r="BA223" s="13">
        <v>125485.06078909624</v>
      </c>
      <c r="BB223" s="32">
        <v>-710272.22485074052</v>
      </c>
      <c r="BC223" s="33">
        <v>329216.81329518755</v>
      </c>
      <c r="BD223" s="33">
        <v>-97893</v>
      </c>
      <c r="BE223" s="33">
        <v>-37514.699999999997</v>
      </c>
      <c r="BF223" s="14"/>
      <c r="BG223" s="14">
        <v>510847.72261076479</v>
      </c>
      <c r="BH223" s="33">
        <v>1357779.977132875</v>
      </c>
      <c r="BI223" s="13">
        <v>250334</v>
      </c>
      <c r="BJ223" s="13">
        <v>565</v>
      </c>
      <c r="BK223" s="33">
        <v>-113072</v>
      </c>
    </row>
    <row r="224" spans="1:63" ht="14.25" x14ac:dyDescent="0.2">
      <c r="A224" s="14">
        <v>734</v>
      </c>
      <c r="B224" s="14" t="s">
        <v>496</v>
      </c>
      <c r="C224" s="14">
        <v>50870</v>
      </c>
      <c r="D224" s="14">
        <v>1998</v>
      </c>
      <c r="E224" s="14">
        <v>384</v>
      </c>
      <c r="F224" s="14">
        <v>2821</v>
      </c>
      <c r="G224" s="14">
        <v>1825</v>
      </c>
      <c r="H224" s="14">
        <v>43842</v>
      </c>
      <c r="I224" s="14">
        <v>27488</v>
      </c>
      <c r="K224" s="29">
        <v>2309.5833333333335</v>
      </c>
      <c r="L224" s="29">
        <v>23041</v>
      </c>
      <c r="M224" s="14">
        <v>3659.3333333333335</v>
      </c>
      <c r="N224" s="11">
        <v>4673</v>
      </c>
      <c r="O224" s="11">
        <v>0</v>
      </c>
      <c r="P224" s="11">
        <v>588</v>
      </c>
      <c r="Q224" s="11">
        <v>3</v>
      </c>
      <c r="R224" s="11">
        <v>559</v>
      </c>
      <c r="S224" s="11">
        <v>1989.77</v>
      </c>
      <c r="T224" s="14">
        <v>2443</v>
      </c>
      <c r="U224" s="14">
        <v>14985</v>
      </c>
      <c r="V224" s="330"/>
      <c r="W224" s="11">
        <v>0</v>
      </c>
      <c r="X224" s="64">
        <v>18449</v>
      </c>
      <c r="Y224" s="64">
        <v>20750</v>
      </c>
      <c r="Z224" s="331">
        <v>1.0891552506579407</v>
      </c>
      <c r="AA224" s="31">
        <v>0</v>
      </c>
      <c r="AB224" s="11">
        <v>0</v>
      </c>
      <c r="AC224" s="11">
        <v>0</v>
      </c>
      <c r="AE224" s="32">
        <v>-1991499.8942</v>
      </c>
      <c r="AF224" s="13">
        <v>-990506.02</v>
      </c>
      <c r="AG224" s="13">
        <v>2492355.0404930897</v>
      </c>
      <c r="AH224" s="13">
        <v>-600092.01232620096</v>
      </c>
      <c r="AI224" s="13">
        <v>358632.39543572022</v>
      </c>
      <c r="AJ224" s="13">
        <v>4035158</v>
      </c>
      <c r="AK224" s="13">
        <v>1360728</v>
      </c>
      <c r="AL224" s="13">
        <v>3108333.4400907625</v>
      </c>
      <c r="AM224" s="13">
        <v>109870.08065928429</v>
      </c>
      <c r="AN224" s="13">
        <v>143591.84511297155</v>
      </c>
      <c r="AO224" s="13">
        <v>1435082.5456556936</v>
      </c>
      <c r="AP224" s="13">
        <v>2764155.9394521797</v>
      </c>
      <c r="AQ224" s="13">
        <v>4385553.0913479263</v>
      </c>
      <c r="AR224" s="13">
        <v>1357506.7920240066</v>
      </c>
      <c r="AS224" s="13">
        <v>2418070.2994944337</v>
      </c>
      <c r="AT224" s="34"/>
      <c r="AU224" s="13"/>
      <c r="AV224" s="34"/>
      <c r="AW224" s="34"/>
      <c r="AX224" s="34"/>
      <c r="AY224" s="13">
        <v>3087603.991114954</v>
      </c>
      <c r="AZ224" s="13">
        <v>1882086.4734985407</v>
      </c>
      <c r="BA224" s="13">
        <v>1855635.2774178674</v>
      </c>
      <c r="BB224" s="32">
        <v>-1488226.3948632984</v>
      </c>
      <c r="BC224" s="33">
        <v>-215279.08275553325</v>
      </c>
      <c r="BD224" s="33">
        <v>-1515926</v>
      </c>
      <c r="BE224" s="33">
        <v>-580935.4</v>
      </c>
      <c r="BF224" s="14"/>
      <c r="BG224" s="14">
        <v>5985290.2285812497</v>
      </c>
      <c r="BH224" s="33">
        <v>15268963.517190455</v>
      </c>
      <c r="BI224" s="13">
        <v>-389465</v>
      </c>
      <c r="BJ224" s="13">
        <v>12829</v>
      </c>
      <c r="BK224" s="33">
        <v>-580236.0349999998</v>
      </c>
    </row>
    <row r="225" spans="1:63" ht="14.25" x14ac:dyDescent="0.2">
      <c r="A225" s="14">
        <v>790</v>
      </c>
      <c r="B225" s="14" t="s">
        <v>520</v>
      </c>
      <c r="C225" s="14">
        <v>23464</v>
      </c>
      <c r="D225" s="14">
        <v>938</v>
      </c>
      <c r="E225" s="14">
        <v>189</v>
      </c>
      <c r="F225" s="14">
        <v>1394</v>
      </c>
      <c r="G225" s="14">
        <v>786</v>
      </c>
      <c r="H225" s="14">
        <v>20157</v>
      </c>
      <c r="I225" s="14">
        <v>12083</v>
      </c>
      <c r="K225" s="29">
        <v>872.16666666666663</v>
      </c>
      <c r="L225" s="29">
        <v>10039</v>
      </c>
      <c r="M225" s="14">
        <v>1249.75</v>
      </c>
      <c r="N225" s="11">
        <v>898</v>
      </c>
      <c r="O225" s="11">
        <v>0</v>
      </c>
      <c r="P225" s="11">
        <v>48</v>
      </c>
      <c r="Q225" s="11">
        <v>0</v>
      </c>
      <c r="R225" s="11">
        <v>0</v>
      </c>
      <c r="S225" s="11">
        <v>1429.12</v>
      </c>
      <c r="T225" s="14">
        <v>918</v>
      </c>
      <c r="U225" s="14">
        <v>6452</v>
      </c>
      <c r="V225" s="330"/>
      <c r="W225" s="11">
        <v>0</v>
      </c>
      <c r="X225" s="64">
        <v>7853</v>
      </c>
      <c r="Y225" s="64">
        <v>9119</v>
      </c>
      <c r="Z225" s="331">
        <v>0.9646259802777043</v>
      </c>
      <c r="AA225" s="31">
        <v>0</v>
      </c>
      <c r="AB225" s="11">
        <v>0</v>
      </c>
      <c r="AC225" s="11">
        <v>0</v>
      </c>
      <c r="AE225" s="32">
        <v>-1090176.2098999999</v>
      </c>
      <c r="AF225" s="13">
        <v>-462038.92000000004</v>
      </c>
      <c r="AG225" s="13">
        <v>1248133.5713915871</v>
      </c>
      <c r="AH225" s="13">
        <v>-329019.81171409279</v>
      </c>
      <c r="AI225" s="13">
        <v>-87085.757898680517</v>
      </c>
      <c r="AJ225" s="13">
        <v>2132215</v>
      </c>
      <c r="AK225" s="13">
        <v>693692</v>
      </c>
      <c r="AL225" s="13">
        <v>1590061.4518391511</v>
      </c>
      <c r="AM225" s="13">
        <v>77740.954224716217</v>
      </c>
      <c r="AN225" s="13">
        <v>165931.79737755808</v>
      </c>
      <c r="AO225" s="13">
        <v>756892.13899193052</v>
      </c>
      <c r="AP225" s="13">
        <v>1316770.0858104366</v>
      </c>
      <c r="AQ225" s="13">
        <v>2130936.0600489173</v>
      </c>
      <c r="AR225" s="13">
        <v>642333.52145552286</v>
      </c>
      <c r="AS225" s="13">
        <v>1104192.3558072038</v>
      </c>
      <c r="AT225" s="34"/>
      <c r="AU225" s="13"/>
      <c r="AV225" s="34"/>
      <c r="AW225" s="34"/>
      <c r="AX225" s="34"/>
      <c r="AY225" s="13">
        <v>1427117.754658832</v>
      </c>
      <c r="AZ225" s="13">
        <v>864424.85534443008</v>
      </c>
      <c r="BA225" s="13">
        <v>866146.10069239931</v>
      </c>
      <c r="BB225" s="32">
        <v>2354296.3529862952</v>
      </c>
      <c r="BC225" s="33">
        <v>27573.378897085815</v>
      </c>
      <c r="BD225" s="33">
        <v>-699227.20000000007</v>
      </c>
      <c r="BE225" s="33">
        <v>-267958.88</v>
      </c>
      <c r="BF225" s="14"/>
      <c r="BG225" s="14">
        <v>2722272.1605445971</v>
      </c>
      <c r="BH225" s="33">
        <v>9401082.8683736622</v>
      </c>
      <c r="BI225" s="13">
        <v>-1492315</v>
      </c>
      <c r="BJ225" s="13">
        <v>5807</v>
      </c>
      <c r="BK225" s="33">
        <v>491509.85000000003</v>
      </c>
    </row>
    <row r="226" spans="1:63" ht="14.25" x14ac:dyDescent="0.2">
      <c r="A226" s="14">
        <v>738</v>
      </c>
      <c r="B226" s="14" t="s">
        <v>497</v>
      </c>
      <c r="C226" s="14">
        <v>2965</v>
      </c>
      <c r="D226" s="14">
        <v>131</v>
      </c>
      <c r="E226" s="14">
        <v>27</v>
      </c>
      <c r="F226" s="14">
        <v>186</v>
      </c>
      <c r="G226" s="14">
        <v>122</v>
      </c>
      <c r="H226" s="14">
        <v>2499</v>
      </c>
      <c r="I226" s="14">
        <v>1593</v>
      </c>
      <c r="K226" s="29">
        <v>87.5</v>
      </c>
      <c r="L226" s="29">
        <v>1328</v>
      </c>
      <c r="M226" s="14">
        <v>143.16666666666666</v>
      </c>
      <c r="N226" s="11">
        <v>198</v>
      </c>
      <c r="O226" s="11">
        <v>0</v>
      </c>
      <c r="P226" s="11">
        <v>69</v>
      </c>
      <c r="Q226" s="11">
        <v>0</v>
      </c>
      <c r="R226" s="11">
        <v>0</v>
      </c>
      <c r="S226" s="11">
        <v>252.78</v>
      </c>
      <c r="T226" s="14">
        <v>148</v>
      </c>
      <c r="U226" s="14">
        <v>872</v>
      </c>
      <c r="V226" s="330"/>
      <c r="W226" s="11">
        <v>0</v>
      </c>
      <c r="X226" s="64">
        <v>734</v>
      </c>
      <c r="Y226" s="64">
        <v>1273</v>
      </c>
      <c r="Z226" s="331">
        <v>0.90806003330472918</v>
      </c>
      <c r="AA226" s="31">
        <v>7.734707237303888E-2</v>
      </c>
      <c r="AB226" s="11">
        <v>0</v>
      </c>
      <c r="AC226" s="11">
        <v>0</v>
      </c>
      <c r="AE226" s="32">
        <v>-63383.27605</v>
      </c>
      <c r="AF226" s="13">
        <v>-56669.5</v>
      </c>
      <c r="AG226" s="13">
        <v>122005.45896755312</v>
      </c>
      <c r="AH226" s="13">
        <v>-46081.648097001766</v>
      </c>
      <c r="AI226" s="13">
        <v>-4278.2527685757814</v>
      </c>
      <c r="AJ226" s="13">
        <v>275701</v>
      </c>
      <c r="AK226" s="13">
        <v>85382</v>
      </c>
      <c r="AL226" s="13">
        <v>191068.64161105533</v>
      </c>
      <c r="AM226" s="13">
        <v>6790.0629726972538</v>
      </c>
      <c r="AN226" s="13">
        <v>2703.2776123266731</v>
      </c>
      <c r="AO226" s="13">
        <v>71784.76699329968</v>
      </c>
      <c r="AP226" s="13">
        <v>173816.34248553371</v>
      </c>
      <c r="AQ226" s="13">
        <v>286153.12034095271</v>
      </c>
      <c r="AR226" s="13">
        <v>85582.370188535948</v>
      </c>
      <c r="AS226" s="13">
        <v>140795.53337546438</v>
      </c>
      <c r="AT226" s="34"/>
      <c r="AU226" s="13"/>
      <c r="AV226" s="34"/>
      <c r="AW226" s="34"/>
      <c r="AX226" s="34"/>
      <c r="AY226" s="13">
        <v>194516.62543783686</v>
      </c>
      <c r="AZ226" s="13">
        <v>114051.57692577357</v>
      </c>
      <c r="BA226" s="13">
        <v>112155.9895025727</v>
      </c>
      <c r="BB226" s="32">
        <v>97268.16018971859</v>
      </c>
      <c r="BC226" s="33">
        <v>-12329.316639465385</v>
      </c>
      <c r="BD226" s="33">
        <v>-88357</v>
      </c>
      <c r="BE226" s="33">
        <v>-33860.300000000003</v>
      </c>
      <c r="BF226" s="14"/>
      <c r="BG226" s="14">
        <v>413725.43309071806</v>
      </c>
      <c r="BH226" s="33">
        <v>856048.4811669034</v>
      </c>
      <c r="BI226" s="13">
        <v>-401018</v>
      </c>
      <c r="BJ226" s="13">
        <v>745</v>
      </c>
      <c r="BK226" s="33">
        <v>88249.162500000006</v>
      </c>
    </row>
    <row r="227" spans="1:63" ht="14.25" x14ac:dyDescent="0.2">
      <c r="A227" s="14">
        <v>739</v>
      </c>
      <c r="B227" s="14" t="s">
        <v>498</v>
      </c>
      <c r="C227" s="14">
        <v>3188</v>
      </c>
      <c r="D227" s="14">
        <v>113</v>
      </c>
      <c r="E227" s="14">
        <v>14</v>
      </c>
      <c r="F227" s="14">
        <v>150</v>
      </c>
      <c r="G227" s="14">
        <v>91</v>
      </c>
      <c r="H227" s="14">
        <v>2820</v>
      </c>
      <c r="I227" s="14">
        <v>1472</v>
      </c>
      <c r="K227" s="29">
        <v>131.66666666666666</v>
      </c>
      <c r="L227" s="29">
        <v>1237</v>
      </c>
      <c r="M227" s="14">
        <v>168</v>
      </c>
      <c r="N227" s="11">
        <v>96</v>
      </c>
      <c r="O227" s="11">
        <v>0</v>
      </c>
      <c r="P227" s="11">
        <v>11</v>
      </c>
      <c r="Q227" s="11">
        <v>0</v>
      </c>
      <c r="R227" s="11">
        <v>0</v>
      </c>
      <c r="S227" s="11">
        <v>539.13</v>
      </c>
      <c r="T227" s="14">
        <v>115</v>
      </c>
      <c r="U227" s="14">
        <v>754</v>
      </c>
      <c r="V227" s="330"/>
      <c r="W227" s="11">
        <v>0.60026666666666662</v>
      </c>
      <c r="X227" s="64">
        <v>861</v>
      </c>
      <c r="Y227" s="64">
        <v>1064</v>
      </c>
      <c r="Z227" s="331">
        <v>1.0481132394384238</v>
      </c>
      <c r="AA227" s="31">
        <v>0</v>
      </c>
      <c r="AB227" s="11">
        <v>0</v>
      </c>
      <c r="AC227" s="11">
        <v>0</v>
      </c>
      <c r="AE227" s="32">
        <v>-109801.49800000001</v>
      </c>
      <c r="AF227" s="13">
        <v>-63892.460000000006</v>
      </c>
      <c r="AG227" s="13">
        <v>109501.78704697412</v>
      </c>
      <c r="AH227" s="13">
        <v>-67804.567751418261</v>
      </c>
      <c r="AI227" s="13">
        <v>-1554.0293693789936</v>
      </c>
      <c r="AJ227" s="13">
        <v>404465</v>
      </c>
      <c r="AK227" s="13">
        <v>122158</v>
      </c>
      <c r="AL227" s="13">
        <v>311739.81565455889</v>
      </c>
      <c r="AM227" s="13">
        <v>16778.709372529363</v>
      </c>
      <c r="AN227" s="13">
        <v>32261.400380317758</v>
      </c>
      <c r="AO227" s="13">
        <v>141033.168890131</v>
      </c>
      <c r="AP227" s="13">
        <v>189766.33782475995</v>
      </c>
      <c r="AQ227" s="13">
        <v>320605.1702299171</v>
      </c>
      <c r="AR227" s="13">
        <v>100839.90707654522</v>
      </c>
      <c r="AS227" s="13">
        <v>164273.63616782939</v>
      </c>
      <c r="AT227" s="34"/>
      <c r="AU227" s="13"/>
      <c r="AV227" s="34"/>
      <c r="AW227" s="34"/>
      <c r="AX227" s="34"/>
      <c r="AY227" s="13">
        <v>239437.09452532945</v>
      </c>
      <c r="AZ227" s="13">
        <v>124809.32617138833</v>
      </c>
      <c r="BA227" s="13">
        <v>119156.8204210675</v>
      </c>
      <c r="BB227" s="32">
        <v>1181236.7453195436</v>
      </c>
      <c r="BC227" s="33">
        <v>857502.47338241234</v>
      </c>
      <c r="BD227" s="33">
        <v>-95002.400000000009</v>
      </c>
      <c r="BE227" s="33">
        <v>-36406.959999999999</v>
      </c>
      <c r="BF227" s="14"/>
      <c r="BG227" s="14">
        <v>527005.80509936763</v>
      </c>
      <c r="BH227" s="33">
        <v>1049165.6853993172</v>
      </c>
      <c r="BI227" s="13">
        <v>454452</v>
      </c>
      <c r="BJ227" s="13">
        <v>593</v>
      </c>
      <c r="BK227" s="33">
        <v>58302.75</v>
      </c>
    </row>
    <row r="228" spans="1:63" ht="14.25" x14ac:dyDescent="0.2">
      <c r="A228" s="14">
        <v>740</v>
      </c>
      <c r="B228" s="14" t="s">
        <v>499</v>
      </c>
      <c r="C228" s="14">
        <v>31460</v>
      </c>
      <c r="D228" s="14">
        <v>898</v>
      </c>
      <c r="E228" s="14">
        <v>195</v>
      </c>
      <c r="F228" s="14">
        <v>1523</v>
      </c>
      <c r="G228" s="14">
        <v>913</v>
      </c>
      <c r="H228" s="14">
        <v>27931</v>
      </c>
      <c r="I228" s="14">
        <v>16135</v>
      </c>
      <c r="K228" s="29">
        <v>1692.25</v>
      </c>
      <c r="L228" s="29">
        <v>13520</v>
      </c>
      <c r="M228" s="14">
        <v>2427.5833333333335</v>
      </c>
      <c r="N228" s="11">
        <v>1790</v>
      </c>
      <c r="O228" s="11">
        <v>0</v>
      </c>
      <c r="P228" s="11">
        <v>41</v>
      </c>
      <c r="Q228" s="11">
        <v>3</v>
      </c>
      <c r="R228" s="11">
        <v>4508</v>
      </c>
      <c r="S228" s="11">
        <v>2238</v>
      </c>
      <c r="T228" s="14">
        <v>1066</v>
      </c>
      <c r="U228" s="14">
        <v>8010</v>
      </c>
      <c r="V228" s="330"/>
      <c r="W228" s="11">
        <v>0.3679</v>
      </c>
      <c r="X228" s="64">
        <v>11733</v>
      </c>
      <c r="Y228" s="64">
        <v>11581</v>
      </c>
      <c r="Z228" s="331">
        <v>0.75837861296463149</v>
      </c>
      <c r="AA228" s="31">
        <v>0</v>
      </c>
      <c r="AB228" s="11">
        <v>0</v>
      </c>
      <c r="AC228" s="11">
        <v>1</v>
      </c>
      <c r="AE228" s="32">
        <v>-1744776.4281500001</v>
      </c>
      <c r="AF228" s="13">
        <v>-627437.02</v>
      </c>
      <c r="AG228" s="13">
        <v>1716286.0343112592</v>
      </c>
      <c r="AH228" s="13">
        <v>-79370.826967052068</v>
      </c>
      <c r="AI228" s="13">
        <v>199349.90428293555</v>
      </c>
      <c r="AJ228" s="13">
        <v>3134752</v>
      </c>
      <c r="AK228" s="13">
        <v>972657</v>
      </c>
      <c r="AL228" s="13">
        <v>2432360.2074209754</v>
      </c>
      <c r="AM228" s="13">
        <v>111060.45902521518</v>
      </c>
      <c r="AN228" s="13">
        <v>21440.630819112841</v>
      </c>
      <c r="AO228" s="13">
        <v>1185246.8266214402</v>
      </c>
      <c r="AP228" s="13">
        <v>1798370.0961450383</v>
      </c>
      <c r="AQ228" s="13">
        <v>2924603.9590649819</v>
      </c>
      <c r="AR228" s="13">
        <v>904618.12834452931</v>
      </c>
      <c r="AS228" s="13">
        <v>1618745.2680681061</v>
      </c>
      <c r="AT228" s="34"/>
      <c r="AU228" s="13"/>
      <c r="AV228" s="34"/>
      <c r="AW228" s="34"/>
      <c r="AX228" s="34"/>
      <c r="AY228" s="13">
        <v>2081064.4991080731</v>
      </c>
      <c r="AZ228" s="13">
        <v>1144552.2110271549</v>
      </c>
      <c r="BA228" s="13">
        <v>1153887.5211592305</v>
      </c>
      <c r="BB228" s="32">
        <v>-5483952.9192687627</v>
      </c>
      <c r="BC228" s="33">
        <v>-922157.87701801397</v>
      </c>
      <c r="BD228" s="33">
        <v>-937508</v>
      </c>
      <c r="BE228" s="33">
        <v>-359273.2</v>
      </c>
      <c r="BF228" s="14"/>
      <c r="BG228" s="14">
        <v>3798134.5725815319</v>
      </c>
      <c r="BH228" s="33">
        <v>8364833.9102573069</v>
      </c>
      <c r="BI228" s="13">
        <v>-461479</v>
      </c>
      <c r="BJ228" s="13">
        <v>7201</v>
      </c>
      <c r="BK228" s="33">
        <v>-714032.01249999995</v>
      </c>
    </row>
    <row r="229" spans="1:63" ht="14.25" x14ac:dyDescent="0.2">
      <c r="A229" s="14">
        <v>742</v>
      </c>
      <c r="B229" s="14" t="s">
        <v>500</v>
      </c>
      <c r="C229" s="14">
        <v>964</v>
      </c>
      <c r="D229" s="14">
        <v>36</v>
      </c>
      <c r="E229" s="14">
        <v>9</v>
      </c>
      <c r="F229" s="14">
        <v>40</v>
      </c>
      <c r="G229" s="14">
        <v>20</v>
      </c>
      <c r="H229" s="14">
        <v>859</v>
      </c>
      <c r="I229" s="14">
        <v>489</v>
      </c>
      <c r="K229" s="29">
        <v>57.333333333333336</v>
      </c>
      <c r="L229" s="29">
        <v>439</v>
      </c>
      <c r="M229" s="14">
        <v>76.166666666666671</v>
      </c>
      <c r="N229" s="11">
        <v>23</v>
      </c>
      <c r="O229" s="11">
        <v>0</v>
      </c>
      <c r="P229" s="11">
        <v>3</v>
      </c>
      <c r="Q229" s="11">
        <v>0</v>
      </c>
      <c r="R229" s="11">
        <v>0</v>
      </c>
      <c r="S229" s="11">
        <v>6440.1</v>
      </c>
      <c r="T229" s="14">
        <v>33</v>
      </c>
      <c r="U229" s="14">
        <v>231</v>
      </c>
      <c r="V229" s="330"/>
      <c r="W229" s="11">
        <v>1.9433833333333332</v>
      </c>
      <c r="X229" s="64">
        <v>359</v>
      </c>
      <c r="Y229" s="64">
        <v>374</v>
      </c>
      <c r="Z229" s="331">
        <v>0.93646458598477078</v>
      </c>
      <c r="AA229" s="31">
        <v>0</v>
      </c>
      <c r="AB229" s="11">
        <v>0</v>
      </c>
      <c r="AC229" s="11">
        <v>5</v>
      </c>
      <c r="AE229" s="32">
        <v>-23279.4</v>
      </c>
      <c r="AF229" s="13">
        <v>-19382.89</v>
      </c>
      <c r="AG229" s="13">
        <v>69020.326418453813</v>
      </c>
      <c r="AH229" s="13">
        <v>-28281.944802747388</v>
      </c>
      <c r="AI229" s="13">
        <v>3887.5674506031537</v>
      </c>
      <c r="AJ229" s="13">
        <v>109834</v>
      </c>
      <c r="AK229" s="13">
        <v>36537</v>
      </c>
      <c r="AL229" s="13">
        <v>107128.47253510478</v>
      </c>
      <c r="AM229" s="13">
        <v>6185.4526394175327</v>
      </c>
      <c r="AN229" s="13">
        <v>17547.13801080827</v>
      </c>
      <c r="AO229" s="13">
        <v>43891.126173237739</v>
      </c>
      <c r="AP229" s="13">
        <v>62396.715269829845</v>
      </c>
      <c r="AQ229" s="13">
        <v>97408.825132475511</v>
      </c>
      <c r="AR229" s="13">
        <v>32774.602269361661</v>
      </c>
      <c r="AS229" s="13">
        <v>55547.7924942877</v>
      </c>
      <c r="AT229" s="34"/>
      <c r="AU229" s="13"/>
      <c r="AV229" s="34"/>
      <c r="AW229" s="34"/>
      <c r="AX229" s="34"/>
      <c r="AY229" s="13">
        <v>73236.725573150979</v>
      </c>
      <c r="AZ229" s="13">
        <v>37764.174228648713</v>
      </c>
      <c r="BA229" s="13">
        <v>37274.982462439519</v>
      </c>
      <c r="BB229" s="32">
        <v>-3069.3803781253428</v>
      </c>
      <c r="BC229" s="33">
        <v>175807.06339282446</v>
      </c>
      <c r="BD229" s="33">
        <v>-28727.200000000001</v>
      </c>
      <c r="BE229" s="33">
        <v>-11008.88</v>
      </c>
      <c r="BF229" s="14"/>
      <c r="BG229" s="14">
        <v>162267.12439962776</v>
      </c>
      <c r="BH229" s="33">
        <v>65360.612898886771</v>
      </c>
      <c r="BI229" s="13">
        <v>462732</v>
      </c>
      <c r="BJ229" s="13">
        <v>183</v>
      </c>
      <c r="BK229" s="33">
        <v>45847.162499999999</v>
      </c>
    </row>
    <row r="230" spans="1:63" ht="14.25" x14ac:dyDescent="0.2">
      <c r="A230" s="14">
        <v>743</v>
      </c>
      <c r="B230" s="14" t="s">
        <v>501</v>
      </c>
      <c r="C230" s="14">
        <v>66611</v>
      </c>
      <c r="D230" s="14">
        <v>3768</v>
      </c>
      <c r="E230" s="14">
        <v>664</v>
      </c>
      <c r="F230" s="14">
        <v>4751</v>
      </c>
      <c r="G230" s="14">
        <v>2463</v>
      </c>
      <c r="H230" s="14">
        <v>54965</v>
      </c>
      <c r="I230" s="14">
        <v>39341</v>
      </c>
      <c r="K230" s="29">
        <v>2647.1666666666665</v>
      </c>
      <c r="L230" s="29">
        <v>32301</v>
      </c>
      <c r="M230" s="14">
        <v>3820.9166666666665</v>
      </c>
      <c r="N230" s="11">
        <v>3561</v>
      </c>
      <c r="O230" s="11">
        <v>0</v>
      </c>
      <c r="P230" s="11">
        <v>152</v>
      </c>
      <c r="Q230" s="11">
        <v>0</v>
      </c>
      <c r="R230" s="11">
        <v>0</v>
      </c>
      <c r="S230" s="11">
        <v>1431.59</v>
      </c>
      <c r="T230" s="14">
        <v>2114</v>
      </c>
      <c r="U230" s="14">
        <v>20996</v>
      </c>
      <c r="V230" s="330"/>
      <c r="W230" s="11">
        <v>0</v>
      </c>
      <c r="X230" s="64">
        <v>33610</v>
      </c>
      <c r="Y230" s="64">
        <v>30110</v>
      </c>
      <c r="Z230" s="331">
        <v>0.99856169255056237</v>
      </c>
      <c r="AA230" s="31">
        <v>0.95658854805088878</v>
      </c>
      <c r="AB230" s="11">
        <v>0</v>
      </c>
      <c r="AC230" s="11">
        <v>4</v>
      </c>
      <c r="AE230" s="32">
        <v>-3256405.2033000002</v>
      </c>
      <c r="AF230" s="13">
        <v>-1231937.3</v>
      </c>
      <c r="AG230" s="13">
        <v>2348341.8496672735</v>
      </c>
      <c r="AH230" s="13">
        <v>-680737.36270463001</v>
      </c>
      <c r="AI230" s="13">
        <v>5990.4041437932756</v>
      </c>
      <c r="AJ230" s="13">
        <v>3978804</v>
      </c>
      <c r="AK230" s="13">
        <v>1391477</v>
      </c>
      <c r="AL230" s="13">
        <v>3226519.989374259</v>
      </c>
      <c r="AM230" s="13">
        <v>102023.61029979105</v>
      </c>
      <c r="AN230" s="13">
        <v>237407.69299697477</v>
      </c>
      <c r="AO230" s="13">
        <v>1427481.3590565426</v>
      </c>
      <c r="AP230" s="13">
        <v>3172709.9227266847</v>
      </c>
      <c r="AQ230" s="13">
        <v>4787147.2990270993</v>
      </c>
      <c r="AR230" s="13">
        <v>1525942.3086978707</v>
      </c>
      <c r="AS230" s="13">
        <v>2622742.8243165072</v>
      </c>
      <c r="AT230" s="34"/>
      <c r="AU230" s="13"/>
      <c r="AV230" s="34"/>
      <c r="AW230" s="34"/>
      <c r="AX230" s="34"/>
      <c r="AY230" s="13">
        <v>3479615.597833192</v>
      </c>
      <c r="AZ230" s="13">
        <v>2187170.9143174672</v>
      </c>
      <c r="BA230" s="13">
        <v>2160656.311479676</v>
      </c>
      <c r="BB230" s="32">
        <v>-8531579.612140391</v>
      </c>
      <c r="BC230" s="33">
        <v>-2346085.3484222279</v>
      </c>
      <c r="BD230" s="33">
        <v>-1985007.8</v>
      </c>
      <c r="BE230" s="33">
        <v>-760697.62</v>
      </c>
      <c r="BF230" s="14"/>
      <c r="BG230" s="14">
        <v>4538705.3203005856</v>
      </c>
      <c r="BH230" s="33">
        <v>12026547.028174225</v>
      </c>
      <c r="BI230" s="13">
        <v>-1342540</v>
      </c>
      <c r="BJ230" s="13">
        <v>23177</v>
      </c>
      <c r="BK230" s="33">
        <v>-390257.40749999974</v>
      </c>
    </row>
    <row r="231" spans="1:63" ht="14.25" x14ac:dyDescent="0.2">
      <c r="A231" s="14">
        <v>746</v>
      </c>
      <c r="B231" s="14" t="s">
        <v>502</v>
      </c>
      <c r="C231" s="14">
        <v>4603</v>
      </c>
      <c r="D231" s="14">
        <v>310</v>
      </c>
      <c r="E231" s="14">
        <v>60</v>
      </c>
      <c r="F231" s="14">
        <v>448</v>
      </c>
      <c r="G231" s="14">
        <v>280</v>
      </c>
      <c r="H231" s="14">
        <v>3505</v>
      </c>
      <c r="I231" s="14">
        <v>2323</v>
      </c>
      <c r="K231" s="29">
        <v>202</v>
      </c>
      <c r="L231" s="29">
        <v>1949</v>
      </c>
      <c r="M231" s="14">
        <v>251.25</v>
      </c>
      <c r="N231" s="11">
        <v>182</v>
      </c>
      <c r="O231" s="11">
        <v>0</v>
      </c>
      <c r="P231" s="11">
        <v>11</v>
      </c>
      <c r="Q231" s="11">
        <v>0</v>
      </c>
      <c r="R231" s="11">
        <v>0</v>
      </c>
      <c r="S231" s="11">
        <v>786.39</v>
      </c>
      <c r="T231" s="14">
        <v>212</v>
      </c>
      <c r="U231" s="14">
        <v>1278</v>
      </c>
      <c r="V231" s="330"/>
      <c r="W231" s="11">
        <v>0.17035</v>
      </c>
      <c r="X231" s="64">
        <v>2016</v>
      </c>
      <c r="Y231" s="64">
        <v>1739</v>
      </c>
      <c r="Z231" s="331">
        <v>1.0083349595378281</v>
      </c>
      <c r="AA231" s="31">
        <v>0</v>
      </c>
      <c r="AB231" s="11">
        <v>0</v>
      </c>
      <c r="AC231" s="11">
        <v>1</v>
      </c>
      <c r="AE231" s="32">
        <v>-147822.465</v>
      </c>
      <c r="AF231" s="13">
        <v>-92861.14</v>
      </c>
      <c r="AG231" s="13">
        <v>117042.39976614976</v>
      </c>
      <c r="AH231" s="13">
        <v>-156745.46520953136</v>
      </c>
      <c r="AI231" s="13">
        <v>-23612.514758430567</v>
      </c>
      <c r="AJ231" s="13">
        <v>462947</v>
      </c>
      <c r="AK231" s="13">
        <v>137655</v>
      </c>
      <c r="AL231" s="13">
        <v>343284.87997997442</v>
      </c>
      <c r="AM231" s="13">
        <v>13713.831083321365</v>
      </c>
      <c r="AN231" s="13">
        <v>41211.212880320585</v>
      </c>
      <c r="AO231" s="13">
        <v>189663.91626609047</v>
      </c>
      <c r="AP231" s="13">
        <v>254083.69828550037</v>
      </c>
      <c r="AQ231" s="13">
        <v>421469.8857876907</v>
      </c>
      <c r="AR231" s="13">
        <v>98138.351323829862</v>
      </c>
      <c r="AS231" s="13">
        <v>210644.02742289516</v>
      </c>
      <c r="AT231" s="34"/>
      <c r="AU231" s="13"/>
      <c r="AV231" s="34"/>
      <c r="AW231" s="34"/>
      <c r="AX231" s="34"/>
      <c r="AY231" s="13">
        <v>296906.05494100548</v>
      </c>
      <c r="AZ231" s="13">
        <v>169890.23525348326</v>
      </c>
      <c r="BA231" s="13">
        <v>166004.70027815059</v>
      </c>
      <c r="BB231" s="32">
        <v>-148717.32408441388</v>
      </c>
      <c r="BC231" s="33">
        <v>-465453.84852149873</v>
      </c>
      <c r="BD231" s="33">
        <v>-137169.4</v>
      </c>
      <c r="BE231" s="33">
        <v>-52566.26</v>
      </c>
      <c r="BF231" s="14"/>
      <c r="BG231" s="14">
        <v>606024.84236688283</v>
      </c>
      <c r="BH231" s="33">
        <v>2324322.1027114312</v>
      </c>
      <c r="BI231" s="13">
        <v>310695</v>
      </c>
      <c r="BJ231" s="13">
        <v>1768</v>
      </c>
      <c r="BK231" s="33">
        <v>50405.377500000002</v>
      </c>
    </row>
    <row r="232" spans="1:63" ht="14.25" x14ac:dyDescent="0.2">
      <c r="A232" s="14">
        <v>747</v>
      </c>
      <c r="B232" s="14" t="s">
        <v>503</v>
      </c>
      <c r="C232" s="14">
        <v>1264</v>
      </c>
      <c r="D232" s="14">
        <v>37</v>
      </c>
      <c r="E232" s="14">
        <v>10</v>
      </c>
      <c r="F232" s="14">
        <v>62</v>
      </c>
      <c r="G232" s="14">
        <v>37</v>
      </c>
      <c r="H232" s="14">
        <v>1118</v>
      </c>
      <c r="I232" s="14">
        <v>580</v>
      </c>
      <c r="K232" s="29">
        <v>52.75</v>
      </c>
      <c r="L232" s="29">
        <v>495</v>
      </c>
      <c r="M232" s="14">
        <v>77.083333333333329</v>
      </c>
      <c r="N232" s="11">
        <v>20</v>
      </c>
      <c r="O232" s="11">
        <v>0</v>
      </c>
      <c r="P232" s="11">
        <v>2</v>
      </c>
      <c r="Q232" s="11">
        <v>0</v>
      </c>
      <c r="R232" s="11">
        <v>0</v>
      </c>
      <c r="S232" s="11">
        <v>463.31</v>
      </c>
      <c r="T232" s="14">
        <v>41</v>
      </c>
      <c r="U232" s="14">
        <v>276</v>
      </c>
      <c r="V232" s="330"/>
      <c r="W232" s="11">
        <v>1.2231166666666669</v>
      </c>
      <c r="X232" s="64">
        <v>348</v>
      </c>
      <c r="Y232" s="64">
        <v>436</v>
      </c>
      <c r="Z232" s="331">
        <v>0.79806355742446522</v>
      </c>
      <c r="AA232" s="31">
        <v>0</v>
      </c>
      <c r="AB232" s="11">
        <v>0</v>
      </c>
      <c r="AC232" s="11">
        <v>0</v>
      </c>
      <c r="AE232" s="32">
        <v>-21813.5</v>
      </c>
      <c r="AF232" s="13">
        <v>-26605.850000000002</v>
      </c>
      <c r="AG232" s="13">
        <v>117217.8489052419</v>
      </c>
      <c r="AH232" s="13">
        <v>-33844.828647732989</v>
      </c>
      <c r="AI232" s="13">
        <v>374.1865050950546</v>
      </c>
      <c r="AJ232" s="13">
        <v>194214</v>
      </c>
      <c r="AK232" s="13">
        <v>52652</v>
      </c>
      <c r="AL232" s="13">
        <v>152870.62428286689</v>
      </c>
      <c r="AM232" s="13">
        <v>8275.7313798883606</v>
      </c>
      <c r="AN232" s="13">
        <v>23177.556399739366</v>
      </c>
      <c r="AO232" s="13">
        <v>76240.892831777441</v>
      </c>
      <c r="AP232" s="13">
        <v>87562.766283368124</v>
      </c>
      <c r="AQ232" s="13">
        <v>132934.73593552804</v>
      </c>
      <c r="AR232" s="13">
        <v>40130.989849962869</v>
      </c>
      <c r="AS232" s="13">
        <v>76298.406057322281</v>
      </c>
      <c r="AT232" s="34"/>
      <c r="AU232" s="13"/>
      <c r="AV232" s="34"/>
      <c r="AW232" s="34"/>
      <c r="AX232" s="34"/>
      <c r="AY232" s="13">
        <v>110792.32204853125</v>
      </c>
      <c r="AZ232" s="13">
        <v>55561.725546844813</v>
      </c>
      <c r="BA232" s="13">
        <v>50212.443772992818</v>
      </c>
      <c r="BB232" s="32">
        <v>363573.27875279542</v>
      </c>
      <c r="BC232" s="33">
        <v>238578.81171861166</v>
      </c>
      <c r="BD232" s="33">
        <v>-37667.200000000004</v>
      </c>
      <c r="BE232" s="33">
        <v>-14434.88</v>
      </c>
      <c r="BF232" s="14"/>
      <c r="BG232" s="14">
        <v>258041.79879015163</v>
      </c>
      <c r="BH232" s="33">
        <v>573856.15120759362</v>
      </c>
      <c r="BI232" s="13">
        <v>-263730</v>
      </c>
      <c r="BJ232" s="13">
        <v>237</v>
      </c>
      <c r="BK232" s="33">
        <v>56624.337499999994</v>
      </c>
    </row>
    <row r="233" spans="1:63" ht="14.25" x14ac:dyDescent="0.2">
      <c r="A233" s="14">
        <v>748</v>
      </c>
      <c r="B233" s="14" t="s">
        <v>504</v>
      </c>
      <c r="C233" s="14">
        <v>4804</v>
      </c>
      <c r="D233" s="14">
        <v>278</v>
      </c>
      <c r="E233" s="14">
        <v>68</v>
      </c>
      <c r="F233" s="14">
        <v>425</v>
      </c>
      <c r="G233" s="14">
        <v>253</v>
      </c>
      <c r="H233" s="14">
        <v>3780</v>
      </c>
      <c r="I233" s="14">
        <v>2311</v>
      </c>
      <c r="K233" s="29">
        <v>187.25</v>
      </c>
      <c r="L233" s="29">
        <v>1972</v>
      </c>
      <c r="M233" s="14">
        <v>253.58333333333331</v>
      </c>
      <c r="N233" s="11">
        <v>90</v>
      </c>
      <c r="O233" s="11">
        <v>0</v>
      </c>
      <c r="P233" s="11">
        <v>2</v>
      </c>
      <c r="Q233" s="11">
        <v>0</v>
      </c>
      <c r="R233" s="11">
        <v>0</v>
      </c>
      <c r="S233" s="11">
        <v>1055.52</v>
      </c>
      <c r="T233" s="14">
        <v>169</v>
      </c>
      <c r="U233" s="14">
        <v>1267</v>
      </c>
      <c r="V233" s="330"/>
      <c r="W233" s="11">
        <v>0.54026666666666667</v>
      </c>
      <c r="X233" s="64">
        <v>1618</v>
      </c>
      <c r="Y233" s="64">
        <v>1749</v>
      </c>
      <c r="Z233" s="331">
        <v>0.85781668919909759</v>
      </c>
      <c r="AA233" s="31">
        <v>0</v>
      </c>
      <c r="AB233" s="11">
        <v>0</v>
      </c>
      <c r="AC233" s="11">
        <v>0</v>
      </c>
      <c r="AE233" s="32">
        <v>-84669.164999999994</v>
      </c>
      <c r="AF233" s="13">
        <v>-96703.14</v>
      </c>
      <c r="AG233" s="13">
        <v>128110.09448919812</v>
      </c>
      <c r="AH233" s="13">
        <v>-121735.56181595608</v>
      </c>
      <c r="AI233" s="13">
        <v>-1993.1422600919759</v>
      </c>
      <c r="AJ233" s="13">
        <v>465420</v>
      </c>
      <c r="AK233" s="13">
        <v>151091</v>
      </c>
      <c r="AL233" s="13">
        <v>374569.73627007403</v>
      </c>
      <c r="AM233" s="13">
        <v>18315.786693797167</v>
      </c>
      <c r="AN233" s="13">
        <v>52426.308172741112</v>
      </c>
      <c r="AO233" s="13">
        <v>175422.20950342881</v>
      </c>
      <c r="AP233" s="13">
        <v>273513.79267517006</v>
      </c>
      <c r="AQ233" s="13">
        <v>475831.03899427562</v>
      </c>
      <c r="AR233" s="13">
        <v>106326.49801252587</v>
      </c>
      <c r="AS233" s="13">
        <v>231133.4345225484</v>
      </c>
      <c r="AT233" s="34"/>
      <c r="AU233" s="13"/>
      <c r="AV233" s="34"/>
      <c r="AW233" s="34"/>
      <c r="AX233" s="34"/>
      <c r="AY233" s="13">
        <v>324982.51331707882</v>
      </c>
      <c r="AZ233" s="13">
        <v>179230.4517422021</v>
      </c>
      <c r="BA233" s="13">
        <v>161832.86593023487</v>
      </c>
      <c r="BB233" s="32">
        <v>-828488.94256553904</v>
      </c>
      <c r="BC233" s="33">
        <v>-767458.32781066978</v>
      </c>
      <c r="BD233" s="33">
        <v>-143159.20000000001</v>
      </c>
      <c r="BE233" s="33">
        <v>-54861.68</v>
      </c>
      <c r="BF233" s="14"/>
      <c r="BG233" s="14">
        <v>693816.58668948826</v>
      </c>
      <c r="BH233" s="33">
        <v>2513095.4144267039</v>
      </c>
      <c r="BI233" s="13">
        <v>114572</v>
      </c>
      <c r="BJ233" s="13">
        <v>1556</v>
      </c>
      <c r="BK233" s="33">
        <v>252645.25</v>
      </c>
    </row>
    <row r="234" spans="1:63" ht="14.25" x14ac:dyDescent="0.2">
      <c r="A234" s="14">
        <v>791</v>
      </c>
      <c r="B234" s="14" t="s">
        <v>521</v>
      </c>
      <c r="C234" s="14">
        <v>4938</v>
      </c>
      <c r="D234" s="14">
        <v>229</v>
      </c>
      <c r="E234" s="14">
        <v>36</v>
      </c>
      <c r="F234" s="14">
        <v>305</v>
      </c>
      <c r="G234" s="14">
        <v>181</v>
      </c>
      <c r="H234" s="14">
        <v>4187</v>
      </c>
      <c r="I234" s="14">
        <v>2420</v>
      </c>
      <c r="K234" s="29">
        <v>196.25</v>
      </c>
      <c r="L234" s="29">
        <v>2087</v>
      </c>
      <c r="M234" s="14">
        <v>247.16666666666666</v>
      </c>
      <c r="N234" s="11">
        <v>100</v>
      </c>
      <c r="O234" s="11">
        <v>0</v>
      </c>
      <c r="P234" s="11">
        <v>3</v>
      </c>
      <c r="Q234" s="11">
        <v>0</v>
      </c>
      <c r="R234" s="11">
        <v>0</v>
      </c>
      <c r="S234" s="11">
        <v>2173.4499999999998</v>
      </c>
      <c r="T234" s="14">
        <v>159</v>
      </c>
      <c r="U234" s="14">
        <v>1250</v>
      </c>
      <c r="V234" s="330"/>
      <c r="W234" s="11">
        <v>1.4546666666666668</v>
      </c>
      <c r="X234" s="64">
        <v>1631</v>
      </c>
      <c r="Y234" s="64">
        <v>1782</v>
      </c>
      <c r="Z234" s="331">
        <v>0.9083023197846648</v>
      </c>
      <c r="AA234" s="31">
        <v>0</v>
      </c>
      <c r="AB234" s="11">
        <v>0</v>
      </c>
      <c r="AC234" s="11">
        <v>0</v>
      </c>
      <c r="AE234" s="32">
        <v>-99284.132500000007</v>
      </c>
      <c r="AF234" s="13">
        <v>-99949.63</v>
      </c>
      <c r="AG234" s="13">
        <v>194480.34122731857</v>
      </c>
      <c r="AH234" s="13">
        <v>-143553.76905189251</v>
      </c>
      <c r="AI234" s="13">
        <v>-4167.4801182964002</v>
      </c>
      <c r="AJ234" s="13">
        <v>624315</v>
      </c>
      <c r="AK234" s="13">
        <v>194814</v>
      </c>
      <c r="AL234" s="13">
        <v>524333.87683690561</v>
      </c>
      <c r="AM234" s="13">
        <v>27091.534205211276</v>
      </c>
      <c r="AN234" s="13">
        <v>67076.00854807171</v>
      </c>
      <c r="AO234" s="13">
        <v>250225.77368710391</v>
      </c>
      <c r="AP234" s="13">
        <v>339421.64570747496</v>
      </c>
      <c r="AQ234" s="13">
        <v>554868.61426965368</v>
      </c>
      <c r="AR234" s="13">
        <v>169167.16298962926</v>
      </c>
      <c r="AS234" s="13">
        <v>282338.45270279958</v>
      </c>
      <c r="AT234" s="34"/>
      <c r="AU234" s="13"/>
      <c r="AV234" s="34"/>
      <c r="AW234" s="34"/>
      <c r="AX234" s="34"/>
      <c r="AY234" s="13">
        <v>399136.68254131521</v>
      </c>
      <c r="AZ234" s="13">
        <v>206408.54388059088</v>
      </c>
      <c r="BA234" s="13">
        <v>214043.76950625089</v>
      </c>
      <c r="BB234" s="32">
        <v>554688.42463979241</v>
      </c>
      <c r="BC234" s="33">
        <v>-21256.130743870901</v>
      </c>
      <c r="BD234" s="33">
        <v>-147152.4</v>
      </c>
      <c r="BE234" s="33">
        <v>-56391.96</v>
      </c>
      <c r="BF234" s="14"/>
      <c r="BG234" s="14">
        <v>962013.98049332981</v>
      </c>
      <c r="BH234" s="33">
        <v>2760399.2358442051</v>
      </c>
      <c r="BI234" s="13">
        <v>-92940</v>
      </c>
      <c r="BJ234" s="13">
        <v>1238</v>
      </c>
      <c r="BK234" s="33">
        <v>-63779.674999999988</v>
      </c>
    </row>
    <row r="235" spans="1:63" ht="14.25" x14ac:dyDescent="0.2">
      <c r="A235" s="14">
        <v>749</v>
      </c>
      <c r="B235" s="14" t="s">
        <v>505</v>
      </c>
      <c r="C235" s="14">
        <v>21269</v>
      </c>
      <c r="D235" s="14">
        <v>1176</v>
      </c>
      <c r="E235" s="14">
        <v>258</v>
      </c>
      <c r="F235" s="14">
        <v>1771</v>
      </c>
      <c r="G235" s="14">
        <v>925</v>
      </c>
      <c r="H235" s="14">
        <v>17139</v>
      </c>
      <c r="I235" s="14">
        <v>11616</v>
      </c>
      <c r="K235" s="29">
        <v>829.41666666666663</v>
      </c>
      <c r="L235" s="29">
        <v>9923</v>
      </c>
      <c r="M235" s="14">
        <v>1085.5833333333333</v>
      </c>
      <c r="N235" s="11">
        <v>519</v>
      </c>
      <c r="O235" s="11">
        <v>0</v>
      </c>
      <c r="P235" s="11">
        <v>15</v>
      </c>
      <c r="Q235" s="11">
        <v>0</v>
      </c>
      <c r="R235" s="11">
        <v>0</v>
      </c>
      <c r="S235" s="11">
        <v>401.02</v>
      </c>
      <c r="T235" s="14">
        <v>507</v>
      </c>
      <c r="U235" s="14">
        <v>6792</v>
      </c>
      <c r="V235" s="330"/>
      <c r="W235" s="11">
        <v>0</v>
      </c>
      <c r="X235" s="64">
        <v>7145</v>
      </c>
      <c r="Y235" s="64">
        <v>9107</v>
      </c>
      <c r="Z235" s="331">
        <v>0.95892280673493868</v>
      </c>
      <c r="AA235" s="31">
        <v>0</v>
      </c>
      <c r="AB235" s="11">
        <v>0</v>
      </c>
      <c r="AC235" s="11">
        <v>1</v>
      </c>
      <c r="AE235" s="32">
        <v>-827843.76</v>
      </c>
      <c r="AF235" s="13">
        <v>-408231.71</v>
      </c>
      <c r="AG235" s="13">
        <v>449324.04434690671</v>
      </c>
      <c r="AH235" s="13">
        <v>-196209.01071524346</v>
      </c>
      <c r="AI235" s="13">
        <v>-37105.02811804245</v>
      </c>
      <c r="AJ235" s="13">
        <v>1402958</v>
      </c>
      <c r="AK235" s="13">
        <v>450760</v>
      </c>
      <c r="AL235" s="13">
        <v>925488.77533494611</v>
      </c>
      <c r="AM235" s="13">
        <v>16784.10139488702</v>
      </c>
      <c r="AN235" s="13">
        <v>5877.0895005306902</v>
      </c>
      <c r="AO235" s="13">
        <v>448920.01887703832</v>
      </c>
      <c r="AP235" s="13">
        <v>987855.06471204059</v>
      </c>
      <c r="AQ235" s="13">
        <v>1641445.0655553432</v>
      </c>
      <c r="AR235" s="13">
        <v>407506.34797263384</v>
      </c>
      <c r="AS235" s="13">
        <v>785784.58192243241</v>
      </c>
      <c r="AT235" s="34"/>
      <c r="AU235" s="13"/>
      <c r="AV235" s="34"/>
      <c r="AW235" s="34"/>
      <c r="AX235" s="34"/>
      <c r="AY235" s="13">
        <v>967842.98420603247</v>
      </c>
      <c r="AZ235" s="13">
        <v>653858.07332714077</v>
      </c>
      <c r="BA235" s="13">
        <v>658241.75983757724</v>
      </c>
      <c r="BB235" s="32">
        <v>-1993593.6277813506</v>
      </c>
      <c r="BC235" s="33">
        <v>-1614773.5081877732</v>
      </c>
      <c r="BD235" s="33">
        <v>-633816.20000000007</v>
      </c>
      <c r="BE235" s="33">
        <v>-242891.98</v>
      </c>
      <c r="BF235" s="14"/>
      <c r="BG235" s="14">
        <v>1098181.0541812326</v>
      </c>
      <c r="BH235" s="33">
        <v>829120.02018975222</v>
      </c>
      <c r="BI235" s="13">
        <v>-1536185</v>
      </c>
      <c r="BJ235" s="13">
        <v>6483</v>
      </c>
      <c r="BK235" s="33">
        <v>284641.09250000003</v>
      </c>
    </row>
    <row r="236" spans="1:63" ht="14.25" x14ac:dyDescent="0.2">
      <c r="A236" s="14">
        <v>751</v>
      </c>
      <c r="B236" s="14" t="s">
        <v>506</v>
      </c>
      <c r="C236" s="14">
        <v>2778</v>
      </c>
      <c r="D236" s="14">
        <v>89</v>
      </c>
      <c r="E236" s="14">
        <v>17</v>
      </c>
      <c r="F236" s="14">
        <v>163</v>
      </c>
      <c r="G236" s="14">
        <v>98</v>
      </c>
      <c r="H236" s="14">
        <v>2411</v>
      </c>
      <c r="I236" s="14">
        <v>1312</v>
      </c>
      <c r="K236" s="29">
        <v>107.33333333333333</v>
      </c>
      <c r="L236" s="29">
        <v>1127</v>
      </c>
      <c r="M236" s="14">
        <v>154.08333333333331</v>
      </c>
      <c r="N236" s="11">
        <v>29</v>
      </c>
      <c r="O236" s="11">
        <v>0</v>
      </c>
      <c r="P236" s="11">
        <v>10</v>
      </c>
      <c r="Q236" s="11">
        <v>0</v>
      </c>
      <c r="R236" s="11">
        <v>0</v>
      </c>
      <c r="S236" s="11">
        <v>1445.7</v>
      </c>
      <c r="T236" s="14">
        <v>72</v>
      </c>
      <c r="U236" s="14">
        <v>669</v>
      </c>
      <c r="V236" s="330"/>
      <c r="W236" s="11">
        <v>0.79239999999999999</v>
      </c>
      <c r="X236" s="64">
        <v>576</v>
      </c>
      <c r="Y236" s="64">
        <v>980</v>
      </c>
      <c r="Z236" s="331">
        <v>0.94608114965518741</v>
      </c>
      <c r="AA236" s="31">
        <v>0</v>
      </c>
      <c r="AB236" s="11">
        <v>0</v>
      </c>
      <c r="AC236" s="11">
        <v>0</v>
      </c>
      <c r="AE236" s="32">
        <v>-49644.065000000002</v>
      </c>
      <c r="AF236" s="13">
        <v>-56669.5</v>
      </c>
      <c r="AG236" s="13">
        <v>154249.62439920762</v>
      </c>
      <c r="AH236" s="13">
        <v>-58041.961696079336</v>
      </c>
      <c r="AI236" s="13">
        <v>7649.5998011408446</v>
      </c>
      <c r="AJ236" s="13">
        <v>281841</v>
      </c>
      <c r="AK236" s="13">
        <v>83216</v>
      </c>
      <c r="AL236" s="13">
        <v>185548.22637782278</v>
      </c>
      <c r="AM236" s="13">
        <v>9122.7819790680715</v>
      </c>
      <c r="AN236" s="13">
        <v>27602.543467581676</v>
      </c>
      <c r="AO236" s="13">
        <v>93219.174150255494</v>
      </c>
      <c r="AP236" s="13">
        <v>151745.66252837007</v>
      </c>
      <c r="AQ236" s="13">
        <v>271138.62060945481</v>
      </c>
      <c r="AR236" s="13">
        <v>64696.260161207567</v>
      </c>
      <c r="AS236" s="13">
        <v>127187.68884795195</v>
      </c>
      <c r="AT236" s="34"/>
      <c r="AU236" s="13"/>
      <c r="AV236" s="34"/>
      <c r="AW236" s="34"/>
      <c r="AX236" s="34"/>
      <c r="AY236" s="13">
        <v>148092.50588509606</v>
      </c>
      <c r="AZ236" s="13">
        <v>89454.115494711004</v>
      </c>
      <c r="BA236" s="13">
        <v>89908.790306390118</v>
      </c>
      <c r="BB236" s="32">
        <v>278470.92239572416</v>
      </c>
      <c r="BC236" s="33">
        <v>-12160.24819051831</v>
      </c>
      <c r="BD236" s="33">
        <v>-82784.400000000009</v>
      </c>
      <c r="BE236" s="33">
        <v>-31724.76</v>
      </c>
      <c r="BF236" s="14"/>
      <c r="BG236" s="14">
        <v>291715.95964894822</v>
      </c>
      <c r="BH236" s="33">
        <v>1084651.8956484494</v>
      </c>
      <c r="BI236" s="13">
        <v>259120</v>
      </c>
      <c r="BJ236" s="13">
        <v>608</v>
      </c>
      <c r="BK236" s="33">
        <v>17579.162499999999</v>
      </c>
    </row>
    <row r="237" spans="1:63" ht="14.25" x14ac:dyDescent="0.2">
      <c r="A237" s="14">
        <v>753</v>
      </c>
      <c r="B237" s="14" t="s">
        <v>507</v>
      </c>
      <c r="C237" s="14">
        <v>22826</v>
      </c>
      <c r="D237" s="14">
        <v>1290</v>
      </c>
      <c r="E237" s="14">
        <v>245</v>
      </c>
      <c r="F237" s="14">
        <v>1630</v>
      </c>
      <c r="G237" s="14">
        <v>939</v>
      </c>
      <c r="H237" s="14">
        <v>18722</v>
      </c>
      <c r="I237" s="14">
        <v>13779</v>
      </c>
      <c r="K237" s="29">
        <v>835.25</v>
      </c>
      <c r="L237" s="29">
        <v>11799</v>
      </c>
      <c r="M237" s="14">
        <v>1076.6666666666667</v>
      </c>
      <c r="N237" s="11">
        <v>1732</v>
      </c>
      <c r="O237" s="11">
        <v>1</v>
      </c>
      <c r="P237" s="11">
        <v>6265</v>
      </c>
      <c r="Q237" s="11">
        <v>3</v>
      </c>
      <c r="R237" s="11">
        <v>186</v>
      </c>
      <c r="S237" s="11">
        <v>339.67</v>
      </c>
      <c r="T237" s="14">
        <v>977</v>
      </c>
      <c r="U237" s="14">
        <v>7768</v>
      </c>
      <c r="V237" s="330"/>
      <c r="W237" s="11">
        <v>0</v>
      </c>
      <c r="X237" s="64">
        <v>6920</v>
      </c>
      <c r="Y237" s="64">
        <v>11132</v>
      </c>
      <c r="Z237" s="331">
        <v>0.91364016947316429</v>
      </c>
      <c r="AA237" s="31">
        <v>0.94675947074863342</v>
      </c>
      <c r="AB237" s="11">
        <v>0</v>
      </c>
      <c r="AC237" s="11">
        <v>2</v>
      </c>
      <c r="AE237" s="32">
        <v>-798825.54029999999</v>
      </c>
      <c r="AF237" s="13">
        <v>-416607.27</v>
      </c>
      <c r="AG237" s="13">
        <v>341565.96070901002</v>
      </c>
      <c r="AH237" s="13">
        <v>-492296.40777757514</v>
      </c>
      <c r="AI237" s="13">
        <v>-88577.049600668659</v>
      </c>
      <c r="AJ237" s="13">
        <v>1224672</v>
      </c>
      <c r="AK237" s="13">
        <v>413367</v>
      </c>
      <c r="AL237" s="13">
        <v>738996.37701713608</v>
      </c>
      <c r="AM237" s="13">
        <v>4966.6910901812971</v>
      </c>
      <c r="AN237" s="13">
        <v>-246469.34371148542</v>
      </c>
      <c r="AO237" s="13">
        <v>217092.73172417851</v>
      </c>
      <c r="AP237" s="13">
        <v>777019.13227908046</v>
      </c>
      <c r="AQ237" s="13">
        <v>1260306.423448747</v>
      </c>
      <c r="AR237" s="13">
        <v>390673.80812010495</v>
      </c>
      <c r="AS237" s="13">
        <v>668764.48769288696</v>
      </c>
      <c r="AT237" s="34"/>
      <c r="AU237" s="13"/>
      <c r="AV237" s="34"/>
      <c r="AW237" s="34"/>
      <c r="AX237" s="34"/>
      <c r="AY237" s="13">
        <v>794689.95887443447</v>
      </c>
      <c r="AZ237" s="13">
        <v>581644.91121983971</v>
      </c>
      <c r="BA237" s="13">
        <v>549709.02066648949</v>
      </c>
      <c r="BB237" s="32">
        <v>6620333.6686252933</v>
      </c>
      <c r="BC237" s="33">
        <v>2833985.6721362225</v>
      </c>
      <c r="BD237" s="33">
        <v>-680214.8</v>
      </c>
      <c r="BE237" s="33">
        <v>-260672.92</v>
      </c>
      <c r="BF237" s="14"/>
      <c r="BG237" s="14">
        <v>1311748.8693475481</v>
      </c>
      <c r="BH237" s="33">
        <v>-858867.14024236659</v>
      </c>
      <c r="BI237" s="13">
        <v>-1989250</v>
      </c>
      <c r="BJ237" s="13">
        <v>7072</v>
      </c>
      <c r="BK237" s="33">
        <v>-80263.452499999665</v>
      </c>
    </row>
    <row r="238" spans="1:63" ht="14.25" x14ac:dyDescent="0.2">
      <c r="A238" s="14">
        <v>755</v>
      </c>
      <c r="B238" s="14" t="s">
        <v>508</v>
      </c>
      <c r="C238" s="14">
        <v>6182</v>
      </c>
      <c r="D238" s="14">
        <v>306</v>
      </c>
      <c r="E238" s="14">
        <v>51</v>
      </c>
      <c r="F238" s="14">
        <v>430</v>
      </c>
      <c r="G238" s="14">
        <v>260</v>
      </c>
      <c r="H238" s="14">
        <v>5135</v>
      </c>
      <c r="I238" s="14">
        <v>3613</v>
      </c>
      <c r="K238" s="29">
        <v>190.58333333333334</v>
      </c>
      <c r="L238" s="29">
        <v>3193</v>
      </c>
      <c r="M238" s="14">
        <v>235.66666666666669</v>
      </c>
      <c r="N238" s="11">
        <v>532</v>
      </c>
      <c r="O238" s="11">
        <v>1</v>
      </c>
      <c r="P238" s="11">
        <v>1620</v>
      </c>
      <c r="Q238" s="11">
        <v>0</v>
      </c>
      <c r="R238" s="11">
        <v>0</v>
      </c>
      <c r="S238" s="11">
        <v>241.53</v>
      </c>
      <c r="T238" s="14">
        <v>340</v>
      </c>
      <c r="U238" s="14">
        <v>2095</v>
      </c>
      <c r="V238" s="330"/>
      <c r="W238" s="11">
        <v>0</v>
      </c>
      <c r="X238" s="64">
        <v>1288</v>
      </c>
      <c r="Y238" s="64">
        <v>2952</v>
      </c>
      <c r="Z238" s="331">
        <v>1.0219737718319912</v>
      </c>
      <c r="AA238" s="31">
        <v>0</v>
      </c>
      <c r="AB238" s="11">
        <v>0</v>
      </c>
      <c r="AC238" s="11">
        <v>0</v>
      </c>
      <c r="AE238" s="32">
        <v>-188733.04</v>
      </c>
      <c r="AF238" s="13">
        <v>-118122.29000000001</v>
      </c>
      <c r="AG238" s="13">
        <v>93995.482876760303</v>
      </c>
      <c r="AH238" s="13">
        <v>-110972.66096169311</v>
      </c>
      <c r="AI238" s="13">
        <v>-45190.090913053413</v>
      </c>
      <c r="AJ238" s="13">
        <v>469181</v>
      </c>
      <c r="AK238" s="13">
        <v>150862</v>
      </c>
      <c r="AL238" s="13">
        <v>268572.64857911115</v>
      </c>
      <c r="AM238" s="13">
        <v>-1211.545421818339</v>
      </c>
      <c r="AN238" s="13">
        <v>-61896.044330555313</v>
      </c>
      <c r="AO238" s="13">
        <v>43681.111768832081</v>
      </c>
      <c r="AP238" s="13">
        <v>308848.1520468308</v>
      </c>
      <c r="AQ238" s="13">
        <v>486273.20829363336</v>
      </c>
      <c r="AR238" s="13">
        <v>135083.05323816193</v>
      </c>
      <c r="AS238" s="13">
        <v>223668.66650105477</v>
      </c>
      <c r="AT238" s="34"/>
      <c r="AU238" s="13"/>
      <c r="AV238" s="34"/>
      <c r="AW238" s="34"/>
      <c r="AX238" s="34"/>
      <c r="AY238" s="13">
        <v>271732.95967045997</v>
      </c>
      <c r="AZ238" s="13">
        <v>187919.20177332303</v>
      </c>
      <c r="BA238" s="13">
        <v>195618.31894074765</v>
      </c>
      <c r="BB238" s="32">
        <v>948316.28074108204</v>
      </c>
      <c r="BC238" s="33">
        <v>825005.51290088997</v>
      </c>
      <c r="BD238" s="33">
        <v>-184223.6</v>
      </c>
      <c r="BE238" s="33">
        <v>-70598.44</v>
      </c>
      <c r="BF238" s="14"/>
      <c r="BG238" s="14">
        <v>443980.72420701891</v>
      </c>
      <c r="BH238" s="33">
        <v>-69120.941308076755</v>
      </c>
      <c r="BI238" s="13">
        <v>-1615011</v>
      </c>
      <c r="BJ238" s="13">
        <v>1690</v>
      </c>
      <c r="BK238" s="33">
        <v>-1205294.5175000001</v>
      </c>
    </row>
    <row r="239" spans="1:63" ht="14.25" x14ac:dyDescent="0.2">
      <c r="A239" s="14">
        <v>758</v>
      </c>
      <c r="B239" s="14" t="s">
        <v>509</v>
      </c>
      <c r="C239" s="14">
        <v>8127</v>
      </c>
      <c r="D239" s="14">
        <v>317</v>
      </c>
      <c r="E239" s="14">
        <v>57</v>
      </c>
      <c r="F239" s="14">
        <v>478</v>
      </c>
      <c r="G239" s="14">
        <v>258</v>
      </c>
      <c r="H239" s="14">
        <v>7017</v>
      </c>
      <c r="I239" s="14">
        <v>4387</v>
      </c>
      <c r="K239" s="29">
        <v>240.83333333333334</v>
      </c>
      <c r="L239" s="29">
        <v>3825</v>
      </c>
      <c r="M239" s="14">
        <v>373.25</v>
      </c>
      <c r="N239" s="11">
        <v>221</v>
      </c>
      <c r="O239" s="11">
        <v>0</v>
      </c>
      <c r="P239" s="11">
        <v>12</v>
      </c>
      <c r="Q239" s="11">
        <v>0</v>
      </c>
      <c r="R239" s="11">
        <v>0</v>
      </c>
      <c r="S239" s="11">
        <v>11694.15</v>
      </c>
      <c r="T239" s="14">
        <v>266</v>
      </c>
      <c r="U239" s="14">
        <v>2342</v>
      </c>
      <c r="V239" s="330"/>
      <c r="W239" s="11">
        <v>1.4546833333333333</v>
      </c>
      <c r="X239" s="64">
        <v>3822</v>
      </c>
      <c r="Y239" s="64">
        <v>3579</v>
      </c>
      <c r="Z239" s="331">
        <v>0.89544319120101723</v>
      </c>
      <c r="AA239" s="31">
        <v>0</v>
      </c>
      <c r="AB239" s="11">
        <v>1</v>
      </c>
      <c r="AC239" s="11">
        <v>129</v>
      </c>
      <c r="AE239" s="32">
        <v>-158945.83499999999</v>
      </c>
      <c r="AF239" s="13">
        <v>-158789.86000000002</v>
      </c>
      <c r="AG239" s="13">
        <v>288221.85638741188</v>
      </c>
      <c r="AH239" s="13">
        <v>-114840.46462836728</v>
      </c>
      <c r="AI239" s="13">
        <v>21416.871468503552</v>
      </c>
      <c r="AJ239" s="13">
        <v>693231</v>
      </c>
      <c r="AK239" s="13">
        <v>237883</v>
      </c>
      <c r="AL239" s="13">
        <v>592945.92068910704</v>
      </c>
      <c r="AM239" s="13">
        <v>31524.228177903762</v>
      </c>
      <c r="AN239" s="13">
        <v>91412.209749286209</v>
      </c>
      <c r="AO239" s="13">
        <v>255352.79170192839</v>
      </c>
      <c r="AP239" s="13">
        <v>455936.67366463167</v>
      </c>
      <c r="AQ239" s="13">
        <v>690645.54116537608</v>
      </c>
      <c r="AR239" s="13">
        <v>222010.79883570335</v>
      </c>
      <c r="AS239" s="13">
        <v>375931.65217117127</v>
      </c>
      <c r="AT239" s="34"/>
      <c r="AU239" s="13"/>
      <c r="AV239" s="34"/>
      <c r="AW239" s="34"/>
      <c r="AX239" s="34"/>
      <c r="AY239" s="13">
        <v>501945.49251708045</v>
      </c>
      <c r="AZ239" s="13">
        <v>286371.69034745643</v>
      </c>
      <c r="BA239" s="13">
        <v>290625.18802589842</v>
      </c>
      <c r="BB239" s="32">
        <v>-2318562.9125566757</v>
      </c>
      <c r="BC239" s="33">
        <v>-668284.20715145709</v>
      </c>
      <c r="BD239" s="33">
        <v>-242184.6</v>
      </c>
      <c r="BE239" s="33">
        <v>-92810.34</v>
      </c>
      <c r="BF239" s="14"/>
      <c r="BG239" s="14">
        <v>920247.99700040277</v>
      </c>
      <c r="BH239" s="33">
        <v>-544703.30162974889</v>
      </c>
      <c r="BI239" s="13">
        <v>-671750</v>
      </c>
      <c r="BJ239" s="13">
        <v>1897</v>
      </c>
      <c r="BK239" s="33">
        <v>-104061.57499999998</v>
      </c>
    </row>
    <row r="240" spans="1:63" ht="14.25" x14ac:dyDescent="0.2">
      <c r="A240" s="14">
        <v>759</v>
      </c>
      <c r="B240" s="14" t="s">
        <v>510</v>
      </c>
      <c r="C240" s="14">
        <v>1800</v>
      </c>
      <c r="D240" s="14">
        <v>76</v>
      </c>
      <c r="E240" s="14">
        <v>15</v>
      </c>
      <c r="F240" s="14">
        <v>132</v>
      </c>
      <c r="G240" s="14">
        <v>66</v>
      </c>
      <c r="H240" s="14">
        <v>1511</v>
      </c>
      <c r="I240" s="14">
        <v>855</v>
      </c>
      <c r="K240" s="29">
        <v>49</v>
      </c>
      <c r="L240" s="29">
        <v>760</v>
      </c>
      <c r="M240" s="14">
        <v>77.75</v>
      </c>
      <c r="N240" s="11">
        <v>25</v>
      </c>
      <c r="O240" s="11">
        <v>0</v>
      </c>
      <c r="P240" s="11">
        <v>2</v>
      </c>
      <c r="Q240" s="11">
        <v>0</v>
      </c>
      <c r="R240" s="11">
        <v>0</v>
      </c>
      <c r="S240" s="11">
        <v>551.96</v>
      </c>
      <c r="T240" s="14">
        <v>47</v>
      </c>
      <c r="U240" s="14">
        <v>395</v>
      </c>
      <c r="V240" s="330"/>
      <c r="W240" s="11">
        <v>1.1890000000000001</v>
      </c>
      <c r="X240" s="64">
        <v>647</v>
      </c>
      <c r="Y240" s="64">
        <v>660</v>
      </c>
      <c r="Z240" s="331">
        <v>0.82013520270260432</v>
      </c>
      <c r="AA240" s="31">
        <v>0</v>
      </c>
      <c r="AB240" s="11">
        <v>0</v>
      </c>
      <c r="AC240" s="11">
        <v>0</v>
      </c>
      <c r="AE240" s="32">
        <v>-61283.360000000001</v>
      </c>
      <c r="AF240" s="13">
        <v>-38554.47</v>
      </c>
      <c r="AG240" s="13">
        <v>104922.27628552589</v>
      </c>
      <c r="AH240" s="13">
        <v>-38112.326472404377</v>
      </c>
      <c r="AI240" s="13">
        <v>5077.77860597986</v>
      </c>
      <c r="AJ240" s="13">
        <v>262591</v>
      </c>
      <c r="AK240" s="13">
        <v>74315</v>
      </c>
      <c r="AL240" s="13">
        <v>200718.70552327146</v>
      </c>
      <c r="AM240" s="13">
        <v>11886.434532257832</v>
      </c>
      <c r="AN240" s="13">
        <v>31400.727928979493</v>
      </c>
      <c r="AO240" s="13">
        <v>102409.69369838842</v>
      </c>
      <c r="AP240" s="13">
        <v>132599.55168831081</v>
      </c>
      <c r="AQ240" s="13">
        <v>196220.17433588332</v>
      </c>
      <c r="AR240" s="13">
        <v>57387.529556417321</v>
      </c>
      <c r="AS240" s="13">
        <v>105689.84633192497</v>
      </c>
      <c r="AT240" s="34"/>
      <c r="AU240" s="13"/>
      <c r="AV240" s="34"/>
      <c r="AW240" s="34"/>
      <c r="AX240" s="34"/>
      <c r="AY240" s="13">
        <v>148077.48197313579</v>
      </c>
      <c r="AZ240" s="13">
        <v>80650.576855135063</v>
      </c>
      <c r="BA240" s="13">
        <v>77553.081640015196</v>
      </c>
      <c r="BB240" s="32">
        <v>82997.477848417751</v>
      </c>
      <c r="BC240" s="33">
        <v>-81873.787123462927</v>
      </c>
      <c r="BD240" s="33">
        <v>-53640</v>
      </c>
      <c r="BE240" s="33">
        <v>-20556</v>
      </c>
      <c r="BF240" s="14"/>
      <c r="BG240" s="14">
        <v>369423.03435542976</v>
      </c>
      <c r="BH240" s="33">
        <v>711604.02344985679</v>
      </c>
      <c r="BI240" s="13">
        <v>-498247</v>
      </c>
      <c r="BJ240" s="13">
        <v>443</v>
      </c>
      <c r="BK240" s="33">
        <v>379939.58750000002</v>
      </c>
    </row>
    <row r="241" spans="1:63" ht="14.25" x14ac:dyDescent="0.2">
      <c r="A241" s="14">
        <v>761</v>
      </c>
      <c r="B241" s="14" t="s">
        <v>511</v>
      </c>
      <c r="C241" s="14">
        <v>8429</v>
      </c>
      <c r="D241" s="14">
        <v>304</v>
      </c>
      <c r="E241" s="14">
        <v>66</v>
      </c>
      <c r="F241" s="14">
        <v>497</v>
      </c>
      <c r="G241" s="14">
        <v>248</v>
      </c>
      <c r="H241" s="14">
        <v>7314</v>
      </c>
      <c r="I241" s="14">
        <v>4187</v>
      </c>
      <c r="K241" s="29">
        <v>335.08333333333331</v>
      </c>
      <c r="L241" s="29">
        <v>3494</v>
      </c>
      <c r="M241" s="14">
        <v>485.5</v>
      </c>
      <c r="N241" s="11">
        <v>564</v>
      </c>
      <c r="O241" s="11">
        <v>0</v>
      </c>
      <c r="P241" s="11">
        <v>50</v>
      </c>
      <c r="Q241" s="11">
        <v>0</v>
      </c>
      <c r="R241" s="11">
        <v>0</v>
      </c>
      <c r="S241" s="11">
        <v>668.06</v>
      </c>
      <c r="T241" s="14">
        <v>425</v>
      </c>
      <c r="U241" s="14">
        <v>2198</v>
      </c>
      <c r="V241" s="330"/>
      <c r="W241" s="11">
        <v>0</v>
      </c>
      <c r="X241" s="64">
        <v>2706</v>
      </c>
      <c r="Y241" s="64">
        <v>3178</v>
      </c>
      <c r="Z241" s="331">
        <v>0.87145342401278547</v>
      </c>
      <c r="AA241" s="31">
        <v>0</v>
      </c>
      <c r="AB241" s="11">
        <v>0</v>
      </c>
      <c r="AC241" s="11">
        <v>0</v>
      </c>
      <c r="AE241" s="32">
        <v>-265283.42009999999</v>
      </c>
      <c r="AF241" s="13">
        <v>-166089.66</v>
      </c>
      <c r="AG241" s="13">
        <v>338786.76433060638</v>
      </c>
      <c r="AH241" s="13">
        <v>-145942.88926684516</v>
      </c>
      <c r="AI241" s="13">
        <v>4634.5410278538475</v>
      </c>
      <c r="AJ241" s="13">
        <v>887508</v>
      </c>
      <c r="AK241" s="13">
        <v>278652</v>
      </c>
      <c r="AL241" s="13">
        <v>659966.23779958359</v>
      </c>
      <c r="AM241" s="13">
        <v>34333.411406190833</v>
      </c>
      <c r="AN241" s="13">
        <v>121275.90096974367</v>
      </c>
      <c r="AO241" s="13">
        <v>306245.27359969832</v>
      </c>
      <c r="AP241" s="13">
        <v>520045.11059440649</v>
      </c>
      <c r="AQ241" s="13">
        <v>867204.30643390794</v>
      </c>
      <c r="AR241" s="13">
        <v>244868.48851961794</v>
      </c>
      <c r="AS241" s="13">
        <v>419506.10338592128</v>
      </c>
      <c r="AT241" s="34"/>
      <c r="AU241" s="13"/>
      <c r="AV241" s="34"/>
      <c r="AW241" s="34"/>
      <c r="AX241" s="34"/>
      <c r="AY241" s="13">
        <v>584535.85648770502</v>
      </c>
      <c r="AZ241" s="13">
        <v>333155.28624807973</v>
      </c>
      <c r="BA241" s="13">
        <v>323167.44276076223</v>
      </c>
      <c r="BB241" s="32">
        <v>1184243.7799134771</v>
      </c>
      <c r="BC241" s="33">
        <v>394791.52716640104</v>
      </c>
      <c r="BD241" s="33">
        <v>-251184.2</v>
      </c>
      <c r="BE241" s="33">
        <v>-96259.18</v>
      </c>
      <c r="BF241" s="14"/>
      <c r="BG241" s="14">
        <v>1374054.6434603059</v>
      </c>
      <c r="BH241" s="33">
        <v>3988809.8625323023</v>
      </c>
      <c r="BI241" s="13">
        <v>1150554</v>
      </c>
      <c r="BJ241" s="13">
        <v>1927</v>
      </c>
      <c r="BK241" s="33">
        <v>577727.25</v>
      </c>
    </row>
    <row r="242" spans="1:63" ht="14.25" x14ac:dyDescent="0.2">
      <c r="A242" s="14">
        <v>762</v>
      </c>
      <c r="B242" s="14" t="s">
        <v>512</v>
      </c>
      <c r="C242" s="14">
        <v>3570</v>
      </c>
      <c r="D242" s="14">
        <v>112</v>
      </c>
      <c r="E242" s="14">
        <v>23</v>
      </c>
      <c r="F242" s="14">
        <v>181</v>
      </c>
      <c r="G242" s="14">
        <v>112</v>
      </c>
      <c r="H242" s="14">
        <v>3142</v>
      </c>
      <c r="I242" s="14">
        <v>1700</v>
      </c>
      <c r="K242" s="29">
        <v>156.08333333333334</v>
      </c>
      <c r="L242" s="29">
        <v>1453</v>
      </c>
      <c r="M242" s="14">
        <v>207.41666666666669</v>
      </c>
      <c r="N242" s="11">
        <v>59</v>
      </c>
      <c r="O242" s="11">
        <v>0</v>
      </c>
      <c r="P242" s="11">
        <v>2</v>
      </c>
      <c r="Q242" s="11">
        <v>0</v>
      </c>
      <c r="R242" s="11">
        <v>0</v>
      </c>
      <c r="S242" s="11">
        <v>1466.06</v>
      </c>
      <c r="T242" s="14">
        <v>104</v>
      </c>
      <c r="U242" s="14">
        <v>837</v>
      </c>
      <c r="V242" s="330"/>
      <c r="W242" s="11">
        <v>1.0705166666666668</v>
      </c>
      <c r="X242" s="64">
        <v>1054</v>
      </c>
      <c r="Y242" s="64">
        <v>1243</v>
      </c>
      <c r="Z242" s="331">
        <v>0.967032353540768</v>
      </c>
      <c r="AA242" s="31">
        <v>0</v>
      </c>
      <c r="AB242" s="11">
        <v>0</v>
      </c>
      <c r="AC242" s="11">
        <v>0</v>
      </c>
      <c r="AE242" s="32">
        <v>-124171.52</v>
      </c>
      <c r="AF242" s="13">
        <v>-73785.61</v>
      </c>
      <c r="AG242" s="13">
        <v>217142.2437134097</v>
      </c>
      <c r="AH242" s="13">
        <v>-90848.569594065717</v>
      </c>
      <c r="AI242" s="13">
        <v>14969.499523883467</v>
      </c>
      <c r="AJ242" s="13">
        <v>462495</v>
      </c>
      <c r="AK242" s="13">
        <v>137719</v>
      </c>
      <c r="AL242" s="13">
        <v>362954.37370615371</v>
      </c>
      <c r="AM242" s="13">
        <v>19428.27120983442</v>
      </c>
      <c r="AN242" s="13">
        <v>53100.472844893891</v>
      </c>
      <c r="AO242" s="13">
        <v>169435.35904417702</v>
      </c>
      <c r="AP242" s="13">
        <v>237698.85287035187</v>
      </c>
      <c r="AQ242" s="13">
        <v>367781.046506204</v>
      </c>
      <c r="AR242" s="13">
        <v>113100.70898919602</v>
      </c>
      <c r="AS242" s="13">
        <v>198358.18347274623</v>
      </c>
      <c r="AT242" s="34"/>
      <c r="AU242" s="13"/>
      <c r="AV242" s="34"/>
      <c r="AW242" s="34"/>
      <c r="AX242" s="34"/>
      <c r="AY242" s="13">
        <v>273236.67400300078</v>
      </c>
      <c r="AZ242" s="13">
        <v>147393.2735660153</v>
      </c>
      <c r="BA242" s="13">
        <v>143816.94708662789</v>
      </c>
      <c r="BB242" s="32">
        <v>1133334.640933282</v>
      </c>
      <c r="BC242" s="33">
        <v>467342.7138801596</v>
      </c>
      <c r="BD242" s="33">
        <v>-106386</v>
      </c>
      <c r="BE242" s="33">
        <v>-40769.4</v>
      </c>
      <c r="BF242" s="14"/>
      <c r="BG242" s="14">
        <v>655219.28387210122</v>
      </c>
      <c r="BH242" s="33">
        <v>1408743.227466203</v>
      </c>
      <c r="BI242" s="13">
        <v>81144</v>
      </c>
      <c r="BJ242" s="13">
        <v>717</v>
      </c>
      <c r="BK242" s="33">
        <v>-11430.872499999998</v>
      </c>
    </row>
    <row r="243" spans="1:63" ht="14.25" x14ac:dyDescent="0.2">
      <c r="A243" s="14">
        <v>765</v>
      </c>
      <c r="B243" s="14" t="s">
        <v>513</v>
      </c>
      <c r="C243" s="14">
        <v>10185</v>
      </c>
      <c r="D243" s="14">
        <v>446</v>
      </c>
      <c r="E243" s="14">
        <v>77</v>
      </c>
      <c r="F243" s="14">
        <v>685</v>
      </c>
      <c r="G243" s="14">
        <v>368</v>
      </c>
      <c r="H243" s="14">
        <v>8609</v>
      </c>
      <c r="I243" s="14">
        <v>5433</v>
      </c>
      <c r="K243" s="29">
        <v>314</v>
      </c>
      <c r="L243" s="29">
        <v>4700</v>
      </c>
      <c r="M243" s="14">
        <v>539.16666666666663</v>
      </c>
      <c r="N243" s="11">
        <v>525</v>
      </c>
      <c r="O243" s="11">
        <v>0</v>
      </c>
      <c r="P243" s="11">
        <v>17</v>
      </c>
      <c r="Q243" s="11">
        <v>0</v>
      </c>
      <c r="R243" s="11">
        <v>0</v>
      </c>
      <c r="S243" s="11">
        <v>2648.88</v>
      </c>
      <c r="T243" s="14">
        <v>334</v>
      </c>
      <c r="U243" s="14">
        <v>2975</v>
      </c>
      <c r="V243" s="330"/>
      <c r="W243" s="11">
        <v>0.59563333333333335</v>
      </c>
      <c r="X243" s="64">
        <v>4730</v>
      </c>
      <c r="Y243" s="64">
        <v>4379</v>
      </c>
      <c r="Z243" s="331">
        <v>1.0239104477757439</v>
      </c>
      <c r="AA243" s="31">
        <v>0</v>
      </c>
      <c r="AB243" s="11">
        <v>0</v>
      </c>
      <c r="AC243" s="11">
        <v>0</v>
      </c>
      <c r="AE243" s="32">
        <v>-240537.43210000001</v>
      </c>
      <c r="AF243" s="13">
        <v>-197882.21000000002</v>
      </c>
      <c r="AG243" s="13">
        <v>340727.63510704495</v>
      </c>
      <c r="AH243" s="13">
        <v>-130047.99882363224</v>
      </c>
      <c r="AI243" s="13">
        <v>119127.8906845926</v>
      </c>
      <c r="AJ243" s="13">
        <v>912888</v>
      </c>
      <c r="AK243" s="13">
        <v>295616</v>
      </c>
      <c r="AL243" s="13">
        <v>660849.7534606402</v>
      </c>
      <c r="AM243" s="13">
        <v>27703.440061382953</v>
      </c>
      <c r="AN243" s="13">
        <v>87037.297892098242</v>
      </c>
      <c r="AO243" s="13">
        <v>309699.47772212129</v>
      </c>
      <c r="AP243" s="13">
        <v>562001.14004101092</v>
      </c>
      <c r="AQ243" s="13">
        <v>866031.84698191471</v>
      </c>
      <c r="AR243" s="13">
        <v>266946.10668236495</v>
      </c>
      <c r="AS243" s="13">
        <v>472543.7359615906</v>
      </c>
      <c r="AT243" s="34"/>
      <c r="AU243" s="13"/>
      <c r="AV243" s="34"/>
      <c r="AW243" s="34"/>
      <c r="AX243" s="34"/>
      <c r="AY243" s="13">
        <v>639254.891639248</v>
      </c>
      <c r="AZ243" s="13">
        <v>366333.79235027201</v>
      </c>
      <c r="BA243" s="13">
        <v>359424.24234500347</v>
      </c>
      <c r="BB243" s="32">
        <v>-1043874.4614051267</v>
      </c>
      <c r="BC243" s="33">
        <v>-43763.368009950151</v>
      </c>
      <c r="BD243" s="33">
        <v>-303513</v>
      </c>
      <c r="BE243" s="33">
        <v>-116312.7</v>
      </c>
      <c r="BF243" s="14"/>
      <c r="BG243" s="14">
        <v>1069241.0597645931</v>
      </c>
      <c r="BH243" s="33">
        <v>1849344.5968423849</v>
      </c>
      <c r="BI243" s="13">
        <v>1122475</v>
      </c>
      <c r="BJ243" s="13">
        <v>2675</v>
      </c>
      <c r="BK243" s="33">
        <v>-27331.622499999998</v>
      </c>
    </row>
    <row r="244" spans="1:63" ht="14.25" x14ac:dyDescent="0.2">
      <c r="A244" s="14">
        <v>768</v>
      </c>
      <c r="B244" s="14" t="s">
        <v>514</v>
      </c>
      <c r="C244" s="14">
        <v>2361</v>
      </c>
      <c r="D244" s="14">
        <v>71</v>
      </c>
      <c r="E244" s="14">
        <v>8</v>
      </c>
      <c r="F244" s="14">
        <v>108</v>
      </c>
      <c r="G244" s="14">
        <v>46</v>
      </c>
      <c r="H244" s="14">
        <v>2128</v>
      </c>
      <c r="I244" s="14">
        <v>1088</v>
      </c>
      <c r="K244" s="29">
        <v>84</v>
      </c>
      <c r="L244" s="29">
        <v>860</v>
      </c>
      <c r="M244" s="14">
        <v>120.5</v>
      </c>
      <c r="N244" s="11">
        <v>108</v>
      </c>
      <c r="O244" s="11">
        <v>0</v>
      </c>
      <c r="P244" s="11">
        <v>4</v>
      </c>
      <c r="Q244" s="11">
        <v>1</v>
      </c>
      <c r="R244" s="11">
        <v>0</v>
      </c>
      <c r="S244" s="11">
        <v>584.45000000000005</v>
      </c>
      <c r="T244" s="14">
        <v>70</v>
      </c>
      <c r="U244" s="14">
        <v>512</v>
      </c>
      <c r="V244" s="330"/>
      <c r="W244" s="11">
        <v>1.2305166666666667</v>
      </c>
      <c r="X244" s="64">
        <v>673</v>
      </c>
      <c r="Y244" s="64">
        <v>774</v>
      </c>
      <c r="Z244" s="331">
        <v>0.87645784445936858</v>
      </c>
      <c r="AA244" s="31">
        <v>0</v>
      </c>
      <c r="AB244" s="11">
        <v>0</v>
      </c>
      <c r="AC244" s="11">
        <v>0</v>
      </c>
      <c r="AE244" s="32">
        <v>-105980.55499999999</v>
      </c>
      <c r="AF244" s="13">
        <v>-47679.22</v>
      </c>
      <c r="AG244" s="13">
        <v>85039.764611373394</v>
      </c>
      <c r="AH244" s="13">
        <v>-59544.505723292095</v>
      </c>
      <c r="AI244" s="13">
        <v>20579.896636850746</v>
      </c>
      <c r="AJ244" s="13">
        <v>318438</v>
      </c>
      <c r="AK244" s="13">
        <v>93179</v>
      </c>
      <c r="AL244" s="13">
        <v>245802.51333843436</v>
      </c>
      <c r="AM244" s="13">
        <v>13843.474499437989</v>
      </c>
      <c r="AN244" s="13">
        <v>41836.608499868562</v>
      </c>
      <c r="AO244" s="13">
        <v>124518.57130691377</v>
      </c>
      <c r="AP244" s="13">
        <v>153944.94648687728</v>
      </c>
      <c r="AQ244" s="13">
        <v>236716.76625517706</v>
      </c>
      <c r="AR244" s="13">
        <v>78152.098492803139</v>
      </c>
      <c r="AS244" s="13">
        <v>132344.63119688578</v>
      </c>
      <c r="AT244" s="34"/>
      <c r="AU244" s="13"/>
      <c r="AV244" s="34"/>
      <c r="AW244" s="34"/>
      <c r="AX244" s="34"/>
      <c r="AY244" s="13">
        <v>173909.10714909717</v>
      </c>
      <c r="AZ244" s="13">
        <v>95428.611294203554</v>
      </c>
      <c r="BA244" s="13">
        <v>89981.914265743966</v>
      </c>
      <c r="BB244" s="32">
        <v>356138.01502340147</v>
      </c>
      <c r="BC244" s="33">
        <v>498629.1044436068</v>
      </c>
      <c r="BD244" s="33">
        <v>-70357.8</v>
      </c>
      <c r="BE244" s="33">
        <v>-26962.62</v>
      </c>
      <c r="BF244" s="14"/>
      <c r="BG244" s="14">
        <v>454219.38805705536</v>
      </c>
      <c r="BH244" s="33">
        <v>889674.21959706163</v>
      </c>
      <c r="BI244" s="13">
        <v>328756</v>
      </c>
      <c r="BJ244" s="13">
        <v>423</v>
      </c>
      <c r="BK244" s="33">
        <v>120227.33749999999</v>
      </c>
    </row>
    <row r="245" spans="1:63" ht="14.25" x14ac:dyDescent="0.2">
      <c r="A245" s="14">
        <v>777</v>
      </c>
      <c r="B245" s="14" t="s">
        <v>515</v>
      </c>
      <c r="C245" s="14">
        <v>7038</v>
      </c>
      <c r="D245" s="14">
        <v>183</v>
      </c>
      <c r="E245" s="14">
        <v>43</v>
      </c>
      <c r="F245" s="14">
        <v>326</v>
      </c>
      <c r="G245" s="14">
        <v>170</v>
      </c>
      <c r="H245" s="14">
        <v>6316</v>
      </c>
      <c r="I245" s="14">
        <v>3215</v>
      </c>
      <c r="K245" s="29">
        <v>355.83333333333331</v>
      </c>
      <c r="L245" s="29">
        <v>2802</v>
      </c>
      <c r="M245" s="14">
        <v>485.5</v>
      </c>
      <c r="N245" s="11">
        <v>246</v>
      </c>
      <c r="O245" s="11">
        <v>0</v>
      </c>
      <c r="P245" s="11">
        <v>7</v>
      </c>
      <c r="Q245" s="11">
        <v>0</v>
      </c>
      <c r="R245" s="11">
        <v>0</v>
      </c>
      <c r="S245" s="11">
        <v>5270.21</v>
      </c>
      <c r="T245" s="14">
        <v>188</v>
      </c>
      <c r="U245" s="14">
        <v>1532</v>
      </c>
      <c r="V245" s="330"/>
      <c r="W245" s="11">
        <v>1.4814499999999999</v>
      </c>
      <c r="X245" s="64">
        <v>2054</v>
      </c>
      <c r="Y245" s="64">
        <v>2311</v>
      </c>
      <c r="Z245" s="331">
        <v>0.90945289465186352</v>
      </c>
      <c r="AA245" s="31">
        <v>0</v>
      </c>
      <c r="AB245" s="11">
        <v>0</v>
      </c>
      <c r="AC245" s="11">
        <v>0</v>
      </c>
      <c r="AE245" s="32">
        <v>-210349.08674999999</v>
      </c>
      <c r="AF245" s="13">
        <v>-145880.74000000002</v>
      </c>
      <c r="AG245" s="13">
        <v>336891.68591774703</v>
      </c>
      <c r="AH245" s="13">
        <v>-171311.39339384253</v>
      </c>
      <c r="AI245" s="13">
        <v>72733.261419847229</v>
      </c>
      <c r="AJ245" s="13">
        <v>806106</v>
      </c>
      <c r="AK245" s="13">
        <v>248854</v>
      </c>
      <c r="AL245" s="13">
        <v>595489.95350036549</v>
      </c>
      <c r="AM245" s="13">
        <v>36314.848463378417</v>
      </c>
      <c r="AN245" s="13">
        <v>101867.12397049421</v>
      </c>
      <c r="AO245" s="13">
        <v>342837.98978718405</v>
      </c>
      <c r="AP245" s="13">
        <v>442690.38575004897</v>
      </c>
      <c r="AQ245" s="13">
        <v>683870.58512396296</v>
      </c>
      <c r="AR245" s="13">
        <v>216263.91625462237</v>
      </c>
      <c r="AS245" s="13">
        <v>378861.3041038285</v>
      </c>
      <c r="AT245" s="34"/>
      <c r="AU245" s="13"/>
      <c r="AV245" s="34"/>
      <c r="AW245" s="34"/>
      <c r="AX245" s="34"/>
      <c r="AY245" s="13">
        <v>511573.23044655041</v>
      </c>
      <c r="AZ245" s="13">
        <v>274714.97375611542</v>
      </c>
      <c r="BA245" s="13">
        <v>272330.94740299194</v>
      </c>
      <c r="BB245" s="32">
        <v>299371.21545643284</v>
      </c>
      <c r="BC245" s="33">
        <v>306249.59167889925</v>
      </c>
      <c r="BD245" s="33">
        <v>-209732.4</v>
      </c>
      <c r="BE245" s="33">
        <v>-80373.960000000006</v>
      </c>
      <c r="BF245" s="14"/>
      <c r="BG245" s="14">
        <v>1031284.1330862056</v>
      </c>
      <c r="BH245" s="33">
        <v>3582015.2742078891</v>
      </c>
      <c r="BI245" s="13">
        <v>-331649</v>
      </c>
      <c r="BJ245" s="13">
        <v>1199</v>
      </c>
      <c r="BK245" s="33">
        <v>-22967.75</v>
      </c>
    </row>
    <row r="246" spans="1:63" ht="14.25" x14ac:dyDescent="0.2">
      <c r="A246" s="14">
        <v>778</v>
      </c>
      <c r="B246" s="14" t="s">
        <v>516</v>
      </c>
      <c r="C246" s="14">
        <v>6632</v>
      </c>
      <c r="D246" s="14">
        <v>231</v>
      </c>
      <c r="E246" s="14">
        <v>51</v>
      </c>
      <c r="F246" s="14">
        <v>394</v>
      </c>
      <c r="G246" s="14">
        <v>217</v>
      </c>
      <c r="H246" s="14">
        <v>5739</v>
      </c>
      <c r="I246" s="14">
        <v>3314</v>
      </c>
      <c r="K246" s="29">
        <v>245.33333333333334</v>
      </c>
      <c r="L246" s="29">
        <v>2763</v>
      </c>
      <c r="M246" s="14">
        <v>356.5</v>
      </c>
      <c r="N246" s="11">
        <v>280</v>
      </c>
      <c r="O246" s="11">
        <v>0</v>
      </c>
      <c r="P246" s="11">
        <v>14</v>
      </c>
      <c r="Q246" s="11">
        <v>0</v>
      </c>
      <c r="R246" s="11">
        <v>0</v>
      </c>
      <c r="S246" s="11">
        <v>713.56</v>
      </c>
      <c r="T246" s="14">
        <v>279</v>
      </c>
      <c r="U246" s="14">
        <v>1821</v>
      </c>
      <c r="V246" s="330"/>
      <c r="W246" s="11">
        <v>0.39226666666666665</v>
      </c>
      <c r="X246" s="64">
        <v>2280</v>
      </c>
      <c r="Y246" s="64">
        <v>2439</v>
      </c>
      <c r="Z246" s="331">
        <v>1.0737861536770641</v>
      </c>
      <c r="AA246" s="31">
        <v>0</v>
      </c>
      <c r="AB246" s="11">
        <v>0</v>
      </c>
      <c r="AC246" s="11">
        <v>0</v>
      </c>
      <c r="AE246" s="32">
        <v>-320964.28594999999</v>
      </c>
      <c r="AF246" s="13">
        <v>-133144.51</v>
      </c>
      <c r="AG246" s="13">
        <v>254897.80241741706</v>
      </c>
      <c r="AH246" s="13">
        <v>-77252.944999689746</v>
      </c>
      <c r="AI246" s="13">
        <v>63995.175425089634</v>
      </c>
      <c r="AJ246" s="13">
        <v>704270</v>
      </c>
      <c r="AK246" s="13">
        <v>209751</v>
      </c>
      <c r="AL246" s="13">
        <v>485287.28783944261</v>
      </c>
      <c r="AM246" s="13">
        <v>25695.22304491622</v>
      </c>
      <c r="AN246" s="13">
        <v>43720.77733674577</v>
      </c>
      <c r="AO246" s="13">
        <v>273033.9694706407</v>
      </c>
      <c r="AP246" s="13">
        <v>378602.89766573207</v>
      </c>
      <c r="AQ246" s="13">
        <v>648137.33818796277</v>
      </c>
      <c r="AR246" s="13">
        <v>173244.28450334622</v>
      </c>
      <c r="AS246" s="13">
        <v>334603.79920547735</v>
      </c>
      <c r="AT246" s="34"/>
      <c r="AU246" s="13"/>
      <c r="AV246" s="34"/>
      <c r="AW246" s="34"/>
      <c r="AX246" s="34"/>
      <c r="AY246" s="13">
        <v>462446.25096460932</v>
      </c>
      <c r="AZ246" s="13">
        <v>251961.58877170851</v>
      </c>
      <c r="BA246" s="13">
        <v>236382.17693076044</v>
      </c>
      <c r="BB246" s="32">
        <v>735153.47764505388</v>
      </c>
      <c r="BC246" s="33">
        <v>-10742.358656135601</v>
      </c>
      <c r="BD246" s="33">
        <v>-197633.6</v>
      </c>
      <c r="BE246" s="33">
        <v>-75737.440000000002</v>
      </c>
      <c r="BF246" s="14"/>
      <c r="BG246" s="14">
        <v>837530.01138898637</v>
      </c>
      <c r="BH246" s="33">
        <v>1745647.3579187042</v>
      </c>
      <c r="BI246" s="13">
        <v>68655</v>
      </c>
      <c r="BJ246" s="13">
        <v>1493</v>
      </c>
      <c r="BK246" s="33">
        <v>215631.83750000002</v>
      </c>
    </row>
    <row r="247" spans="1:63" ht="14.25" x14ac:dyDescent="0.2">
      <c r="A247" s="14">
        <v>781</v>
      </c>
      <c r="B247" s="14" t="s">
        <v>517</v>
      </c>
      <c r="C247" s="14">
        <v>3428</v>
      </c>
      <c r="D247" s="14">
        <v>75</v>
      </c>
      <c r="E247" s="14">
        <v>12</v>
      </c>
      <c r="F247" s="14">
        <v>129</v>
      </c>
      <c r="G247" s="14">
        <v>61</v>
      </c>
      <c r="H247" s="14">
        <v>3151</v>
      </c>
      <c r="I247" s="14">
        <v>1524</v>
      </c>
      <c r="K247" s="29">
        <v>145.41666666666666</v>
      </c>
      <c r="L247" s="29">
        <v>1260</v>
      </c>
      <c r="M247" s="14">
        <v>190.25</v>
      </c>
      <c r="N247" s="11">
        <v>116</v>
      </c>
      <c r="O247" s="11">
        <v>0</v>
      </c>
      <c r="P247" s="11">
        <v>11</v>
      </c>
      <c r="Q247" s="11">
        <v>0</v>
      </c>
      <c r="R247" s="11">
        <v>0</v>
      </c>
      <c r="S247" s="11">
        <v>666.75</v>
      </c>
      <c r="T247" s="14">
        <v>115</v>
      </c>
      <c r="U247" s="14">
        <v>676</v>
      </c>
      <c r="V247" s="330"/>
      <c r="W247" s="11">
        <v>1.0842833333333333</v>
      </c>
      <c r="X247" s="64">
        <v>940</v>
      </c>
      <c r="Y247" s="64">
        <v>1118</v>
      </c>
      <c r="Z247" s="331">
        <v>0.92851659478117632</v>
      </c>
      <c r="AA247" s="31">
        <v>0</v>
      </c>
      <c r="AB247" s="11">
        <v>0</v>
      </c>
      <c r="AC247" s="11">
        <v>1</v>
      </c>
      <c r="AE247" s="32">
        <v>-89453.345000000001</v>
      </c>
      <c r="AF247" s="13">
        <v>-69751.510000000009</v>
      </c>
      <c r="AG247" s="13">
        <v>148225.7752360914</v>
      </c>
      <c r="AH247" s="13">
        <v>-73507.48403946578</v>
      </c>
      <c r="AI247" s="13">
        <v>12426.010504753125</v>
      </c>
      <c r="AJ247" s="13">
        <v>463075</v>
      </c>
      <c r="AK247" s="13">
        <v>135088</v>
      </c>
      <c r="AL247" s="13">
        <v>329559.86847875454</v>
      </c>
      <c r="AM247" s="13">
        <v>18974.214570919707</v>
      </c>
      <c r="AN247" s="13">
        <v>37232.079455625353</v>
      </c>
      <c r="AO247" s="13">
        <v>167524.88728627606</v>
      </c>
      <c r="AP247" s="13">
        <v>215960.85217767209</v>
      </c>
      <c r="AQ247" s="13">
        <v>346788.14192586951</v>
      </c>
      <c r="AR247" s="13">
        <v>111657.66664430997</v>
      </c>
      <c r="AS247" s="13">
        <v>184995.47928799695</v>
      </c>
      <c r="AT247" s="34"/>
      <c r="AU247" s="13"/>
      <c r="AV247" s="34"/>
      <c r="AW247" s="34"/>
      <c r="AX247" s="34"/>
      <c r="AY247" s="13">
        <v>260927.82515779132</v>
      </c>
      <c r="AZ247" s="13">
        <v>138168.93814396282</v>
      </c>
      <c r="BA247" s="13">
        <v>134901.32202744126</v>
      </c>
      <c r="BB247" s="32">
        <v>1784046.2085390668</v>
      </c>
      <c r="BC247" s="33">
        <v>1473916.0018639104</v>
      </c>
      <c r="BD247" s="33">
        <v>-102154.40000000001</v>
      </c>
      <c r="BE247" s="33">
        <v>-39147.760000000002</v>
      </c>
      <c r="BF247" s="14"/>
      <c r="BG247" s="14">
        <v>691740.09093821968</v>
      </c>
      <c r="BH247" s="33">
        <v>866006.87541083002</v>
      </c>
      <c r="BI247" s="13">
        <v>-359139</v>
      </c>
      <c r="BJ247" s="13">
        <v>517</v>
      </c>
      <c r="BK247" s="33">
        <v>7067</v>
      </c>
    </row>
    <row r="248" spans="1:63" ht="14.25" x14ac:dyDescent="0.2">
      <c r="A248" s="14">
        <v>783</v>
      </c>
      <c r="B248" s="14" t="s">
        <v>518</v>
      </c>
      <c r="C248" s="14">
        <v>6256</v>
      </c>
      <c r="D248" s="14">
        <v>221</v>
      </c>
      <c r="E248" s="14">
        <v>45</v>
      </c>
      <c r="F248" s="14">
        <v>351</v>
      </c>
      <c r="G248" s="14">
        <v>206</v>
      </c>
      <c r="H248" s="14">
        <v>5433</v>
      </c>
      <c r="I248" s="14">
        <v>3187</v>
      </c>
      <c r="K248" s="29">
        <v>188.5</v>
      </c>
      <c r="L248" s="29">
        <v>2765</v>
      </c>
      <c r="M248" s="14">
        <v>272.25</v>
      </c>
      <c r="N248" s="11">
        <v>332</v>
      </c>
      <c r="O248" s="11">
        <v>0</v>
      </c>
      <c r="P248" s="11">
        <v>19</v>
      </c>
      <c r="Q248" s="11">
        <v>0</v>
      </c>
      <c r="R248" s="11">
        <v>0</v>
      </c>
      <c r="S248" s="11">
        <v>406.85</v>
      </c>
      <c r="T248" s="14">
        <v>288</v>
      </c>
      <c r="U248" s="14">
        <v>1666</v>
      </c>
      <c r="V248" s="330"/>
      <c r="W248" s="11">
        <v>0</v>
      </c>
      <c r="X248" s="64">
        <v>3118</v>
      </c>
      <c r="Y248" s="64">
        <v>2587</v>
      </c>
      <c r="Z248" s="331">
        <v>0.81724564069829952</v>
      </c>
      <c r="AA248" s="31">
        <v>0</v>
      </c>
      <c r="AB248" s="11">
        <v>0</v>
      </c>
      <c r="AC248" s="11">
        <v>0</v>
      </c>
      <c r="AE248" s="32">
        <v>-155241.36840000001</v>
      </c>
      <c r="AF248" s="13">
        <v>-127669.66</v>
      </c>
      <c r="AG248" s="13">
        <v>243239.7698566193</v>
      </c>
      <c r="AH248" s="13">
        <v>-42178.871188878598</v>
      </c>
      <c r="AI248" s="13">
        <v>-26022.690715824545</v>
      </c>
      <c r="AJ248" s="13">
        <v>571140</v>
      </c>
      <c r="AK248" s="13">
        <v>198708</v>
      </c>
      <c r="AL248" s="13">
        <v>465544.32727273158</v>
      </c>
      <c r="AM248" s="13">
        <v>22979.346619931279</v>
      </c>
      <c r="AN248" s="13">
        <v>42267.127537644687</v>
      </c>
      <c r="AO248" s="13">
        <v>197526.7378012822</v>
      </c>
      <c r="AP248" s="13">
        <v>364442.36358220922</v>
      </c>
      <c r="AQ248" s="13">
        <v>669948.55723107071</v>
      </c>
      <c r="AR248" s="13">
        <v>180015.7879197041</v>
      </c>
      <c r="AS248" s="13">
        <v>299742.67337186687</v>
      </c>
      <c r="AT248" s="34"/>
      <c r="AU248" s="13"/>
      <c r="AV248" s="34"/>
      <c r="AW248" s="34"/>
      <c r="AX248" s="34"/>
      <c r="AY248" s="13">
        <v>374575.50437390519</v>
      </c>
      <c r="AZ248" s="13">
        <v>235039.4751385627</v>
      </c>
      <c r="BA248" s="13">
        <v>233185.68134761861</v>
      </c>
      <c r="BB248" s="32">
        <v>-115446.19249187982</v>
      </c>
      <c r="BC248" s="33">
        <v>-27131.259344781731</v>
      </c>
      <c r="BD248" s="33">
        <v>-186428.80000000002</v>
      </c>
      <c r="BE248" s="33">
        <v>-71443.520000000004</v>
      </c>
      <c r="BF248" s="14"/>
      <c r="BG248" s="14">
        <v>795468.09956793778</v>
      </c>
      <c r="BH248" s="33">
        <v>1463149.7988758155</v>
      </c>
      <c r="BI248" s="13">
        <v>-63463</v>
      </c>
      <c r="BJ248" s="13">
        <v>1402</v>
      </c>
      <c r="BK248" s="33">
        <v>-91959.337499999994</v>
      </c>
    </row>
    <row r="249" spans="1:63" ht="14.25" x14ac:dyDescent="0.2">
      <c r="A249" s="14">
        <v>831</v>
      </c>
      <c r="B249" s="14" t="s">
        <v>522</v>
      </c>
      <c r="C249" s="14">
        <v>4596</v>
      </c>
      <c r="D249" s="14">
        <v>219</v>
      </c>
      <c r="E249" s="14">
        <v>43</v>
      </c>
      <c r="F249" s="14">
        <v>283</v>
      </c>
      <c r="G249" s="14">
        <v>160</v>
      </c>
      <c r="H249" s="14">
        <v>3891</v>
      </c>
      <c r="I249" s="14">
        <v>2401</v>
      </c>
      <c r="K249" s="29">
        <v>179.91666666666666</v>
      </c>
      <c r="L249" s="29">
        <v>2039</v>
      </c>
      <c r="M249" s="14">
        <v>243.25</v>
      </c>
      <c r="N249" s="11">
        <v>311</v>
      </c>
      <c r="O249" s="11">
        <v>0</v>
      </c>
      <c r="P249" s="11">
        <v>8</v>
      </c>
      <c r="Q249" s="11">
        <v>3</v>
      </c>
      <c r="R249" s="11">
        <v>2054</v>
      </c>
      <c r="S249" s="11">
        <v>345.01</v>
      </c>
      <c r="T249" s="14">
        <v>125</v>
      </c>
      <c r="U249" s="14">
        <v>1347</v>
      </c>
      <c r="V249" s="330"/>
      <c r="W249" s="11">
        <v>0</v>
      </c>
      <c r="X249" s="64">
        <v>746</v>
      </c>
      <c r="Y249" s="64">
        <v>1859</v>
      </c>
      <c r="Z249" s="331">
        <v>0.98730985011935835</v>
      </c>
      <c r="AA249" s="31">
        <v>1.2399528695531773E-2</v>
      </c>
      <c r="AB249" s="11">
        <v>0</v>
      </c>
      <c r="AC249" s="11">
        <v>0</v>
      </c>
      <c r="AE249" s="32">
        <v>-94919.5</v>
      </c>
      <c r="AF249" s="13">
        <v>-88903.88</v>
      </c>
      <c r="AG249" s="13">
        <v>184131.70252893542</v>
      </c>
      <c r="AH249" s="13">
        <v>-65855.641722718734</v>
      </c>
      <c r="AI249" s="13">
        <v>15436.734749860727</v>
      </c>
      <c r="AJ249" s="13">
        <v>361432</v>
      </c>
      <c r="AK249" s="13">
        <v>117092</v>
      </c>
      <c r="AL249" s="13">
        <v>229111.41606475139</v>
      </c>
      <c r="AM249" s="13">
        <v>6495.4385852512132</v>
      </c>
      <c r="AN249" s="13">
        <v>6379.8410513415447</v>
      </c>
      <c r="AO249" s="13">
        <v>104989.19278325992</v>
      </c>
      <c r="AP249" s="13">
        <v>209440.9620708233</v>
      </c>
      <c r="AQ249" s="13">
        <v>352663.03044384293</v>
      </c>
      <c r="AR249" s="13">
        <v>97291.300304959339</v>
      </c>
      <c r="AS249" s="13">
        <v>174429.34441103344</v>
      </c>
      <c r="AT249" s="34"/>
      <c r="AU249" s="13"/>
      <c r="AV249" s="34"/>
      <c r="AW249" s="34"/>
      <c r="AX249" s="34"/>
      <c r="AY249" s="13">
        <v>222735.04784467214</v>
      </c>
      <c r="AZ249" s="13">
        <v>138668.3123108444</v>
      </c>
      <c r="BA249" s="13">
        <v>138520.35997071469</v>
      </c>
      <c r="BB249" s="32">
        <v>101281.78612818329</v>
      </c>
      <c r="BC249" s="33">
        <v>32454.857600918676</v>
      </c>
      <c r="BD249" s="33">
        <v>-136960.80000000002</v>
      </c>
      <c r="BE249" s="33">
        <v>-52486.32</v>
      </c>
      <c r="BF249" s="14"/>
      <c r="BG249" s="14">
        <v>370864.30808181269</v>
      </c>
      <c r="BH249" s="33">
        <v>692303.69267469086</v>
      </c>
      <c r="BI249" s="13">
        <v>-1020398</v>
      </c>
      <c r="BJ249" s="13">
        <v>1098</v>
      </c>
      <c r="BK249" s="33">
        <v>-153707.25</v>
      </c>
    </row>
    <row r="250" spans="1:63" ht="14.25" x14ac:dyDescent="0.2">
      <c r="A250" s="14">
        <v>832</v>
      </c>
      <c r="B250" s="14" t="s">
        <v>523</v>
      </c>
      <c r="C250" s="14">
        <v>3657</v>
      </c>
      <c r="D250" s="14">
        <v>151</v>
      </c>
      <c r="E250" s="14">
        <v>21</v>
      </c>
      <c r="F250" s="14">
        <v>217</v>
      </c>
      <c r="G250" s="14">
        <v>146</v>
      </c>
      <c r="H250" s="14">
        <v>3122</v>
      </c>
      <c r="I250" s="14">
        <v>1759</v>
      </c>
      <c r="K250" s="29">
        <v>220.16666666666666</v>
      </c>
      <c r="L250" s="29">
        <v>1546</v>
      </c>
      <c r="M250" s="14">
        <v>286.83333333333331</v>
      </c>
      <c r="N250" s="11">
        <v>87</v>
      </c>
      <c r="O250" s="11">
        <v>0</v>
      </c>
      <c r="P250" s="11">
        <v>2</v>
      </c>
      <c r="Q250" s="11">
        <v>0</v>
      </c>
      <c r="R250" s="11">
        <v>0</v>
      </c>
      <c r="S250" s="11">
        <v>2438.16</v>
      </c>
      <c r="T250" s="14">
        <v>98</v>
      </c>
      <c r="U250" s="14">
        <v>846</v>
      </c>
      <c r="V250" s="330"/>
      <c r="W250" s="11">
        <v>1.7243499999999998</v>
      </c>
      <c r="X250" s="64">
        <v>1155</v>
      </c>
      <c r="Y250" s="64">
        <v>1266</v>
      </c>
      <c r="Z250" s="331">
        <v>0.98060652294425132</v>
      </c>
      <c r="AA250" s="31">
        <v>0</v>
      </c>
      <c r="AB250" s="11">
        <v>0</v>
      </c>
      <c r="AC250" s="11">
        <v>0</v>
      </c>
      <c r="AE250" s="32">
        <v>-96082.725000000006</v>
      </c>
      <c r="AF250" s="13">
        <v>-75226.36</v>
      </c>
      <c r="AG250" s="13">
        <v>227658.11825650599</v>
      </c>
      <c r="AH250" s="13">
        <v>-181343.0835698061</v>
      </c>
      <c r="AI250" s="13">
        <v>16455.100331017049</v>
      </c>
      <c r="AJ250" s="13">
        <v>361995</v>
      </c>
      <c r="AK250" s="13">
        <v>112886</v>
      </c>
      <c r="AL250" s="13">
        <v>324994.34134308848</v>
      </c>
      <c r="AM250" s="13">
        <v>18626.552320533414</v>
      </c>
      <c r="AN250" s="13">
        <v>62107.238000014331</v>
      </c>
      <c r="AO250" s="13">
        <v>165073.91156183698</v>
      </c>
      <c r="AP250" s="13">
        <v>235712.06253475058</v>
      </c>
      <c r="AQ250" s="13">
        <v>331160.83617917163</v>
      </c>
      <c r="AR250" s="13">
        <v>110252.77328683966</v>
      </c>
      <c r="AS250" s="13">
        <v>194718.31910601925</v>
      </c>
      <c r="AT250" s="34"/>
      <c r="AU250" s="13"/>
      <c r="AV250" s="34"/>
      <c r="AW250" s="34"/>
      <c r="AX250" s="34"/>
      <c r="AY250" s="13">
        <v>241677.06167460204</v>
      </c>
      <c r="AZ250" s="13">
        <v>138281.75948154519</v>
      </c>
      <c r="BA250" s="13">
        <v>142353.61153087081</v>
      </c>
      <c r="BB250" s="32">
        <v>1613949.5257217507</v>
      </c>
      <c r="BC250" s="33">
        <v>859637.75228881021</v>
      </c>
      <c r="BD250" s="33">
        <v>-108978.6</v>
      </c>
      <c r="BE250" s="33">
        <v>-41762.94</v>
      </c>
      <c r="BF250" s="14"/>
      <c r="BG250" s="14">
        <v>538482.00209951436</v>
      </c>
      <c r="BH250" s="33">
        <v>1944491.1687012874</v>
      </c>
      <c r="BI250" s="13">
        <v>-91843</v>
      </c>
      <c r="BJ250" s="13">
        <v>895</v>
      </c>
      <c r="BK250" s="33">
        <v>28268</v>
      </c>
    </row>
    <row r="251" spans="1:63" ht="14.25" x14ac:dyDescent="0.2">
      <c r="A251" s="14">
        <v>833</v>
      </c>
      <c r="B251" s="14" t="s">
        <v>524</v>
      </c>
      <c r="C251" s="14">
        <v>1692</v>
      </c>
      <c r="D251" s="14">
        <v>70</v>
      </c>
      <c r="E251" s="14">
        <v>13</v>
      </c>
      <c r="F251" s="14">
        <v>93</v>
      </c>
      <c r="G251" s="14">
        <v>52</v>
      </c>
      <c r="H251" s="14">
        <v>1464</v>
      </c>
      <c r="I251" s="14">
        <v>811</v>
      </c>
      <c r="K251" s="29">
        <v>75.75</v>
      </c>
      <c r="L251" s="29">
        <v>708</v>
      </c>
      <c r="M251" s="14">
        <v>91.666666666666671</v>
      </c>
      <c r="N251" s="11">
        <v>132</v>
      </c>
      <c r="O251" s="11">
        <v>0</v>
      </c>
      <c r="P251" s="11">
        <v>15</v>
      </c>
      <c r="Q251" s="11">
        <v>3</v>
      </c>
      <c r="R251" s="11">
        <v>197</v>
      </c>
      <c r="S251" s="11">
        <v>141.69999999999999</v>
      </c>
      <c r="T251" s="14">
        <v>93</v>
      </c>
      <c r="U251" s="14">
        <v>446</v>
      </c>
      <c r="V251" s="330"/>
      <c r="W251" s="11">
        <v>0.48993333333333333</v>
      </c>
      <c r="X251" s="64">
        <v>463</v>
      </c>
      <c r="Y251" s="64">
        <v>624</v>
      </c>
      <c r="Z251" s="331">
        <v>0.55658369880143199</v>
      </c>
      <c r="AA251" s="31">
        <v>0.30009107511776989</v>
      </c>
      <c r="AB251" s="11">
        <v>0</v>
      </c>
      <c r="AC251" s="11">
        <v>0</v>
      </c>
      <c r="AE251" s="32">
        <v>-36977.167500000003</v>
      </c>
      <c r="AF251" s="13">
        <v>-31869.390000000003</v>
      </c>
      <c r="AG251" s="13">
        <v>44608.159186095101</v>
      </c>
      <c r="AH251" s="13">
        <v>-38640.250309630435</v>
      </c>
      <c r="AI251" s="13">
        <v>-6846.4302005689715</v>
      </c>
      <c r="AJ251" s="13">
        <v>179163</v>
      </c>
      <c r="AK251" s="13">
        <v>58959</v>
      </c>
      <c r="AL251" s="13">
        <v>133706.72651570296</v>
      </c>
      <c r="AM251" s="13">
        <v>7469.8677134647514</v>
      </c>
      <c r="AN251" s="13">
        <v>-41419.511783329872</v>
      </c>
      <c r="AO251" s="13">
        <v>51137.76790523142</v>
      </c>
      <c r="AP251" s="13">
        <v>93433.400225188845</v>
      </c>
      <c r="AQ251" s="13">
        <v>177756.64269015155</v>
      </c>
      <c r="AR251" s="13">
        <v>50812.746481371672</v>
      </c>
      <c r="AS251" s="13">
        <v>79672.920883547995</v>
      </c>
      <c r="AT251" s="34"/>
      <c r="AU251" s="13"/>
      <c r="AV251" s="34"/>
      <c r="AW251" s="34"/>
      <c r="AX251" s="34"/>
      <c r="AY251" s="13">
        <v>106192.5947882616</v>
      </c>
      <c r="AZ251" s="13">
        <v>61372.949885688409</v>
      </c>
      <c r="BA251" s="13">
        <v>62827.070200061062</v>
      </c>
      <c r="BB251" s="32">
        <v>446074.66432930698</v>
      </c>
      <c r="BC251" s="33">
        <v>509110.40129738202</v>
      </c>
      <c r="BD251" s="33">
        <v>-50421.599999999999</v>
      </c>
      <c r="BE251" s="33">
        <v>-19322.64</v>
      </c>
      <c r="BF251" s="14"/>
      <c r="BG251" s="14">
        <v>255730.72417039968</v>
      </c>
      <c r="BH251" s="33">
        <v>403784.63043872319</v>
      </c>
      <c r="BI251" s="13">
        <v>-423394</v>
      </c>
      <c r="BJ251" s="13">
        <v>343</v>
      </c>
      <c r="BK251" s="33">
        <v>275613</v>
      </c>
    </row>
    <row r="252" spans="1:63" ht="14.25" x14ac:dyDescent="0.2">
      <c r="A252" s="14">
        <v>834</v>
      </c>
      <c r="B252" s="14" t="s">
        <v>525</v>
      </c>
      <c r="C252" s="14">
        <v>5832</v>
      </c>
      <c r="D252" s="14">
        <v>248</v>
      </c>
      <c r="E252" s="14">
        <v>52</v>
      </c>
      <c r="F252" s="14">
        <v>316</v>
      </c>
      <c r="G252" s="14">
        <v>230</v>
      </c>
      <c r="H252" s="14">
        <v>4986</v>
      </c>
      <c r="I252" s="14">
        <v>3089</v>
      </c>
      <c r="K252" s="29">
        <v>190.08333333333334</v>
      </c>
      <c r="L252" s="29">
        <v>2696</v>
      </c>
      <c r="M252" s="14">
        <v>266.58333333333337</v>
      </c>
      <c r="N252" s="11">
        <v>168</v>
      </c>
      <c r="O252" s="11">
        <v>0</v>
      </c>
      <c r="P252" s="11">
        <v>14</v>
      </c>
      <c r="Q252" s="11">
        <v>0</v>
      </c>
      <c r="R252" s="11">
        <v>0</v>
      </c>
      <c r="S252" s="11">
        <v>640.54999999999995</v>
      </c>
      <c r="T252" s="14">
        <v>191</v>
      </c>
      <c r="U252" s="14">
        <v>1578</v>
      </c>
      <c r="V252" s="330"/>
      <c r="W252" s="11">
        <v>0</v>
      </c>
      <c r="X252" s="64">
        <v>1739</v>
      </c>
      <c r="Y252" s="64">
        <v>2441</v>
      </c>
      <c r="Z252" s="331">
        <v>1.0451966966200292</v>
      </c>
      <c r="AA252" s="31">
        <v>0</v>
      </c>
      <c r="AB252" s="11">
        <v>0</v>
      </c>
      <c r="AC252" s="11">
        <v>0</v>
      </c>
      <c r="AE252" s="32">
        <v>-121103.44500000001</v>
      </c>
      <c r="AF252" s="13">
        <v>-115567.36</v>
      </c>
      <c r="AG252" s="13">
        <v>177836.14951506059</v>
      </c>
      <c r="AH252" s="13">
        <v>-113020.02434695316</v>
      </c>
      <c r="AI252" s="13">
        <v>-31328.519658602905</v>
      </c>
      <c r="AJ252" s="13">
        <v>558257</v>
      </c>
      <c r="AK252" s="13">
        <v>177901</v>
      </c>
      <c r="AL252" s="13">
        <v>413684.24193292833</v>
      </c>
      <c r="AM252" s="13">
        <v>17550.324334889014</v>
      </c>
      <c r="AN252" s="13">
        <v>43093.958357685297</v>
      </c>
      <c r="AO252" s="13">
        <v>174923.79531469161</v>
      </c>
      <c r="AP252" s="13">
        <v>338841.11797299766</v>
      </c>
      <c r="AQ252" s="13">
        <v>514769.599567066</v>
      </c>
      <c r="AR252" s="13">
        <v>156363.00208356997</v>
      </c>
      <c r="AS252" s="13">
        <v>274141.72661984514</v>
      </c>
      <c r="AT252" s="34"/>
      <c r="AU252" s="13"/>
      <c r="AV252" s="34"/>
      <c r="AW252" s="34"/>
      <c r="AX252" s="34"/>
      <c r="AY252" s="13">
        <v>360291.89384720428</v>
      </c>
      <c r="AZ252" s="13">
        <v>209819.56429018817</v>
      </c>
      <c r="BA252" s="13">
        <v>213060.15939976121</v>
      </c>
      <c r="BB252" s="32">
        <v>1625120.9558775544</v>
      </c>
      <c r="BC252" s="33">
        <v>733645.47523331118</v>
      </c>
      <c r="BD252" s="33">
        <v>-173793.6</v>
      </c>
      <c r="BE252" s="33">
        <v>-66601.440000000002</v>
      </c>
      <c r="BF252" s="14"/>
      <c r="BG252" s="14">
        <v>695616.16980878043</v>
      </c>
      <c r="BH252" s="33">
        <v>1636744.2406492792</v>
      </c>
      <c r="BI252" s="13">
        <v>-1454600</v>
      </c>
      <c r="BJ252" s="13">
        <v>1487</v>
      </c>
      <c r="BK252" s="33">
        <v>-281001.58750000002</v>
      </c>
    </row>
    <row r="253" spans="1:63" ht="14.25" x14ac:dyDescent="0.2">
      <c r="A253" s="14">
        <v>837</v>
      </c>
      <c r="B253" s="14" t="s">
        <v>526</v>
      </c>
      <c r="C253" s="14">
        <v>260180</v>
      </c>
      <c r="D253" s="14">
        <v>12219</v>
      </c>
      <c r="E253" s="14">
        <v>2054</v>
      </c>
      <c r="F253" s="14">
        <v>13471</v>
      </c>
      <c r="G253" s="14">
        <v>6845</v>
      </c>
      <c r="H253" s="14">
        <v>225591</v>
      </c>
      <c r="I253" s="14">
        <v>171528</v>
      </c>
      <c r="K253" s="29">
        <v>16410.333333333332</v>
      </c>
      <c r="L253" s="29">
        <v>127863</v>
      </c>
      <c r="M253" s="14">
        <v>23643.5</v>
      </c>
      <c r="N253" s="11">
        <v>29579</v>
      </c>
      <c r="O253" s="11">
        <v>0</v>
      </c>
      <c r="P253" s="11">
        <v>1421</v>
      </c>
      <c r="Q253" s="11">
        <v>0</v>
      </c>
      <c r="R253" s="11">
        <v>0</v>
      </c>
      <c r="S253" s="11">
        <v>526.16</v>
      </c>
      <c r="T253" s="14">
        <v>11271</v>
      </c>
      <c r="U253" s="14">
        <v>87694</v>
      </c>
      <c r="V253" s="330"/>
      <c r="W253" s="11">
        <v>0</v>
      </c>
      <c r="X253" s="64">
        <v>138159</v>
      </c>
      <c r="Y253" s="64">
        <v>116465</v>
      </c>
      <c r="Z253" s="331">
        <v>1.0257045074956799</v>
      </c>
      <c r="AA253" s="31">
        <v>2.1323571455582022</v>
      </c>
      <c r="AB253" s="11">
        <v>0</v>
      </c>
      <c r="AC253" s="11">
        <v>16</v>
      </c>
      <c r="AE253" s="32">
        <v>-26442752.296050001</v>
      </c>
      <c r="AF253" s="13">
        <v>-4629782.8900000006</v>
      </c>
      <c r="AG253" s="13">
        <v>16575384.939725727</v>
      </c>
      <c r="AH253" s="13">
        <v>-564404.92643999786</v>
      </c>
      <c r="AI253" s="13">
        <v>-571154.00050809328</v>
      </c>
      <c r="AJ253" s="13">
        <v>13723734</v>
      </c>
      <c r="AK253" s="13">
        <v>5251644</v>
      </c>
      <c r="AL253" s="13">
        <v>13128326.768248945</v>
      </c>
      <c r="AM253" s="13">
        <v>597364.14532184741</v>
      </c>
      <c r="AN253" s="13">
        <v>244723.63482833534</v>
      </c>
      <c r="AO253" s="13">
        <v>5254837.7257619742</v>
      </c>
      <c r="AP253" s="13">
        <v>11750199.094894685</v>
      </c>
      <c r="AQ253" s="13">
        <v>15523180.842289694</v>
      </c>
      <c r="AR253" s="13">
        <v>6514338.4020276591</v>
      </c>
      <c r="AS253" s="13">
        <v>10327022.863926157</v>
      </c>
      <c r="AT253" s="34"/>
      <c r="AU253" s="13"/>
      <c r="AV253" s="34"/>
      <c r="AW253" s="34"/>
      <c r="AX253" s="34"/>
      <c r="AY253" s="13">
        <v>13531107.236368081</v>
      </c>
      <c r="AZ253" s="13">
        <v>8488137.8888618555</v>
      </c>
      <c r="BA253" s="13">
        <v>8248268.7444584332</v>
      </c>
      <c r="BB253" s="32">
        <v>-34937811.825379469</v>
      </c>
      <c r="BC253" s="33">
        <v>-1052489.13509655</v>
      </c>
      <c r="BD253" s="33">
        <v>-7753364</v>
      </c>
      <c r="BE253" s="33">
        <v>-2971255.6</v>
      </c>
      <c r="BF253" s="14"/>
      <c r="BG253" s="14">
        <v>25086969.264849812</v>
      </c>
      <c r="BH253" s="33">
        <v>5058404.9365957445</v>
      </c>
      <c r="BI253" s="13">
        <v>86962315</v>
      </c>
      <c r="BJ253" s="13">
        <v>92068</v>
      </c>
      <c r="BK253" s="33">
        <v>-15397208.5825</v>
      </c>
    </row>
    <row r="254" spans="1:63" ht="14.25" x14ac:dyDescent="0.2">
      <c r="A254" s="14">
        <v>844</v>
      </c>
      <c r="B254" s="14" t="s">
        <v>527</v>
      </c>
      <c r="C254" s="14">
        <v>1388</v>
      </c>
      <c r="D254" s="14">
        <v>32</v>
      </c>
      <c r="E254" s="14">
        <v>11</v>
      </c>
      <c r="F254" s="14">
        <v>69</v>
      </c>
      <c r="G254" s="14">
        <v>30</v>
      </c>
      <c r="H254" s="14">
        <v>1246</v>
      </c>
      <c r="I254" s="14">
        <v>613</v>
      </c>
      <c r="K254" s="29">
        <v>63.583333333333336</v>
      </c>
      <c r="L254" s="29">
        <v>557</v>
      </c>
      <c r="M254" s="14">
        <v>81.583333333333343</v>
      </c>
      <c r="N254" s="11">
        <v>36</v>
      </c>
      <c r="O254" s="11">
        <v>0</v>
      </c>
      <c r="P254" s="11">
        <v>2</v>
      </c>
      <c r="Q254" s="11">
        <v>3</v>
      </c>
      <c r="R254" s="11">
        <v>150</v>
      </c>
      <c r="S254" s="11">
        <v>347.73</v>
      </c>
      <c r="T254" s="14">
        <v>45</v>
      </c>
      <c r="U254" s="14">
        <v>320</v>
      </c>
      <c r="V254" s="330"/>
      <c r="W254" s="11">
        <v>1.4789666666666665</v>
      </c>
      <c r="X254" s="64">
        <v>341</v>
      </c>
      <c r="Y254" s="64">
        <v>472</v>
      </c>
      <c r="Z254" s="331">
        <v>0.94661097673360772</v>
      </c>
      <c r="AA254" s="31">
        <v>0</v>
      </c>
      <c r="AB254" s="11">
        <v>0</v>
      </c>
      <c r="AC254" s="11">
        <v>0</v>
      </c>
      <c r="AE254" s="32">
        <v>-39655.144999999997</v>
      </c>
      <c r="AF254" s="13">
        <v>-28872.63</v>
      </c>
      <c r="AG254" s="13">
        <v>59775.822805782707</v>
      </c>
      <c r="AH254" s="13">
        <v>-21964.080859410686</v>
      </c>
      <c r="AI254" s="13">
        <v>6270.862435291252</v>
      </c>
      <c r="AJ254" s="13">
        <v>196111</v>
      </c>
      <c r="AK254" s="13">
        <v>61656</v>
      </c>
      <c r="AL254" s="13">
        <v>159282.21211564902</v>
      </c>
      <c r="AM254" s="13">
        <v>9219.4933806493464</v>
      </c>
      <c r="AN254" s="13">
        <v>30583.410181686584</v>
      </c>
      <c r="AO254" s="13">
        <v>62866.855840530829</v>
      </c>
      <c r="AP254" s="13">
        <v>102437.71402169217</v>
      </c>
      <c r="AQ254" s="13">
        <v>138290.75944714711</v>
      </c>
      <c r="AR254" s="13">
        <v>50346.874339769623</v>
      </c>
      <c r="AS254" s="13">
        <v>83779.511600385042</v>
      </c>
      <c r="AT254" s="34"/>
      <c r="AU254" s="13"/>
      <c r="AV254" s="34"/>
      <c r="AW254" s="34"/>
      <c r="AX254" s="34"/>
      <c r="AY254" s="13">
        <v>114209.05125423992</v>
      </c>
      <c r="AZ254" s="13">
        <v>61334.316286049107</v>
      </c>
      <c r="BA254" s="13">
        <v>59620.168105461322</v>
      </c>
      <c r="BB254" s="32">
        <v>155770.66059490759</v>
      </c>
      <c r="BC254" s="33">
        <v>-6090.6908733183473</v>
      </c>
      <c r="BD254" s="33">
        <v>-41362.400000000001</v>
      </c>
      <c r="BE254" s="33">
        <v>-15850.96</v>
      </c>
      <c r="BF254" s="14"/>
      <c r="BG254" s="14">
        <v>260776.32089037809</v>
      </c>
      <c r="BH254" s="33">
        <v>729189.54407553235</v>
      </c>
      <c r="BI254" s="13">
        <v>-318234</v>
      </c>
      <c r="BJ254" s="13">
        <v>209</v>
      </c>
      <c r="BK254" s="33">
        <v>-120139</v>
      </c>
    </row>
    <row r="255" spans="1:63" ht="14.25" x14ac:dyDescent="0.2">
      <c r="A255" s="14">
        <v>845</v>
      </c>
      <c r="B255" s="14" t="s">
        <v>528</v>
      </c>
      <c r="C255" s="14">
        <v>2826</v>
      </c>
      <c r="D255" s="14">
        <v>144</v>
      </c>
      <c r="E255" s="14">
        <v>38</v>
      </c>
      <c r="F255" s="14">
        <v>180</v>
      </c>
      <c r="G255" s="14">
        <v>99</v>
      </c>
      <c r="H255" s="14">
        <v>2365</v>
      </c>
      <c r="I255" s="14">
        <v>1399</v>
      </c>
      <c r="K255" s="29">
        <v>103.66666666666667</v>
      </c>
      <c r="L255" s="29">
        <v>1219</v>
      </c>
      <c r="M255" s="14">
        <v>164.33333333333334</v>
      </c>
      <c r="N255" s="11">
        <v>95</v>
      </c>
      <c r="O255" s="11">
        <v>0</v>
      </c>
      <c r="P255" s="11">
        <v>3</v>
      </c>
      <c r="Q255" s="11">
        <v>0</v>
      </c>
      <c r="R255" s="11">
        <v>0</v>
      </c>
      <c r="S255" s="11">
        <v>1559.9</v>
      </c>
      <c r="T255" s="14">
        <v>92</v>
      </c>
      <c r="U255" s="14">
        <v>686</v>
      </c>
      <c r="V255" s="330"/>
      <c r="W255" s="11">
        <v>1.3779666666666666</v>
      </c>
      <c r="X255" s="64">
        <v>1008</v>
      </c>
      <c r="Y255" s="64">
        <v>1079</v>
      </c>
      <c r="Z255" s="331">
        <v>0.64670275969491609</v>
      </c>
      <c r="AA255" s="31">
        <v>0</v>
      </c>
      <c r="AB255" s="11">
        <v>0</v>
      </c>
      <c r="AC255" s="11">
        <v>1</v>
      </c>
      <c r="AE255" s="32">
        <v>-83484.140899999999</v>
      </c>
      <c r="AF255" s="13">
        <v>-56189.25</v>
      </c>
      <c r="AG255" s="13">
        <v>108127.50962420581</v>
      </c>
      <c r="AH255" s="13">
        <v>-79190.850029653739</v>
      </c>
      <c r="AI255" s="13">
        <v>23600.449078545789</v>
      </c>
      <c r="AJ255" s="13">
        <v>301511</v>
      </c>
      <c r="AK255" s="13">
        <v>94788</v>
      </c>
      <c r="AL255" s="13">
        <v>235943.08993165064</v>
      </c>
      <c r="AM255" s="13">
        <v>13005.778783737596</v>
      </c>
      <c r="AN255" s="13">
        <v>42326.729787976459</v>
      </c>
      <c r="AO255" s="13">
        <v>107710.18747200553</v>
      </c>
      <c r="AP255" s="13">
        <v>159813.91595180737</v>
      </c>
      <c r="AQ255" s="13">
        <v>251861.84748376219</v>
      </c>
      <c r="AR255" s="13">
        <v>69629.616093293807</v>
      </c>
      <c r="AS255" s="13">
        <v>122234.69291125509</v>
      </c>
      <c r="AT255" s="34"/>
      <c r="AU255" s="13"/>
      <c r="AV255" s="34"/>
      <c r="AW255" s="34"/>
      <c r="AX255" s="34"/>
      <c r="AY255" s="13">
        <v>169781.64477668764</v>
      </c>
      <c r="AZ255" s="13">
        <v>100291.51295642542</v>
      </c>
      <c r="BA255" s="13">
        <v>97721.412502125284</v>
      </c>
      <c r="BB255" s="32">
        <v>211787.08367977914</v>
      </c>
      <c r="BC255" s="33">
        <v>-12101.074233386835</v>
      </c>
      <c r="BD255" s="33">
        <v>-84214.8</v>
      </c>
      <c r="BE255" s="33">
        <v>-32272.92</v>
      </c>
      <c r="BF255" s="14"/>
      <c r="BG255" s="14">
        <v>464930.27423073631</v>
      </c>
      <c r="BH255" s="33">
        <v>975917.18065114226</v>
      </c>
      <c r="BI255" s="13">
        <v>-21147</v>
      </c>
      <c r="BJ255" s="13">
        <v>770</v>
      </c>
      <c r="BK255" s="33">
        <v>26501.249999999993</v>
      </c>
    </row>
    <row r="256" spans="1:63" ht="14.25" x14ac:dyDescent="0.2">
      <c r="A256" s="14">
        <v>846</v>
      </c>
      <c r="B256" s="14" t="s">
        <v>529</v>
      </c>
      <c r="C256" s="14">
        <v>4662</v>
      </c>
      <c r="D256" s="14">
        <v>168</v>
      </c>
      <c r="E256" s="14">
        <v>44</v>
      </c>
      <c r="F256" s="14">
        <v>280</v>
      </c>
      <c r="G256" s="14">
        <v>165</v>
      </c>
      <c r="H256" s="14">
        <v>4005</v>
      </c>
      <c r="I256" s="14">
        <v>2220</v>
      </c>
      <c r="K256" s="29">
        <v>180.83333333333334</v>
      </c>
      <c r="L256" s="29">
        <v>1948</v>
      </c>
      <c r="M256" s="14">
        <v>254.5</v>
      </c>
      <c r="N256" s="11">
        <v>127</v>
      </c>
      <c r="O256" s="11">
        <v>0</v>
      </c>
      <c r="P256" s="11">
        <v>33</v>
      </c>
      <c r="Q256" s="11">
        <v>0</v>
      </c>
      <c r="R256" s="11">
        <v>0</v>
      </c>
      <c r="S256" s="11">
        <v>554.78</v>
      </c>
      <c r="T256" s="14">
        <v>170</v>
      </c>
      <c r="U256" s="14">
        <v>1086</v>
      </c>
      <c r="V256" s="330"/>
      <c r="W256" s="11">
        <v>0.17711666666666667</v>
      </c>
      <c r="X256" s="64">
        <v>1517</v>
      </c>
      <c r="Y256" s="64">
        <v>1737</v>
      </c>
      <c r="Z256" s="331">
        <v>0.9260496468810776</v>
      </c>
      <c r="AA256" s="31">
        <v>0</v>
      </c>
      <c r="AB256" s="11">
        <v>0</v>
      </c>
      <c r="AC256" s="11">
        <v>0</v>
      </c>
      <c r="AE256" s="32">
        <v>-100887.32</v>
      </c>
      <c r="AF256" s="13">
        <v>-95934.74</v>
      </c>
      <c r="AG256" s="13">
        <v>248403.36689690748</v>
      </c>
      <c r="AH256" s="13">
        <v>-115290.66163981642</v>
      </c>
      <c r="AI256" s="13">
        <v>4257.6414614180394</v>
      </c>
      <c r="AJ256" s="13">
        <v>576996</v>
      </c>
      <c r="AK256" s="13">
        <v>180373</v>
      </c>
      <c r="AL256" s="13">
        <v>473410.92240475229</v>
      </c>
      <c r="AM256" s="13">
        <v>25183.388047769105</v>
      </c>
      <c r="AN256" s="13">
        <v>43857.318722701071</v>
      </c>
      <c r="AO256" s="13">
        <v>222955.8629928093</v>
      </c>
      <c r="AP256" s="13">
        <v>317312.53966913937</v>
      </c>
      <c r="AQ256" s="13">
        <v>515527.25299315219</v>
      </c>
      <c r="AR256" s="13">
        <v>144626.51011057411</v>
      </c>
      <c r="AS256" s="13">
        <v>273798.9291505118</v>
      </c>
      <c r="AT256" s="34"/>
      <c r="AU256" s="13"/>
      <c r="AV256" s="34"/>
      <c r="AW256" s="34"/>
      <c r="AX256" s="34"/>
      <c r="AY256" s="13">
        <v>377557.97528388398</v>
      </c>
      <c r="AZ256" s="13">
        <v>198869.4112700792</v>
      </c>
      <c r="BA256" s="13">
        <v>190073.52813930894</v>
      </c>
      <c r="BB256" s="32">
        <v>1311932.4279102779</v>
      </c>
      <c r="BC256" s="33">
        <v>169350.82723355357</v>
      </c>
      <c r="BD256" s="33">
        <v>-138927.6</v>
      </c>
      <c r="BE256" s="33">
        <v>-53240.04</v>
      </c>
      <c r="BF256" s="14"/>
      <c r="BG256" s="14">
        <v>785790.96372154786</v>
      </c>
      <c r="BH256" s="33">
        <v>2864729.226224611</v>
      </c>
      <c r="BI256" s="13">
        <v>-346962</v>
      </c>
      <c r="BJ256" s="13">
        <v>1145</v>
      </c>
      <c r="BK256" s="33">
        <v>-91959.337499999994</v>
      </c>
    </row>
    <row r="257" spans="1:63" ht="14.25" x14ac:dyDescent="0.2">
      <c r="A257" s="14">
        <v>848</v>
      </c>
      <c r="B257" s="14" t="s">
        <v>530</v>
      </c>
      <c r="C257" s="14">
        <v>3976</v>
      </c>
      <c r="D257" s="14">
        <v>137</v>
      </c>
      <c r="E257" s="14">
        <v>24</v>
      </c>
      <c r="F257" s="14">
        <v>242</v>
      </c>
      <c r="G257" s="14">
        <v>131</v>
      </c>
      <c r="H257" s="14">
        <v>3442</v>
      </c>
      <c r="I257" s="14">
        <v>1896</v>
      </c>
      <c r="K257" s="29">
        <v>269</v>
      </c>
      <c r="L257" s="29">
        <v>1700</v>
      </c>
      <c r="M257" s="14">
        <v>364.66666666666669</v>
      </c>
      <c r="N257" s="11">
        <v>252</v>
      </c>
      <c r="O257" s="11">
        <v>0</v>
      </c>
      <c r="P257" s="11">
        <v>10</v>
      </c>
      <c r="Q257" s="11">
        <v>0</v>
      </c>
      <c r="R257" s="11">
        <v>0</v>
      </c>
      <c r="S257" s="11">
        <v>837.78</v>
      </c>
      <c r="T257" s="14">
        <v>161</v>
      </c>
      <c r="U257" s="14">
        <v>994</v>
      </c>
      <c r="V257" s="330"/>
      <c r="W257" s="11">
        <v>0.92721666666666658</v>
      </c>
      <c r="X257" s="64">
        <v>1171</v>
      </c>
      <c r="Y257" s="64">
        <v>1362</v>
      </c>
      <c r="Z257" s="331">
        <v>0.88416422006593609</v>
      </c>
      <c r="AA257" s="31">
        <v>0</v>
      </c>
      <c r="AB257" s="11">
        <v>0</v>
      </c>
      <c r="AC257" s="11">
        <v>1</v>
      </c>
      <c r="AE257" s="32">
        <v>-138868.87705000001</v>
      </c>
      <c r="AF257" s="13">
        <v>-82737.47</v>
      </c>
      <c r="AG257" s="13">
        <v>336426.54632570501</v>
      </c>
      <c r="AH257" s="13">
        <v>-95074.357536049502</v>
      </c>
      <c r="AI257" s="13">
        <v>85864.443845580885</v>
      </c>
      <c r="AJ257" s="13">
        <v>488924</v>
      </c>
      <c r="AK257" s="13">
        <v>151458</v>
      </c>
      <c r="AL257" s="13">
        <v>407823.27488089685</v>
      </c>
      <c r="AM257" s="13">
        <v>23600.248029461156</v>
      </c>
      <c r="AN257" s="13">
        <v>70179.897376886685</v>
      </c>
      <c r="AO257" s="13">
        <v>178361.87821368751</v>
      </c>
      <c r="AP257" s="13">
        <v>258633.18425387493</v>
      </c>
      <c r="AQ257" s="13">
        <v>426043.25547438674</v>
      </c>
      <c r="AR257" s="13">
        <v>124023.69196412733</v>
      </c>
      <c r="AS257" s="13">
        <v>230735.16298174483</v>
      </c>
      <c r="AT257" s="34"/>
      <c r="AU257" s="13"/>
      <c r="AV257" s="34"/>
      <c r="AW257" s="34"/>
      <c r="AX257" s="34"/>
      <c r="AY257" s="13">
        <v>316051.99236465659</v>
      </c>
      <c r="AZ257" s="13">
        <v>164166.54059831458</v>
      </c>
      <c r="BA257" s="13">
        <v>160604.88814193234</v>
      </c>
      <c r="BB257" s="32">
        <v>38291.144048307695</v>
      </c>
      <c r="BC257" s="33">
        <v>-1136.7688538780192</v>
      </c>
      <c r="BD257" s="33">
        <v>-118484.8</v>
      </c>
      <c r="BE257" s="33">
        <v>-45405.919999999998</v>
      </c>
      <c r="BF257" s="14"/>
      <c r="BG257" s="14">
        <v>717165.13713036652</v>
      </c>
      <c r="BH257" s="33">
        <v>2561756.1516592745</v>
      </c>
      <c r="BI257" s="13">
        <v>747252</v>
      </c>
      <c r="BJ257" s="13">
        <v>820</v>
      </c>
      <c r="BK257" s="33">
        <v>-38956.837499999994</v>
      </c>
    </row>
    <row r="258" spans="1:63" ht="14.25" x14ac:dyDescent="0.2">
      <c r="A258" s="14">
        <v>849</v>
      </c>
      <c r="B258" s="14" t="s">
        <v>531</v>
      </c>
      <c r="C258" s="14">
        <v>2799</v>
      </c>
      <c r="D258" s="14">
        <v>135</v>
      </c>
      <c r="E258" s="14">
        <v>30</v>
      </c>
      <c r="F258" s="14">
        <v>217</v>
      </c>
      <c r="G258" s="14">
        <v>134</v>
      </c>
      <c r="H258" s="14">
        <v>2283</v>
      </c>
      <c r="I258" s="14">
        <v>1322</v>
      </c>
      <c r="K258" s="29">
        <v>85.25</v>
      </c>
      <c r="L258" s="29">
        <v>1156</v>
      </c>
      <c r="M258" s="14">
        <v>122.08333333333334</v>
      </c>
      <c r="N258" s="11">
        <v>70</v>
      </c>
      <c r="O258" s="11">
        <v>0</v>
      </c>
      <c r="P258" s="11">
        <v>3</v>
      </c>
      <c r="Q258" s="11">
        <v>0</v>
      </c>
      <c r="R258" s="11">
        <v>0</v>
      </c>
      <c r="S258" s="11">
        <v>609.14</v>
      </c>
      <c r="T258" s="14">
        <v>90</v>
      </c>
      <c r="U258" s="14">
        <v>695</v>
      </c>
      <c r="V258" s="330"/>
      <c r="W258" s="11">
        <v>0.86536666666666673</v>
      </c>
      <c r="X258" s="64">
        <v>972</v>
      </c>
      <c r="Y258" s="64">
        <v>1056</v>
      </c>
      <c r="Z258" s="331">
        <v>0.9245512387459115</v>
      </c>
      <c r="AA258" s="31">
        <v>0</v>
      </c>
      <c r="AB258" s="11">
        <v>0</v>
      </c>
      <c r="AC258" s="11">
        <v>0</v>
      </c>
      <c r="AE258" s="32">
        <v>-81307.19</v>
      </c>
      <c r="AF258" s="13">
        <v>-56976.86</v>
      </c>
      <c r="AG258" s="13">
        <v>124786.5122456785</v>
      </c>
      <c r="AH258" s="13">
        <v>-96647.106303602181</v>
      </c>
      <c r="AI258" s="13">
        <v>-8501.5452029062944</v>
      </c>
      <c r="AJ258" s="13">
        <v>314226</v>
      </c>
      <c r="AK258" s="13">
        <v>100168</v>
      </c>
      <c r="AL258" s="13">
        <v>257451.31468654651</v>
      </c>
      <c r="AM258" s="13">
        <v>12554.810613471816</v>
      </c>
      <c r="AN258" s="13">
        <v>41698.335300340557</v>
      </c>
      <c r="AO258" s="13">
        <v>129523.2545463595</v>
      </c>
      <c r="AP258" s="13">
        <v>173125.70093132294</v>
      </c>
      <c r="AQ258" s="13">
        <v>339131.47494841396</v>
      </c>
      <c r="AR258" s="13">
        <v>83990.13880289915</v>
      </c>
      <c r="AS258" s="13">
        <v>153250.83389795406</v>
      </c>
      <c r="AT258" s="34"/>
      <c r="AU258" s="13"/>
      <c r="AV258" s="34"/>
      <c r="AW258" s="34"/>
      <c r="AX258" s="34"/>
      <c r="AY258" s="13">
        <v>233364.93913772432</v>
      </c>
      <c r="AZ258" s="13">
        <v>118854.40025056378</v>
      </c>
      <c r="BA258" s="13">
        <v>114035.08789432005</v>
      </c>
      <c r="BB258" s="32">
        <v>699450.09426301043</v>
      </c>
      <c r="BC258" s="33">
        <v>30606.281426735764</v>
      </c>
      <c r="BD258" s="33">
        <v>-83410.2</v>
      </c>
      <c r="BE258" s="33">
        <v>-31964.579999999998</v>
      </c>
      <c r="BF258" s="14"/>
      <c r="BG258" s="14">
        <v>496838.73489096499</v>
      </c>
      <c r="BH258" s="33">
        <v>1757733.281050259</v>
      </c>
      <c r="BI258" s="13">
        <v>340462</v>
      </c>
      <c r="BJ258" s="13">
        <v>806</v>
      </c>
      <c r="BK258" s="33">
        <v>356883.5</v>
      </c>
    </row>
    <row r="259" spans="1:63" ht="14.25" x14ac:dyDescent="0.2">
      <c r="A259" s="14">
        <v>850</v>
      </c>
      <c r="B259" s="14" t="s">
        <v>532</v>
      </c>
      <c r="C259" s="14">
        <v>2349</v>
      </c>
      <c r="D259" s="14">
        <v>114</v>
      </c>
      <c r="E259" s="14">
        <v>25</v>
      </c>
      <c r="F259" s="14">
        <v>168</v>
      </c>
      <c r="G259" s="14">
        <v>126</v>
      </c>
      <c r="H259" s="14">
        <v>1916</v>
      </c>
      <c r="I259" s="14">
        <v>1162</v>
      </c>
      <c r="K259" s="29">
        <v>85.916666666666671</v>
      </c>
      <c r="L259" s="29">
        <v>1026</v>
      </c>
      <c r="M259" s="14">
        <v>119.25</v>
      </c>
      <c r="N259" s="11">
        <v>56</v>
      </c>
      <c r="O259" s="11">
        <v>0</v>
      </c>
      <c r="P259" s="11">
        <v>2</v>
      </c>
      <c r="Q259" s="11">
        <v>0</v>
      </c>
      <c r="R259" s="11">
        <v>0</v>
      </c>
      <c r="S259" s="11">
        <v>361.47</v>
      </c>
      <c r="T259" s="14">
        <v>71</v>
      </c>
      <c r="U259" s="14">
        <v>674</v>
      </c>
      <c r="V259" s="330"/>
      <c r="W259" s="11">
        <v>0.21193333333333333</v>
      </c>
      <c r="X259" s="64">
        <v>548</v>
      </c>
      <c r="Y259" s="64">
        <v>908</v>
      </c>
      <c r="Z259" s="331">
        <v>0.90621027035500412</v>
      </c>
      <c r="AA259" s="31">
        <v>0</v>
      </c>
      <c r="AB259" s="11">
        <v>0</v>
      </c>
      <c r="AC259" s="11">
        <v>0</v>
      </c>
      <c r="AE259" s="32">
        <v>-51859.033000000003</v>
      </c>
      <c r="AF259" s="13">
        <v>-46123.21</v>
      </c>
      <c r="AG259" s="13">
        <v>71337.085225554809</v>
      </c>
      <c r="AH259" s="13">
        <v>-62685.245371238641</v>
      </c>
      <c r="AI259" s="13">
        <v>14339.821775361619</v>
      </c>
      <c r="AJ259" s="13">
        <v>217595</v>
      </c>
      <c r="AK259" s="13">
        <v>70121</v>
      </c>
      <c r="AL259" s="13">
        <v>157566.65010776315</v>
      </c>
      <c r="AM259" s="13">
        <v>6018.4220331636425</v>
      </c>
      <c r="AN259" s="13">
        <v>16014.904402014883</v>
      </c>
      <c r="AO259" s="13">
        <v>71238.978805835344</v>
      </c>
      <c r="AP259" s="13">
        <v>131906.43722749897</v>
      </c>
      <c r="AQ259" s="13">
        <v>199318.96465986373</v>
      </c>
      <c r="AR259" s="13">
        <v>52076.235371586336</v>
      </c>
      <c r="AS259" s="13">
        <v>106125.74955900428</v>
      </c>
      <c r="AT259" s="34"/>
      <c r="AU259" s="13"/>
      <c r="AV259" s="34"/>
      <c r="AW259" s="34"/>
      <c r="AX259" s="34"/>
      <c r="AY259" s="13">
        <v>123292.86229175363</v>
      </c>
      <c r="AZ259" s="13">
        <v>80249.693188657402</v>
      </c>
      <c r="BA259" s="13">
        <v>77851.214470979801</v>
      </c>
      <c r="BB259" s="32">
        <v>254195.90239234566</v>
      </c>
      <c r="BC259" s="33">
        <v>144055.95807529634</v>
      </c>
      <c r="BD259" s="33">
        <v>-70000.2</v>
      </c>
      <c r="BE259" s="33">
        <v>-26825.579999999998</v>
      </c>
      <c r="BF259" s="14"/>
      <c r="BG259" s="14">
        <v>228188.81622930232</v>
      </c>
      <c r="BH259" s="33">
        <v>951450.26632180158</v>
      </c>
      <c r="BI259" s="13">
        <v>-411332</v>
      </c>
      <c r="BJ259" s="13">
        <v>635</v>
      </c>
      <c r="BK259" s="33">
        <v>185261.405</v>
      </c>
    </row>
    <row r="260" spans="1:63" ht="14.25" x14ac:dyDescent="0.2">
      <c r="A260" s="14">
        <v>851</v>
      </c>
      <c r="B260" s="14" t="s">
        <v>533</v>
      </c>
      <c r="C260" s="14">
        <v>20959</v>
      </c>
      <c r="D260" s="14">
        <v>1057</v>
      </c>
      <c r="E260" s="14">
        <v>207</v>
      </c>
      <c r="F260" s="14">
        <v>1406</v>
      </c>
      <c r="G260" s="14">
        <v>866</v>
      </c>
      <c r="H260" s="14">
        <v>17423</v>
      </c>
      <c r="I260" s="14">
        <v>11373</v>
      </c>
      <c r="K260" s="29">
        <v>791.5</v>
      </c>
      <c r="L260" s="29">
        <v>9632</v>
      </c>
      <c r="M260" s="14">
        <v>1224.75</v>
      </c>
      <c r="N260" s="11">
        <v>861</v>
      </c>
      <c r="O260" s="11">
        <v>0</v>
      </c>
      <c r="P260" s="11">
        <v>104</v>
      </c>
      <c r="Q260" s="11">
        <v>0</v>
      </c>
      <c r="R260" s="11">
        <v>0</v>
      </c>
      <c r="S260" s="11">
        <v>1188.74</v>
      </c>
      <c r="T260" s="14">
        <v>719</v>
      </c>
      <c r="U260" s="14">
        <v>6220</v>
      </c>
      <c r="V260" s="330"/>
      <c r="W260" s="11">
        <v>0.14405000000000001</v>
      </c>
      <c r="X260" s="64">
        <v>8856</v>
      </c>
      <c r="Y260" s="64">
        <v>8678</v>
      </c>
      <c r="Z260" s="331">
        <v>0.92120208412528104</v>
      </c>
      <c r="AA260" s="31">
        <v>0</v>
      </c>
      <c r="AB260" s="11">
        <v>0</v>
      </c>
      <c r="AC260" s="11">
        <v>16</v>
      </c>
      <c r="AE260" s="32">
        <v>-865721.05579999997</v>
      </c>
      <c r="AF260" s="13">
        <v>-412381.07</v>
      </c>
      <c r="AG260" s="13">
        <v>848280.83302312926</v>
      </c>
      <c r="AH260" s="13">
        <v>-162466.77388602597</v>
      </c>
      <c r="AI260" s="13">
        <v>78153.832422560256</v>
      </c>
      <c r="AJ260" s="13">
        <v>1689783</v>
      </c>
      <c r="AK260" s="13">
        <v>512361</v>
      </c>
      <c r="AL260" s="13">
        <v>1252194.124183459</v>
      </c>
      <c r="AM260" s="13">
        <v>40707.485807017249</v>
      </c>
      <c r="AN260" s="13">
        <v>63350.426891838411</v>
      </c>
      <c r="AO260" s="13">
        <v>564846.76750505914</v>
      </c>
      <c r="AP260" s="13">
        <v>986831.87846677739</v>
      </c>
      <c r="AQ260" s="13">
        <v>1548331.791137923</v>
      </c>
      <c r="AR260" s="13">
        <v>440767.03542465175</v>
      </c>
      <c r="AS260" s="13">
        <v>832994.80378773704</v>
      </c>
      <c r="AT260" s="34"/>
      <c r="AU260" s="13"/>
      <c r="AV260" s="34"/>
      <c r="AW260" s="34"/>
      <c r="AX260" s="34"/>
      <c r="AY260" s="13">
        <v>1076653.2994578972</v>
      </c>
      <c r="AZ260" s="13">
        <v>647992.94354103843</v>
      </c>
      <c r="BA260" s="13">
        <v>645172.50268318271</v>
      </c>
      <c r="BB260" s="32">
        <v>-3437002.791325904</v>
      </c>
      <c r="BC260" s="33">
        <v>-1815985.4153980576</v>
      </c>
      <c r="BD260" s="33">
        <v>-624578.20000000007</v>
      </c>
      <c r="BE260" s="33">
        <v>-239351.78</v>
      </c>
      <c r="BF260" s="14"/>
      <c r="BG260" s="14">
        <v>1791518.9956718076</v>
      </c>
      <c r="BH260" s="33">
        <v>3403159.8019294692</v>
      </c>
      <c r="BI260" s="13">
        <v>-159551</v>
      </c>
      <c r="BJ260" s="13">
        <v>6353</v>
      </c>
      <c r="BK260" s="33">
        <v>11307.200000000012</v>
      </c>
    </row>
    <row r="261" spans="1:63" ht="14.25" x14ac:dyDescent="0.2">
      <c r="A261" s="14">
        <v>853</v>
      </c>
      <c r="B261" s="14" t="s">
        <v>534</v>
      </c>
      <c r="C261" s="14">
        <v>206073</v>
      </c>
      <c r="D261" s="14">
        <v>9508</v>
      </c>
      <c r="E261" s="14">
        <v>1576</v>
      </c>
      <c r="F261" s="14">
        <v>10325</v>
      </c>
      <c r="G261" s="14">
        <v>5253</v>
      </c>
      <c r="H261" s="14">
        <v>179411</v>
      </c>
      <c r="I261" s="14">
        <v>133939</v>
      </c>
      <c r="K261" s="29">
        <v>13075.666666666666</v>
      </c>
      <c r="L261" s="29">
        <v>100115</v>
      </c>
      <c r="M261" s="14">
        <v>18663.166666666664</v>
      </c>
      <c r="N261" s="11">
        <v>34338</v>
      </c>
      <c r="O261" s="11">
        <v>1</v>
      </c>
      <c r="P261" s="11">
        <v>11164</v>
      </c>
      <c r="Q261" s="11">
        <v>0</v>
      </c>
      <c r="R261" s="11">
        <v>0</v>
      </c>
      <c r="S261" s="11">
        <v>245.85</v>
      </c>
      <c r="T261" s="14">
        <v>12154</v>
      </c>
      <c r="U261" s="14">
        <v>66670</v>
      </c>
      <c r="V261" s="330"/>
      <c r="W261" s="11">
        <v>0</v>
      </c>
      <c r="X261" s="64">
        <v>109511</v>
      </c>
      <c r="Y261" s="64">
        <v>90315</v>
      </c>
      <c r="Z261" s="331">
        <v>0.98648016320795895</v>
      </c>
      <c r="AA261" s="31">
        <v>1.8346759045410426</v>
      </c>
      <c r="AB261" s="11">
        <v>0</v>
      </c>
      <c r="AC261" s="11">
        <v>10</v>
      </c>
      <c r="AE261" s="32">
        <v>-17036645.276999999</v>
      </c>
      <c r="AF261" s="13">
        <v>-3734251.1100000003</v>
      </c>
      <c r="AG261" s="13">
        <v>8199381.0425101593</v>
      </c>
      <c r="AH261" s="13">
        <v>-982060.5533491635</v>
      </c>
      <c r="AI261" s="13">
        <v>108470.04197102599</v>
      </c>
      <c r="AJ261" s="13">
        <v>12023956</v>
      </c>
      <c r="AK261" s="13">
        <v>4740530</v>
      </c>
      <c r="AL261" s="13">
        <v>11427222.350982357</v>
      </c>
      <c r="AM261" s="13">
        <v>564913.72354156873</v>
      </c>
      <c r="AN261" s="13">
        <v>366930.12714489934</v>
      </c>
      <c r="AO261" s="13">
        <v>4587595.6474295668</v>
      </c>
      <c r="AP261" s="13">
        <v>9653934.2228655722</v>
      </c>
      <c r="AQ261" s="13">
        <v>13341231.3378736</v>
      </c>
      <c r="AR261" s="13">
        <v>5854496.7159642829</v>
      </c>
      <c r="AS261" s="13">
        <v>9081982.0337993596</v>
      </c>
      <c r="AT261" s="34"/>
      <c r="AU261" s="13"/>
      <c r="AV261" s="34"/>
      <c r="AW261" s="34"/>
      <c r="AX261" s="34"/>
      <c r="AY261" s="13">
        <v>11413161.413686223</v>
      </c>
      <c r="AZ261" s="13">
        <v>7215064.8567572953</v>
      </c>
      <c r="BA261" s="13">
        <v>7295948.5618213667</v>
      </c>
      <c r="BB261" s="32">
        <v>-21134452.432889041</v>
      </c>
      <c r="BC261" s="33">
        <v>-836466.15116564953</v>
      </c>
      <c r="BD261" s="33">
        <v>-6140975.4000000004</v>
      </c>
      <c r="BE261" s="33">
        <v>-2353353.66</v>
      </c>
      <c r="BF261" s="14"/>
      <c r="BG261" s="14">
        <v>24213492.891163815</v>
      </c>
      <c r="BH261" s="33">
        <v>-746092.59263743076</v>
      </c>
      <c r="BI261" s="13">
        <v>48831670</v>
      </c>
      <c r="BJ261" s="13">
        <v>72429</v>
      </c>
      <c r="BK261" s="33">
        <v>-4056546.3375000004</v>
      </c>
    </row>
    <row r="262" spans="1:63" ht="14.25" x14ac:dyDescent="0.2">
      <c r="A262" s="14">
        <v>857</v>
      </c>
      <c r="B262" s="14" t="s">
        <v>536</v>
      </c>
      <c r="C262" s="14">
        <v>2311</v>
      </c>
      <c r="D262" s="14">
        <v>58</v>
      </c>
      <c r="E262" s="14">
        <v>8</v>
      </c>
      <c r="F262" s="14">
        <v>105</v>
      </c>
      <c r="G262" s="14">
        <v>62</v>
      </c>
      <c r="H262" s="14">
        <v>2078</v>
      </c>
      <c r="I262" s="14">
        <v>1078</v>
      </c>
      <c r="K262" s="29">
        <v>99.083333333333329</v>
      </c>
      <c r="L262" s="29">
        <v>878</v>
      </c>
      <c r="M262" s="14">
        <v>122.5</v>
      </c>
      <c r="N262" s="11">
        <v>59</v>
      </c>
      <c r="O262" s="11">
        <v>0</v>
      </c>
      <c r="P262" s="11">
        <v>4</v>
      </c>
      <c r="Q262" s="11">
        <v>0</v>
      </c>
      <c r="R262" s="11">
        <v>0</v>
      </c>
      <c r="S262" s="11">
        <v>543.15</v>
      </c>
      <c r="T262" s="14">
        <v>85</v>
      </c>
      <c r="U262" s="14">
        <v>538</v>
      </c>
      <c r="V262" s="330"/>
      <c r="W262" s="11">
        <v>1.1848333333333332</v>
      </c>
      <c r="X262" s="64">
        <v>579</v>
      </c>
      <c r="Y262" s="64">
        <v>718</v>
      </c>
      <c r="Z262" s="331">
        <v>0.7946028767915585</v>
      </c>
      <c r="AA262" s="31">
        <v>0</v>
      </c>
      <c r="AB262" s="11">
        <v>0</v>
      </c>
      <c r="AC262" s="11">
        <v>1</v>
      </c>
      <c r="AE262" s="32">
        <v>-129619.88499999999</v>
      </c>
      <c r="AF262" s="13">
        <v>-46737.93</v>
      </c>
      <c r="AG262" s="13">
        <v>50604.445785028976</v>
      </c>
      <c r="AH262" s="13">
        <v>0</v>
      </c>
      <c r="AI262" s="13">
        <v>8950.1300216402815</v>
      </c>
      <c r="AJ262" s="13">
        <v>300356</v>
      </c>
      <c r="AK262" s="13">
        <v>87021</v>
      </c>
      <c r="AL262" s="13">
        <v>228750.0569633556</v>
      </c>
      <c r="AM262" s="13">
        <v>10969.57630153163</v>
      </c>
      <c r="AN262" s="13">
        <v>17385.613345586495</v>
      </c>
      <c r="AO262" s="13">
        <v>111786.84419278541</v>
      </c>
      <c r="AP262" s="13">
        <v>148155.05428529167</v>
      </c>
      <c r="AQ262" s="13">
        <v>234119.64364674693</v>
      </c>
      <c r="AR262" s="13">
        <v>62099.270575895694</v>
      </c>
      <c r="AS262" s="13">
        <v>126183.83449558614</v>
      </c>
      <c r="AT262" s="34"/>
      <c r="AU262" s="13"/>
      <c r="AV262" s="34"/>
      <c r="AW262" s="34"/>
      <c r="AX262" s="34"/>
      <c r="AY262" s="13">
        <v>179387.14097000952</v>
      </c>
      <c r="AZ262" s="13">
        <v>92668.338216930744</v>
      </c>
      <c r="BA262" s="13">
        <v>82620.528892882954</v>
      </c>
      <c r="BB262" s="32">
        <v>-1022230.9657185172</v>
      </c>
      <c r="BC262" s="33">
        <v>-605624.904905551</v>
      </c>
      <c r="BD262" s="33">
        <v>-68867.8</v>
      </c>
      <c r="BE262" s="33">
        <v>-26391.62</v>
      </c>
      <c r="BF262" s="14"/>
      <c r="BG262" s="14">
        <v>384479.66666587099</v>
      </c>
      <c r="BH262" s="33">
        <v>1074035.9629255247</v>
      </c>
      <c r="BI262" s="13">
        <v>138965</v>
      </c>
      <c r="BJ262" s="13">
        <v>378</v>
      </c>
      <c r="BK262" s="33">
        <v>832139.25</v>
      </c>
    </row>
    <row r="263" spans="1:63" ht="14.25" x14ac:dyDescent="0.2">
      <c r="A263" s="14">
        <v>858</v>
      </c>
      <c r="B263" s="14" t="s">
        <v>537</v>
      </c>
      <c r="C263" s="14">
        <v>42225</v>
      </c>
      <c r="D263" s="14">
        <v>2407</v>
      </c>
      <c r="E263" s="14">
        <v>433</v>
      </c>
      <c r="F263" s="14">
        <v>3066</v>
      </c>
      <c r="G263" s="14">
        <v>1769</v>
      </c>
      <c r="H263" s="14">
        <v>34550</v>
      </c>
      <c r="I263" s="14">
        <v>25332</v>
      </c>
      <c r="K263" s="29">
        <v>1738.4166666666667</v>
      </c>
      <c r="L263" s="29">
        <v>20947</v>
      </c>
      <c r="M263" s="14">
        <v>2205.166666666667</v>
      </c>
      <c r="N263" s="11">
        <v>3646</v>
      </c>
      <c r="O263" s="11">
        <v>0</v>
      </c>
      <c r="P263" s="11">
        <v>605</v>
      </c>
      <c r="Q263" s="11">
        <v>0</v>
      </c>
      <c r="R263" s="11">
        <v>0</v>
      </c>
      <c r="S263" s="11">
        <v>219.54</v>
      </c>
      <c r="T263" s="14">
        <v>2220</v>
      </c>
      <c r="U263" s="14">
        <v>14660</v>
      </c>
      <c r="V263" s="330"/>
      <c r="W263" s="11">
        <v>0</v>
      </c>
      <c r="X263" s="64">
        <v>14251</v>
      </c>
      <c r="Y263" s="64">
        <v>20026</v>
      </c>
      <c r="Z263" s="331">
        <v>1.1130291414505837</v>
      </c>
      <c r="AA263" s="31">
        <v>2.0616229288003143</v>
      </c>
      <c r="AB263" s="11">
        <v>0</v>
      </c>
      <c r="AC263" s="11">
        <v>0</v>
      </c>
      <c r="AE263" s="32">
        <v>-1601415.1767</v>
      </c>
      <c r="AF263" s="13">
        <v>-745021.43</v>
      </c>
      <c r="AG263" s="13">
        <v>817808.97040225379</v>
      </c>
      <c r="AH263" s="13">
        <v>-689646.13265406329</v>
      </c>
      <c r="AI263" s="13">
        <v>-222461.76154354983</v>
      </c>
      <c r="AJ263" s="13">
        <v>2156396</v>
      </c>
      <c r="AK263" s="13">
        <v>706861</v>
      </c>
      <c r="AL263" s="13">
        <v>1272093.3355424232</v>
      </c>
      <c r="AM263" s="13">
        <v>-2336.5735773642828</v>
      </c>
      <c r="AN263" s="13">
        <v>-229590.69808561419</v>
      </c>
      <c r="AO263" s="13">
        <v>469797.26575049601</v>
      </c>
      <c r="AP263" s="13">
        <v>1509083.9554884597</v>
      </c>
      <c r="AQ263" s="13">
        <v>2468625.2045464953</v>
      </c>
      <c r="AR263" s="13">
        <v>720069.40345867618</v>
      </c>
      <c r="AS263" s="13">
        <v>1223552.7957060828</v>
      </c>
      <c r="AT263" s="34"/>
      <c r="AU263" s="13"/>
      <c r="AV263" s="34"/>
      <c r="AW263" s="34"/>
      <c r="AX263" s="34"/>
      <c r="AY263" s="13">
        <v>1381577.1134986852</v>
      </c>
      <c r="AZ263" s="13">
        <v>1050930.9416858195</v>
      </c>
      <c r="BA263" s="13">
        <v>1052341.8109928642</v>
      </c>
      <c r="BB263" s="32">
        <v>6582324.6886532791</v>
      </c>
      <c r="BC263" s="33">
        <v>1391167.6701589655</v>
      </c>
      <c r="BD263" s="33">
        <v>-1258305</v>
      </c>
      <c r="BE263" s="33">
        <v>-482209.5</v>
      </c>
      <c r="BF263" s="14"/>
      <c r="BG263" s="14">
        <v>2088478.2525489216</v>
      </c>
      <c r="BH263" s="33">
        <v>-970522.86111037829</v>
      </c>
      <c r="BI263" s="13">
        <v>-2704969</v>
      </c>
      <c r="BJ263" s="13">
        <v>13200</v>
      </c>
      <c r="BK263" s="33">
        <v>2898187.3004999999</v>
      </c>
    </row>
    <row r="264" spans="1:63" ht="14.25" x14ac:dyDescent="0.2">
      <c r="A264" s="14">
        <v>859</v>
      </c>
      <c r="B264" s="14" t="s">
        <v>538</v>
      </c>
      <c r="C264" s="14">
        <v>6501</v>
      </c>
      <c r="D264" s="14">
        <v>573</v>
      </c>
      <c r="E264" s="14">
        <v>117</v>
      </c>
      <c r="F264" s="14">
        <v>807</v>
      </c>
      <c r="G264" s="14">
        <v>438</v>
      </c>
      <c r="H264" s="14">
        <v>4566</v>
      </c>
      <c r="I264" s="14">
        <v>3275</v>
      </c>
      <c r="K264" s="29">
        <v>235.25</v>
      </c>
      <c r="L264" s="29">
        <v>2811</v>
      </c>
      <c r="M264" s="14">
        <v>315.91666666666669</v>
      </c>
      <c r="N264" s="11">
        <v>70</v>
      </c>
      <c r="O264" s="11">
        <v>0</v>
      </c>
      <c r="P264" s="11">
        <v>14</v>
      </c>
      <c r="Q264" s="11">
        <v>0</v>
      </c>
      <c r="R264" s="11">
        <v>0</v>
      </c>
      <c r="S264" s="11">
        <v>491.81</v>
      </c>
      <c r="T264" s="14">
        <v>141</v>
      </c>
      <c r="U264" s="14">
        <v>1949</v>
      </c>
      <c r="V264" s="330"/>
      <c r="W264" s="11">
        <v>0</v>
      </c>
      <c r="X264" s="64">
        <v>1314</v>
      </c>
      <c r="Y264" s="64">
        <v>2539</v>
      </c>
      <c r="Z264" s="331">
        <v>0.98517656438053391</v>
      </c>
      <c r="AA264" s="31">
        <v>0</v>
      </c>
      <c r="AB264" s="11">
        <v>0</v>
      </c>
      <c r="AC264" s="11">
        <v>0</v>
      </c>
      <c r="AE264" s="32">
        <v>-114560.74249999999</v>
      </c>
      <c r="AF264" s="13">
        <v>-126843.63</v>
      </c>
      <c r="AG264" s="13">
        <v>160187.735593911</v>
      </c>
      <c r="AH264" s="13">
        <v>-254313.90927611626</v>
      </c>
      <c r="AI264" s="13">
        <v>-27846.28223583872</v>
      </c>
      <c r="AJ264" s="13">
        <v>489868</v>
      </c>
      <c r="AK264" s="13">
        <v>141649</v>
      </c>
      <c r="AL264" s="13">
        <v>325883.5747392184</v>
      </c>
      <c r="AM264" s="13">
        <v>7037.6679659602141</v>
      </c>
      <c r="AN264" s="13">
        <v>-6387.8710831327271</v>
      </c>
      <c r="AO264" s="13">
        <v>174419.49186866794</v>
      </c>
      <c r="AP264" s="13">
        <v>324994.10975018487</v>
      </c>
      <c r="AQ264" s="13">
        <v>462236.31468592345</v>
      </c>
      <c r="AR264" s="13">
        <v>96271.697368199952</v>
      </c>
      <c r="AS264" s="13">
        <v>248500.20910079058</v>
      </c>
      <c r="AT264" s="34"/>
      <c r="AU264" s="13"/>
      <c r="AV264" s="34"/>
      <c r="AW264" s="34"/>
      <c r="AX264" s="34"/>
      <c r="AY264" s="13">
        <v>336167.96369529911</v>
      </c>
      <c r="AZ264" s="13">
        <v>210277.09483203545</v>
      </c>
      <c r="BA264" s="13">
        <v>203899.70192123498</v>
      </c>
      <c r="BB264" s="32">
        <v>-1586681.3789111814</v>
      </c>
      <c r="BC264" s="33">
        <v>-1576450.7459361888</v>
      </c>
      <c r="BD264" s="33">
        <v>-193729.80000000002</v>
      </c>
      <c r="BE264" s="33">
        <v>-74241.42</v>
      </c>
      <c r="BF264" s="14"/>
      <c r="BG264" s="14">
        <v>399461.17509392201</v>
      </c>
      <c r="BH264" s="33">
        <v>4832047.1310052034</v>
      </c>
      <c r="BI264" s="13">
        <v>-926108</v>
      </c>
      <c r="BJ264" s="13">
        <v>2800</v>
      </c>
      <c r="BK264" s="33">
        <v>38744.827499999985</v>
      </c>
    </row>
    <row r="265" spans="1:63" ht="14.25" x14ac:dyDescent="0.2">
      <c r="A265" s="14">
        <v>886</v>
      </c>
      <c r="B265" s="14" t="s">
        <v>539</v>
      </c>
      <c r="C265" s="14">
        <v>12382</v>
      </c>
      <c r="D265" s="14">
        <v>610</v>
      </c>
      <c r="E265" s="14">
        <v>107</v>
      </c>
      <c r="F265" s="14">
        <v>896</v>
      </c>
      <c r="G265" s="14">
        <v>504</v>
      </c>
      <c r="H265" s="14">
        <v>10265</v>
      </c>
      <c r="I265" s="14">
        <v>6462</v>
      </c>
      <c r="K265" s="29">
        <v>440.16666666666669</v>
      </c>
      <c r="L265" s="29">
        <v>5739</v>
      </c>
      <c r="M265" s="14">
        <v>605.75</v>
      </c>
      <c r="N265" s="11">
        <v>381</v>
      </c>
      <c r="O265" s="11">
        <v>0</v>
      </c>
      <c r="P265" s="11">
        <v>38</v>
      </c>
      <c r="Q265" s="11">
        <v>0</v>
      </c>
      <c r="R265" s="11">
        <v>0</v>
      </c>
      <c r="S265" s="11">
        <v>400.84</v>
      </c>
      <c r="T265" s="14">
        <v>341</v>
      </c>
      <c r="U265" s="14">
        <v>3722</v>
      </c>
      <c r="V265" s="330"/>
      <c r="W265" s="11">
        <v>0</v>
      </c>
      <c r="X265" s="64">
        <v>3869</v>
      </c>
      <c r="Y265" s="64">
        <v>5225</v>
      </c>
      <c r="Z265" s="331">
        <v>0.94581916050807635</v>
      </c>
      <c r="AA265" s="31">
        <v>0</v>
      </c>
      <c r="AB265" s="11">
        <v>0</v>
      </c>
      <c r="AC265" s="11">
        <v>0</v>
      </c>
      <c r="AE265" s="32">
        <v>-361168.92</v>
      </c>
      <c r="AF265" s="13">
        <v>-244639.35</v>
      </c>
      <c r="AG265" s="13">
        <v>471578.77823340788</v>
      </c>
      <c r="AH265" s="13">
        <v>-168962.2928927209</v>
      </c>
      <c r="AI265" s="13">
        <v>-12843.181675726752</v>
      </c>
      <c r="AJ265" s="13">
        <v>922593</v>
      </c>
      <c r="AK265" s="13">
        <v>300996</v>
      </c>
      <c r="AL265" s="13">
        <v>649118.29121900233</v>
      </c>
      <c r="AM265" s="13">
        <v>22538.759750654543</v>
      </c>
      <c r="AN265" s="13">
        <v>21797.099511807362</v>
      </c>
      <c r="AO265" s="13">
        <v>348972.57152508094</v>
      </c>
      <c r="AP265" s="13">
        <v>597647.84598076215</v>
      </c>
      <c r="AQ265" s="13">
        <v>1026851.5923281434</v>
      </c>
      <c r="AR265" s="13">
        <v>254610.18774152501</v>
      </c>
      <c r="AS265" s="13">
        <v>505369.26222574525</v>
      </c>
      <c r="AT265" s="34"/>
      <c r="AU265" s="13"/>
      <c r="AV265" s="34"/>
      <c r="AW265" s="34"/>
      <c r="AX265" s="34"/>
      <c r="AY265" s="13">
        <v>649038.97053195955</v>
      </c>
      <c r="AZ265" s="13">
        <v>398335.93234782724</v>
      </c>
      <c r="BA265" s="13">
        <v>383750.45532769326</v>
      </c>
      <c r="BB265" s="32">
        <v>-566700.24027050578</v>
      </c>
      <c r="BC265" s="33">
        <v>-393384.99224478105</v>
      </c>
      <c r="BD265" s="33">
        <v>-368983.60000000003</v>
      </c>
      <c r="BE265" s="33">
        <v>-141402.44</v>
      </c>
      <c r="BF265" s="14"/>
      <c r="BG265" s="14">
        <v>832090.93597676395</v>
      </c>
      <c r="BH265" s="33">
        <v>4035742.1251466121</v>
      </c>
      <c r="BI265" s="13">
        <v>269189</v>
      </c>
      <c r="BJ265" s="13">
        <v>3401</v>
      </c>
      <c r="BK265" s="33">
        <v>224465.58750000002</v>
      </c>
    </row>
    <row r="266" spans="1:63" ht="14.25" x14ac:dyDescent="0.2">
      <c r="A266" s="14">
        <v>887</v>
      </c>
      <c r="B266" s="14" t="s">
        <v>540</v>
      </c>
      <c r="C266" s="14">
        <v>4493</v>
      </c>
      <c r="D266" s="14">
        <v>159</v>
      </c>
      <c r="E266" s="14">
        <v>38</v>
      </c>
      <c r="F266" s="14">
        <v>242</v>
      </c>
      <c r="G266" s="14">
        <v>132</v>
      </c>
      <c r="H266" s="14">
        <v>3922</v>
      </c>
      <c r="I266" s="14">
        <v>2247</v>
      </c>
      <c r="K266" s="29">
        <v>203.91666666666666</v>
      </c>
      <c r="L266" s="29">
        <v>1894</v>
      </c>
      <c r="M266" s="14">
        <v>361.33333333333331</v>
      </c>
      <c r="N266" s="11">
        <v>151</v>
      </c>
      <c r="O266" s="11">
        <v>0</v>
      </c>
      <c r="P266" s="11">
        <v>12</v>
      </c>
      <c r="Q266" s="11">
        <v>0</v>
      </c>
      <c r="R266" s="11">
        <v>0</v>
      </c>
      <c r="S266" s="11">
        <v>475.51</v>
      </c>
      <c r="T266" s="14">
        <v>197</v>
      </c>
      <c r="U266" s="14">
        <v>1227</v>
      </c>
      <c r="V266" s="330"/>
      <c r="W266" s="11">
        <v>0</v>
      </c>
      <c r="X266" s="64">
        <v>1310</v>
      </c>
      <c r="Y266" s="64">
        <v>1666</v>
      </c>
      <c r="Z266" s="331">
        <v>0.96785194865869095</v>
      </c>
      <c r="AA266" s="31">
        <v>0</v>
      </c>
      <c r="AB266" s="11">
        <v>0</v>
      </c>
      <c r="AC266" s="11">
        <v>0</v>
      </c>
      <c r="AE266" s="32">
        <v>-196379.465</v>
      </c>
      <c r="AF266" s="13">
        <v>-89211.24</v>
      </c>
      <c r="AG266" s="13">
        <v>453127.65363271011</v>
      </c>
      <c r="AH266" s="13">
        <v>-50152.275695683806</v>
      </c>
      <c r="AI266" s="13">
        <v>12578.367242722248</v>
      </c>
      <c r="AJ266" s="13">
        <v>549175</v>
      </c>
      <c r="AK266" s="13">
        <v>163385</v>
      </c>
      <c r="AL266" s="13">
        <v>401924.04227693728</v>
      </c>
      <c r="AM266" s="13">
        <v>19645.457703307464</v>
      </c>
      <c r="AN266" s="13">
        <v>75344.327930687621</v>
      </c>
      <c r="AO266" s="13">
        <v>180286.47575446786</v>
      </c>
      <c r="AP266" s="13">
        <v>280776.10271360172</v>
      </c>
      <c r="AQ266" s="13">
        <v>474953.86153675884</v>
      </c>
      <c r="AR266" s="13">
        <v>133064.05355624924</v>
      </c>
      <c r="AS266" s="13">
        <v>233376.78067092708</v>
      </c>
      <c r="AT266" s="34"/>
      <c r="AU266" s="13"/>
      <c r="AV266" s="34"/>
      <c r="AW266" s="34"/>
      <c r="AX266" s="34"/>
      <c r="AY266" s="13">
        <v>330544.07547454222</v>
      </c>
      <c r="AZ266" s="13">
        <v>184634.29064513603</v>
      </c>
      <c r="BA266" s="13">
        <v>169601.21184519739</v>
      </c>
      <c r="BB266" s="32">
        <v>-584514.75388125516</v>
      </c>
      <c r="BC266" s="33">
        <v>-144242.04996373664</v>
      </c>
      <c r="BD266" s="33">
        <v>-133891.4</v>
      </c>
      <c r="BE266" s="33">
        <v>-51310.06</v>
      </c>
      <c r="BF266" s="14"/>
      <c r="BG266" s="14">
        <v>714538.19173498091</v>
      </c>
      <c r="BH266" s="33">
        <v>2445227.7562066768</v>
      </c>
      <c r="BI266" s="13">
        <v>-95446</v>
      </c>
      <c r="BJ266" s="13">
        <v>977</v>
      </c>
      <c r="BK266" s="33">
        <v>265012.5</v>
      </c>
    </row>
    <row r="267" spans="1:63" ht="14.25" x14ac:dyDescent="0.2">
      <c r="A267" s="14">
        <v>889</v>
      </c>
      <c r="B267" s="14" t="s">
        <v>541</v>
      </c>
      <c r="C267" s="14">
        <v>2466</v>
      </c>
      <c r="D267" s="14">
        <v>105</v>
      </c>
      <c r="E267" s="14">
        <v>16</v>
      </c>
      <c r="F267" s="14">
        <v>172</v>
      </c>
      <c r="G267" s="14">
        <v>96</v>
      </c>
      <c r="H267" s="14">
        <v>2077</v>
      </c>
      <c r="I267" s="14">
        <v>1190</v>
      </c>
      <c r="K267" s="29">
        <v>118.58333333333333</v>
      </c>
      <c r="L267" s="29">
        <v>1012</v>
      </c>
      <c r="M267" s="14">
        <v>170.41666666666666</v>
      </c>
      <c r="N267" s="11">
        <v>77</v>
      </c>
      <c r="O267" s="11">
        <v>0</v>
      </c>
      <c r="P267" s="11">
        <v>0</v>
      </c>
      <c r="Q267" s="11">
        <v>0</v>
      </c>
      <c r="R267" s="11">
        <v>0</v>
      </c>
      <c r="S267" s="11">
        <v>1669.43</v>
      </c>
      <c r="T267" s="14">
        <v>71</v>
      </c>
      <c r="U267" s="14">
        <v>582</v>
      </c>
      <c r="V267" s="330"/>
      <c r="W267" s="11">
        <v>1.3616333333333333</v>
      </c>
      <c r="X267" s="64">
        <v>779</v>
      </c>
      <c r="Y267" s="64">
        <v>868</v>
      </c>
      <c r="Z267" s="331">
        <v>0.99271044748363169</v>
      </c>
      <c r="AA267" s="31">
        <v>0</v>
      </c>
      <c r="AB267" s="11">
        <v>0</v>
      </c>
      <c r="AC267" s="11">
        <v>0</v>
      </c>
      <c r="AE267" s="32">
        <v>-38062.493999999999</v>
      </c>
      <c r="AF267" s="13">
        <v>-50310.990000000005</v>
      </c>
      <c r="AG267" s="13">
        <v>111564.88392448131</v>
      </c>
      <c r="AH267" s="13">
        <v>-107134.00616667741</v>
      </c>
      <c r="AI267" s="13">
        <v>17940.316832956822</v>
      </c>
      <c r="AJ267" s="13">
        <v>304094</v>
      </c>
      <c r="AK267" s="13">
        <v>86201</v>
      </c>
      <c r="AL267" s="13">
        <v>209049.50168991182</v>
      </c>
      <c r="AM267" s="13">
        <v>11733.723567627167</v>
      </c>
      <c r="AN267" s="13">
        <v>30010.956593485669</v>
      </c>
      <c r="AO267" s="13">
        <v>107001.43628257842</v>
      </c>
      <c r="AP267" s="13">
        <v>164155.83698869185</v>
      </c>
      <c r="AQ267" s="13">
        <v>240348.33304669717</v>
      </c>
      <c r="AR267" s="13">
        <v>59483.150294640654</v>
      </c>
      <c r="AS267" s="13">
        <v>130808.43734629493</v>
      </c>
      <c r="AT267" s="34"/>
      <c r="AU267" s="13"/>
      <c r="AV267" s="34"/>
      <c r="AW267" s="34"/>
      <c r="AX267" s="34"/>
      <c r="AY267" s="13">
        <v>171836.31249603935</v>
      </c>
      <c r="AZ267" s="13">
        <v>93849.404271448555</v>
      </c>
      <c r="BA267" s="13">
        <v>86317.888969768566</v>
      </c>
      <c r="BB267" s="32">
        <v>1056890.4771927751</v>
      </c>
      <c r="BC267" s="33">
        <v>270834.0734890743</v>
      </c>
      <c r="BD267" s="33">
        <v>-73486.8</v>
      </c>
      <c r="BE267" s="33">
        <v>-28161.72</v>
      </c>
      <c r="BF267" s="14"/>
      <c r="BG267" s="14">
        <v>401033.16927298694</v>
      </c>
      <c r="BH267" s="33">
        <v>1232216.8139224497</v>
      </c>
      <c r="BI267" s="13">
        <v>671911</v>
      </c>
      <c r="BJ267" s="13">
        <v>629</v>
      </c>
      <c r="BK267" s="33">
        <v>192575.75</v>
      </c>
    </row>
    <row r="268" spans="1:63" ht="14.25" x14ac:dyDescent="0.2">
      <c r="A268" s="14">
        <v>890</v>
      </c>
      <c r="B268" s="14" t="s">
        <v>542</v>
      </c>
      <c r="C268" s="14">
        <v>1137</v>
      </c>
      <c r="D268" s="14">
        <v>50</v>
      </c>
      <c r="E268" s="14">
        <v>8</v>
      </c>
      <c r="F268" s="14">
        <v>55</v>
      </c>
      <c r="G268" s="14">
        <v>33</v>
      </c>
      <c r="H268" s="14">
        <v>991</v>
      </c>
      <c r="I268" s="14">
        <v>603</v>
      </c>
      <c r="K268" s="29">
        <v>39.666666666666664</v>
      </c>
      <c r="L268" s="29">
        <v>523</v>
      </c>
      <c r="M268" s="14">
        <v>50.083333333333329</v>
      </c>
      <c r="N268" s="11">
        <v>47</v>
      </c>
      <c r="O268" s="11">
        <v>0</v>
      </c>
      <c r="P268" s="11">
        <v>2</v>
      </c>
      <c r="Q268" s="11">
        <v>0</v>
      </c>
      <c r="R268" s="11">
        <v>0</v>
      </c>
      <c r="S268" s="11">
        <v>5148.38</v>
      </c>
      <c r="T268" s="14">
        <v>61</v>
      </c>
      <c r="U268" s="14">
        <v>333</v>
      </c>
      <c r="V268" s="330"/>
      <c r="W268" s="11">
        <v>1.9536666666666667</v>
      </c>
      <c r="X268" s="64">
        <v>445</v>
      </c>
      <c r="Y268" s="64">
        <v>474</v>
      </c>
      <c r="Z268" s="331">
        <v>0.62850072857587913</v>
      </c>
      <c r="AA268" s="31">
        <v>0</v>
      </c>
      <c r="AB268" s="11">
        <v>1</v>
      </c>
      <c r="AC268" s="11">
        <v>472</v>
      </c>
      <c r="AE268" s="32">
        <v>-23438.445</v>
      </c>
      <c r="AF268" s="13">
        <v>-23416.99</v>
      </c>
      <c r="AG268" s="13">
        <v>23437.960974083602</v>
      </c>
      <c r="AH268" s="13">
        <v>-54811.700269452129</v>
      </c>
      <c r="AI268" s="13">
        <v>1608.4163599219137</v>
      </c>
      <c r="AJ268" s="13">
        <v>114134</v>
      </c>
      <c r="AK268" s="13">
        <v>37115</v>
      </c>
      <c r="AL268" s="13">
        <v>107131.66346656052</v>
      </c>
      <c r="AM268" s="13">
        <v>5615.0568367583783</v>
      </c>
      <c r="AN268" s="13">
        <v>13408.48778940565</v>
      </c>
      <c r="AO268" s="13">
        <v>38983.781100312008</v>
      </c>
      <c r="AP268" s="13">
        <v>70506.556833763301</v>
      </c>
      <c r="AQ268" s="13">
        <v>98486.036770882405</v>
      </c>
      <c r="AR268" s="13">
        <v>37722.664171458739</v>
      </c>
      <c r="AS268" s="13">
        <v>57139.295304500825</v>
      </c>
      <c r="AT268" s="34"/>
      <c r="AU268" s="13"/>
      <c r="AV268" s="34"/>
      <c r="AW268" s="34"/>
      <c r="AX268" s="34"/>
      <c r="AY268" s="13">
        <v>79861.96357632018</v>
      </c>
      <c r="AZ268" s="13">
        <v>40449.217981404268</v>
      </c>
      <c r="BA268" s="13">
        <v>44475.240383549164</v>
      </c>
      <c r="BB268" s="32">
        <v>-40856.341757125891</v>
      </c>
      <c r="BC268" s="33">
        <v>406828.15113754955</v>
      </c>
      <c r="BD268" s="33">
        <v>-33882.6</v>
      </c>
      <c r="BE268" s="33">
        <v>-12984.539999999999</v>
      </c>
      <c r="BF268" s="14"/>
      <c r="BG268" s="14">
        <v>171772.66654339386</v>
      </c>
      <c r="BH268" s="33">
        <v>327291.43615139666</v>
      </c>
      <c r="BI268" s="13">
        <v>330350</v>
      </c>
      <c r="BJ268" s="13">
        <v>261</v>
      </c>
      <c r="BK268" s="33">
        <v>-28356.337500000001</v>
      </c>
    </row>
    <row r="269" spans="1:63" ht="14.25" x14ac:dyDescent="0.2">
      <c r="A269" s="14">
        <v>892</v>
      </c>
      <c r="B269" s="14" t="s">
        <v>543</v>
      </c>
      <c r="C269" s="14">
        <v>3657</v>
      </c>
      <c r="D269" s="14">
        <v>301</v>
      </c>
      <c r="E269" s="14">
        <v>59</v>
      </c>
      <c r="F269" s="14">
        <v>376</v>
      </c>
      <c r="G269" s="14">
        <v>211</v>
      </c>
      <c r="H269" s="14">
        <v>2710</v>
      </c>
      <c r="I269" s="14">
        <v>1830</v>
      </c>
      <c r="K269" s="29">
        <v>156.25</v>
      </c>
      <c r="L269" s="29">
        <v>1553</v>
      </c>
      <c r="M269" s="14">
        <v>212.75</v>
      </c>
      <c r="N269" s="11">
        <v>60</v>
      </c>
      <c r="O269" s="11">
        <v>0</v>
      </c>
      <c r="P269" s="11">
        <v>3</v>
      </c>
      <c r="Q269" s="11">
        <v>0</v>
      </c>
      <c r="R269" s="11">
        <v>0</v>
      </c>
      <c r="S269" s="11">
        <v>347.99</v>
      </c>
      <c r="T269" s="14">
        <v>92</v>
      </c>
      <c r="U269" s="14">
        <v>1150</v>
      </c>
      <c r="V269" s="330"/>
      <c r="W269" s="11">
        <v>0</v>
      </c>
      <c r="X269" s="64">
        <v>739</v>
      </c>
      <c r="Y269" s="64">
        <v>1397</v>
      </c>
      <c r="Z269" s="331">
        <v>0.94174207532699583</v>
      </c>
      <c r="AA269" s="31">
        <v>0.2154620972816971</v>
      </c>
      <c r="AB269" s="11">
        <v>0</v>
      </c>
      <c r="AC269" s="11">
        <v>0</v>
      </c>
      <c r="AE269" s="32">
        <v>-73060.580449999994</v>
      </c>
      <c r="AF269" s="13">
        <v>-70039.66</v>
      </c>
      <c r="AG269" s="13">
        <v>170256.092341804</v>
      </c>
      <c r="AH269" s="13">
        <v>-157464.31045180716</v>
      </c>
      <c r="AI269" s="13">
        <v>-10647.507652649292</v>
      </c>
      <c r="AJ269" s="13">
        <v>285316</v>
      </c>
      <c r="AK269" s="13">
        <v>92849</v>
      </c>
      <c r="AL269" s="13">
        <v>221767.09672598483</v>
      </c>
      <c r="AM269" s="13">
        <v>8071.5917595402261</v>
      </c>
      <c r="AN269" s="13">
        <v>27328.93024877923</v>
      </c>
      <c r="AO269" s="13">
        <v>100574.92665356949</v>
      </c>
      <c r="AP269" s="13">
        <v>184187.12894500932</v>
      </c>
      <c r="AQ269" s="13">
        <v>273073.42582165677</v>
      </c>
      <c r="AR269" s="13">
        <v>69107.016659970206</v>
      </c>
      <c r="AS269" s="13">
        <v>146158.3446623623</v>
      </c>
      <c r="AT269" s="34"/>
      <c r="AU269" s="13"/>
      <c r="AV269" s="34"/>
      <c r="AW269" s="34"/>
      <c r="AX269" s="34"/>
      <c r="AY269" s="13">
        <v>193114.12923133516</v>
      </c>
      <c r="AZ269" s="13">
        <v>121137.91733610042</v>
      </c>
      <c r="BA269" s="13">
        <v>114934.81985626915</v>
      </c>
      <c r="BB269" s="32">
        <v>508333.85078588972</v>
      </c>
      <c r="BC269" s="33">
        <v>24190.205491376353</v>
      </c>
      <c r="BD269" s="33">
        <v>-108978.6</v>
      </c>
      <c r="BE269" s="33">
        <v>-41762.94</v>
      </c>
      <c r="BF269" s="14"/>
      <c r="BG269" s="14">
        <v>311768.72207285068</v>
      </c>
      <c r="BH269" s="33">
        <v>2209924.1887544184</v>
      </c>
      <c r="BI269" s="13">
        <v>-511588</v>
      </c>
      <c r="BJ269" s="13">
        <v>1285</v>
      </c>
      <c r="BK269" s="33">
        <v>-64521.71</v>
      </c>
    </row>
    <row r="270" spans="1:63" ht="14.25" x14ac:dyDescent="0.2">
      <c r="A270" s="14">
        <v>893</v>
      </c>
      <c r="B270" s="14" t="s">
        <v>544</v>
      </c>
      <c r="C270" s="14">
        <v>7439</v>
      </c>
      <c r="D270" s="14">
        <v>451</v>
      </c>
      <c r="E270" s="14">
        <v>72</v>
      </c>
      <c r="F270" s="14">
        <v>572</v>
      </c>
      <c r="G270" s="14">
        <v>292</v>
      </c>
      <c r="H270" s="14">
        <v>6052</v>
      </c>
      <c r="I270" s="14">
        <v>3872</v>
      </c>
      <c r="K270" s="29">
        <v>181</v>
      </c>
      <c r="L270" s="29">
        <v>3388</v>
      </c>
      <c r="M270" s="14">
        <v>297.5</v>
      </c>
      <c r="N270" s="11">
        <v>728</v>
      </c>
      <c r="O270" s="11">
        <v>3</v>
      </c>
      <c r="P270" s="11">
        <v>6227</v>
      </c>
      <c r="Q270" s="11">
        <v>0</v>
      </c>
      <c r="R270" s="11">
        <v>0</v>
      </c>
      <c r="S270" s="11">
        <v>732.86</v>
      </c>
      <c r="T270" s="14">
        <v>370</v>
      </c>
      <c r="U270" s="14">
        <v>2291</v>
      </c>
      <c r="V270" s="330"/>
      <c r="W270" s="11">
        <v>1.1783333333333333E-2</v>
      </c>
      <c r="X270" s="64">
        <v>3161</v>
      </c>
      <c r="Y270" s="64">
        <v>3251</v>
      </c>
      <c r="Z270" s="331">
        <v>0.86224962190723453</v>
      </c>
      <c r="AA270" s="31">
        <v>0</v>
      </c>
      <c r="AB270" s="11">
        <v>0</v>
      </c>
      <c r="AC270" s="11">
        <v>0</v>
      </c>
      <c r="AE270" s="32">
        <v>-152309.21625</v>
      </c>
      <c r="AF270" s="13">
        <v>-143671.59</v>
      </c>
      <c r="AG270" s="13">
        <v>277877.13168577017</v>
      </c>
      <c r="AH270" s="13">
        <v>-192862.50127928687</v>
      </c>
      <c r="AI270" s="13">
        <v>-37014.170360763863</v>
      </c>
      <c r="AJ270" s="13">
        <v>659086</v>
      </c>
      <c r="AK270" s="13">
        <v>245210</v>
      </c>
      <c r="AL270" s="13">
        <v>624224.09783986362</v>
      </c>
      <c r="AM270" s="13">
        <v>31886.174526036812</v>
      </c>
      <c r="AN270" s="13">
        <v>51936.5584288604</v>
      </c>
      <c r="AO270" s="13">
        <v>220299.48727579231</v>
      </c>
      <c r="AP270" s="13">
        <v>462578.72966419393</v>
      </c>
      <c r="AQ270" s="13">
        <v>711571.95515712397</v>
      </c>
      <c r="AR270" s="13">
        <v>227956.08973907831</v>
      </c>
      <c r="AS270" s="13">
        <v>371049.76014390361</v>
      </c>
      <c r="AT270" s="34"/>
      <c r="AU270" s="13"/>
      <c r="AV270" s="34"/>
      <c r="AW270" s="34"/>
      <c r="AX270" s="34"/>
      <c r="AY270" s="13">
        <v>509650.70393296657</v>
      </c>
      <c r="AZ270" s="13">
        <v>290235.61251873686</v>
      </c>
      <c r="BA270" s="13">
        <v>301107.27105141542</v>
      </c>
      <c r="BB270" s="32">
        <v>-485579.53028233338</v>
      </c>
      <c r="BC270" s="33">
        <v>-31421.371236813739</v>
      </c>
      <c r="BD270" s="33">
        <v>-221682.2</v>
      </c>
      <c r="BE270" s="33">
        <v>-84953.38</v>
      </c>
      <c r="BF270" s="14"/>
      <c r="BG270" s="14">
        <v>1038679.1954176774</v>
      </c>
      <c r="BH270" s="33">
        <v>2351335.700353249</v>
      </c>
      <c r="BI270" s="13">
        <v>144590</v>
      </c>
      <c r="BJ270" s="13">
        <v>2279</v>
      </c>
      <c r="BK270" s="33">
        <v>14045.662500000006</v>
      </c>
    </row>
    <row r="271" spans="1:63" ht="14.25" x14ac:dyDescent="0.2">
      <c r="A271" s="14">
        <v>895</v>
      </c>
      <c r="B271" s="14" t="s">
        <v>545</v>
      </c>
      <c r="C271" s="14">
        <v>14814</v>
      </c>
      <c r="D271" s="14">
        <v>597</v>
      </c>
      <c r="E271" s="14">
        <v>112</v>
      </c>
      <c r="F271" s="14">
        <v>855</v>
      </c>
      <c r="G271" s="14">
        <v>467</v>
      </c>
      <c r="H271" s="14">
        <v>12783</v>
      </c>
      <c r="I271" s="14">
        <v>7785</v>
      </c>
      <c r="K271" s="29">
        <v>696.25</v>
      </c>
      <c r="L271" s="29">
        <v>6858</v>
      </c>
      <c r="M271" s="14">
        <v>1025.75</v>
      </c>
      <c r="N271" s="11">
        <v>1305</v>
      </c>
      <c r="O271" s="11">
        <v>0</v>
      </c>
      <c r="P271" s="11">
        <v>56</v>
      </c>
      <c r="Q271" s="11">
        <v>3</v>
      </c>
      <c r="R271" s="11">
        <v>651</v>
      </c>
      <c r="S271" s="11">
        <v>504.33</v>
      </c>
      <c r="T271" s="14">
        <v>839</v>
      </c>
      <c r="U271" s="14">
        <v>4333</v>
      </c>
      <c r="V271" s="330"/>
      <c r="W271" s="11">
        <v>0</v>
      </c>
      <c r="X271" s="64">
        <v>7005</v>
      </c>
      <c r="Y271" s="64">
        <v>5969</v>
      </c>
      <c r="Z271" s="331">
        <v>1.0063432518587947</v>
      </c>
      <c r="AA271" s="31">
        <v>0</v>
      </c>
      <c r="AB271" s="11">
        <v>0</v>
      </c>
      <c r="AC271" s="11">
        <v>1</v>
      </c>
      <c r="AE271" s="32">
        <v>-509432.63624999998</v>
      </c>
      <c r="AF271" s="13">
        <v>-295411.38</v>
      </c>
      <c r="AG271" s="13">
        <v>863279.94855961599</v>
      </c>
      <c r="AH271" s="13">
        <v>-113067.98262012392</v>
      </c>
      <c r="AI271" s="13">
        <v>42660.102730890212</v>
      </c>
      <c r="AJ271" s="13">
        <v>1109415</v>
      </c>
      <c r="AK271" s="13">
        <v>399076</v>
      </c>
      <c r="AL271" s="13">
        <v>905475.30713826104</v>
      </c>
      <c r="AM271" s="13">
        <v>41384.801290704847</v>
      </c>
      <c r="AN271" s="13">
        <v>80168.545066481631</v>
      </c>
      <c r="AO271" s="13">
        <v>432683.95358545834</v>
      </c>
      <c r="AP271" s="13">
        <v>714318.20473059115</v>
      </c>
      <c r="AQ271" s="13">
        <v>1333112.8678891251</v>
      </c>
      <c r="AR271" s="13">
        <v>405710.0888038961</v>
      </c>
      <c r="AS271" s="13">
        <v>650287.35670311027</v>
      </c>
      <c r="AT271" s="34"/>
      <c r="AU271" s="13"/>
      <c r="AV271" s="34"/>
      <c r="AW271" s="34"/>
      <c r="AX271" s="34"/>
      <c r="AY271" s="13">
        <v>850005.01227778569</v>
      </c>
      <c r="AZ271" s="13">
        <v>546874.3549347755</v>
      </c>
      <c r="BA271" s="13">
        <v>536102.37395026756</v>
      </c>
      <c r="BB271" s="32">
        <v>678745.99915357633</v>
      </c>
      <c r="BC271" s="33">
        <v>620140.28944092453</v>
      </c>
      <c r="BD271" s="33">
        <v>-441457.2</v>
      </c>
      <c r="BE271" s="33">
        <v>-169175.88</v>
      </c>
      <c r="BF271" s="14"/>
      <c r="BG271" s="14">
        <v>1396873.8064422691</v>
      </c>
      <c r="BH271" s="33">
        <v>-39097.379686191438</v>
      </c>
      <c r="BI271" s="13">
        <v>-1419682</v>
      </c>
      <c r="BJ271" s="13">
        <v>3510</v>
      </c>
      <c r="BK271" s="33">
        <v>320576.78750000009</v>
      </c>
    </row>
    <row r="272" spans="1:63" ht="14.25" x14ac:dyDescent="0.2">
      <c r="A272" s="14">
        <v>785</v>
      </c>
      <c r="B272" s="14" t="s">
        <v>519</v>
      </c>
      <c r="C272" s="14">
        <v>2581</v>
      </c>
      <c r="D272" s="14">
        <v>88</v>
      </c>
      <c r="E272" s="14">
        <v>18</v>
      </c>
      <c r="F272" s="14">
        <v>133</v>
      </c>
      <c r="G272" s="14">
        <v>59</v>
      </c>
      <c r="H272" s="14">
        <v>2283</v>
      </c>
      <c r="I272" s="14">
        <v>1193</v>
      </c>
      <c r="K272" s="29">
        <v>145.5</v>
      </c>
      <c r="L272" s="29">
        <v>982</v>
      </c>
      <c r="M272" s="14">
        <v>208.91666666666666</v>
      </c>
      <c r="N272" s="11">
        <v>63</v>
      </c>
      <c r="O272" s="11">
        <v>0</v>
      </c>
      <c r="P272" s="11">
        <v>0</v>
      </c>
      <c r="Q272" s="11">
        <v>3</v>
      </c>
      <c r="R272" s="11">
        <v>73</v>
      </c>
      <c r="S272" s="11">
        <v>1302.31</v>
      </c>
      <c r="T272" s="14">
        <v>74</v>
      </c>
      <c r="U272" s="14">
        <v>542</v>
      </c>
      <c r="V272" s="330"/>
      <c r="W272" s="11">
        <v>1.7081500000000001</v>
      </c>
      <c r="X272" s="64">
        <v>791</v>
      </c>
      <c r="Y272" s="64">
        <v>831</v>
      </c>
      <c r="Z272" s="331">
        <v>0.89765570229888636</v>
      </c>
      <c r="AA272" s="31">
        <v>0</v>
      </c>
      <c r="AB272" s="11">
        <v>0</v>
      </c>
      <c r="AC272" s="11">
        <v>0</v>
      </c>
      <c r="AE272" s="32">
        <v>-94456.952499999999</v>
      </c>
      <c r="AF272" s="13">
        <v>-52577.770000000004</v>
      </c>
      <c r="AG272" s="13">
        <v>166358.83877064177</v>
      </c>
      <c r="AH272" s="13">
        <v>-110298.76111525611</v>
      </c>
      <c r="AI272" s="13">
        <v>30453.658343233263</v>
      </c>
      <c r="AJ272" s="13">
        <v>310888</v>
      </c>
      <c r="AK272" s="13">
        <v>92189</v>
      </c>
      <c r="AL272" s="13">
        <v>250966.4378107918</v>
      </c>
      <c r="AM272" s="13">
        <v>15001.394378429974</v>
      </c>
      <c r="AN272" s="13">
        <v>44539.947269726195</v>
      </c>
      <c r="AO272" s="13">
        <v>126757.85397782503</v>
      </c>
      <c r="AP272" s="13">
        <v>154052.91971320764</v>
      </c>
      <c r="AQ272" s="13">
        <v>270595.83848855575</v>
      </c>
      <c r="AR272" s="13">
        <v>75512.611945203855</v>
      </c>
      <c r="AS272" s="13">
        <v>145181.52069865639</v>
      </c>
      <c r="AT272" s="34"/>
      <c r="AU272" s="13"/>
      <c r="AV272" s="34"/>
      <c r="AW272" s="34"/>
      <c r="AX272" s="34"/>
      <c r="AY272" s="13">
        <v>186903.64276719451</v>
      </c>
      <c r="AZ272" s="13">
        <v>97959.430992526803</v>
      </c>
      <c r="BA272" s="13">
        <v>93573.094209276824</v>
      </c>
      <c r="BB272" s="32">
        <v>1389779.8217081872</v>
      </c>
      <c r="BC272" s="32">
        <v>907192.51222863339</v>
      </c>
      <c r="BD272" s="32">
        <v>-76913.8</v>
      </c>
      <c r="BE272" s="32">
        <v>-29475.02</v>
      </c>
      <c r="BF272" s="14"/>
      <c r="BG272" s="14">
        <v>517960.15813107393</v>
      </c>
      <c r="BH272" s="33">
        <v>1198218.745045407</v>
      </c>
      <c r="BI272" s="13">
        <v>63823</v>
      </c>
      <c r="BJ272" s="13">
        <v>504</v>
      </c>
      <c r="BK272" s="33">
        <v>-54857.587499999994</v>
      </c>
    </row>
    <row r="273" spans="1:63" ht="14.25" x14ac:dyDescent="0.2">
      <c r="A273" s="14">
        <v>905</v>
      </c>
      <c r="B273" s="14" t="s">
        <v>546</v>
      </c>
      <c r="C273" s="14">
        <v>70361</v>
      </c>
      <c r="D273" s="14">
        <v>3354</v>
      </c>
      <c r="E273" s="14">
        <v>589</v>
      </c>
      <c r="F273" s="14">
        <v>4281</v>
      </c>
      <c r="G273" s="14">
        <v>2249</v>
      </c>
      <c r="H273" s="14">
        <v>59888</v>
      </c>
      <c r="I273" s="14">
        <v>43929</v>
      </c>
      <c r="K273" s="29">
        <v>2767.4166666666665</v>
      </c>
      <c r="L273" s="29">
        <v>33344</v>
      </c>
      <c r="M273" s="14">
        <v>4204.1666666666661</v>
      </c>
      <c r="N273" s="11">
        <v>9702</v>
      </c>
      <c r="O273" s="11">
        <v>1</v>
      </c>
      <c r="P273" s="11">
        <v>16167</v>
      </c>
      <c r="Q273" s="11">
        <v>0</v>
      </c>
      <c r="R273" s="11">
        <v>0</v>
      </c>
      <c r="S273" s="11">
        <v>364.88</v>
      </c>
      <c r="T273" s="14">
        <v>3334</v>
      </c>
      <c r="U273" s="14">
        <v>21841</v>
      </c>
      <c r="V273" s="330"/>
      <c r="W273" s="11">
        <v>0</v>
      </c>
      <c r="X273" s="64">
        <v>39139</v>
      </c>
      <c r="Y273" s="64">
        <v>31376</v>
      </c>
      <c r="Z273" s="331">
        <v>1.1148228644222715</v>
      </c>
      <c r="AA273" s="31">
        <v>1.3376548620853319</v>
      </c>
      <c r="AB273" s="11">
        <v>0</v>
      </c>
      <c r="AC273" s="11">
        <v>5</v>
      </c>
      <c r="AE273" s="32">
        <v>-3781865.2134500002</v>
      </c>
      <c r="AF273" s="13">
        <v>-1297654.71</v>
      </c>
      <c r="AG273" s="13">
        <v>3494124.0174267404</v>
      </c>
      <c r="AH273" s="13">
        <v>-454636.1776104985</v>
      </c>
      <c r="AI273" s="13">
        <v>2997.6825681019109</v>
      </c>
      <c r="AJ273" s="13">
        <v>4274447</v>
      </c>
      <c r="AK273" s="13">
        <v>1565331</v>
      </c>
      <c r="AL273" s="13">
        <v>3626619.6572058755</v>
      </c>
      <c r="AM273" s="13">
        <v>138381.79957621533</v>
      </c>
      <c r="AN273" s="13">
        <v>123045.09646081526</v>
      </c>
      <c r="AO273" s="13">
        <v>1613817.4548447337</v>
      </c>
      <c r="AP273" s="13">
        <v>3371237.1497896183</v>
      </c>
      <c r="AQ273" s="13">
        <v>4725068.4488909151</v>
      </c>
      <c r="AR273" s="13">
        <v>1837727.4642141988</v>
      </c>
      <c r="AS273" s="13">
        <v>2936288.5129769309</v>
      </c>
      <c r="AT273" s="34"/>
      <c r="AU273" s="13"/>
      <c r="AV273" s="34"/>
      <c r="AW273" s="34"/>
      <c r="AX273" s="34"/>
      <c r="AY273" s="13">
        <v>3823606.4028757033</v>
      </c>
      <c r="AZ273" s="13">
        <v>2350331.8286576266</v>
      </c>
      <c r="BA273" s="13">
        <v>2427586.8992766254</v>
      </c>
      <c r="BB273" s="32">
        <v>-14660741.097493727</v>
      </c>
      <c r="BC273" s="33">
        <v>-4831177.7472783942</v>
      </c>
      <c r="BD273" s="33">
        <v>-2096757.8</v>
      </c>
      <c r="BE273" s="33">
        <v>-803522.62</v>
      </c>
      <c r="BF273" s="14"/>
      <c r="BG273" s="14">
        <v>7227085.5445298171</v>
      </c>
      <c r="BH273" s="33">
        <v>5762748.0608019195</v>
      </c>
      <c r="BI273" s="13">
        <v>34320740</v>
      </c>
      <c r="BJ273" s="13">
        <v>25555</v>
      </c>
      <c r="BK273" s="33">
        <v>-6619164.21</v>
      </c>
    </row>
    <row r="274" spans="1:63" ht="14.25" x14ac:dyDescent="0.2">
      <c r="A274" s="14">
        <v>908</v>
      </c>
      <c r="B274" s="14" t="s">
        <v>547</v>
      </c>
      <c r="C274" s="14">
        <v>20847</v>
      </c>
      <c r="D274" s="14">
        <v>901</v>
      </c>
      <c r="E274" s="14">
        <v>189</v>
      </c>
      <c r="F274" s="14">
        <v>1354</v>
      </c>
      <c r="G274" s="14">
        <v>785</v>
      </c>
      <c r="H274" s="14">
        <v>17618</v>
      </c>
      <c r="I274" s="14">
        <v>11189</v>
      </c>
      <c r="K274" s="29">
        <v>1052.8333333333333</v>
      </c>
      <c r="L274" s="29">
        <v>9168</v>
      </c>
      <c r="M274" s="14">
        <v>1418.1666666666665</v>
      </c>
      <c r="N274" s="11">
        <v>1287</v>
      </c>
      <c r="O274" s="11">
        <v>0</v>
      </c>
      <c r="P274" s="11">
        <v>43</v>
      </c>
      <c r="Q274" s="11">
        <v>0</v>
      </c>
      <c r="R274" s="11">
        <v>0</v>
      </c>
      <c r="S274" s="11">
        <v>272.08</v>
      </c>
      <c r="T274" s="14">
        <v>799</v>
      </c>
      <c r="U274" s="14">
        <v>6395</v>
      </c>
      <c r="V274" s="330"/>
      <c r="W274" s="11">
        <v>0</v>
      </c>
      <c r="X274" s="64">
        <v>6499</v>
      </c>
      <c r="Y274" s="64">
        <v>8219</v>
      </c>
      <c r="Z274" s="331">
        <v>1.067653794538731</v>
      </c>
      <c r="AA274" s="31">
        <v>0.2448431524590918</v>
      </c>
      <c r="AB274" s="11">
        <v>0</v>
      </c>
      <c r="AC274" s="11">
        <v>1</v>
      </c>
      <c r="AE274" s="32">
        <v>-731477.68160000001</v>
      </c>
      <c r="AF274" s="13">
        <v>-398895.65</v>
      </c>
      <c r="AG274" s="13">
        <v>1147290.5997017133</v>
      </c>
      <c r="AH274" s="13">
        <v>-187917.82818535378</v>
      </c>
      <c r="AI274" s="13">
        <v>-69616.279424752458</v>
      </c>
      <c r="AJ274" s="13">
        <v>1300662</v>
      </c>
      <c r="AK274" s="13">
        <v>441444</v>
      </c>
      <c r="AL274" s="13">
        <v>804355.63999164151</v>
      </c>
      <c r="AM274" s="13">
        <v>27221.020783908443</v>
      </c>
      <c r="AN274" s="13">
        <v>143785.43598050371</v>
      </c>
      <c r="AO274" s="13">
        <v>492082.13330480817</v>
      </c>
      <c r="AP274" s="13">
        <v>907246.16303419892</v>
      </c>
      <c r="AQ274" s="13">
        <v>1486362.2494838221</v>
      </c>
      <c r="AR274" s="13">
        <v>409666.72623455676</v>
      </c>
      <c r="AS274" s="13">
        <v>765592.40180318756</v>
      </c>
      <c r="AT274" s="34"/>
      <c r="AU274" s="13"/>
      <c r="AV274" s="34"/>
      <c r="AW274" s="34"/>
      <c r="AX274" s="34"/>
      <c r="AY274" s="13">
        <v>907560.13623735099</v>
      </c>
      <c r="AZ274" s="13">
        <v>608028.12032280804</v>
      </c>
      <c r="BA274" s="13">
        <v>610066.72272016108</v>
      </c>
      <c r="BB274" s="32">
        <v>-2366758.386520341</v>
      </c>
      <c r="BC274" s="33">
        <v>-436763.59741836047</v>
      </c>
      <c r="BD274" s="33">
        <v>-621240.6</v>
      </c>
      <c r="BE274" s="33">
        <v>-238072.74</v>
      </c>
      <c r="BF274" s="14"/>
      <c r="BG274" s="14">
        <v>1225190.2809314069</v>
      </c>
      <c r="BH274" s="33">
        <v>4241842.4429532327</v>
      </c>
      <c r="BI274" s="13">
        <v>1725898</v>
      </c>
      <c r="BJ274" s="13">
        <v>5722</v>
      </c>
      <c r="BK274" s="33">
        <v>181021.20499999996</v>
      </c>
    </row>
    <row r="275" spans="1:63" ht="14.25" x14ac:dyDescent="0.2">
      <c r="A275" s="14">
        <v>92</v>
      </c>
      <c r="B275" s="14" t="s">
        <v>301</v>
      </c>
      <c r="C275" s="14">
        <v>251269</v>
      </c>
      <c r="D275" s="14">
        <v>15373</v>
      </c>
      <c r="E275" s="14">
        <v>2641</v>
      </c>
      <c r="F275" s="14">
        <v>16865</v>
      </c>
      <c r="G275" s="14">
        <v>8855</v>
      </c>
      <c r="H275" s="14">
        <v>207535</v>
      </c>
      <c r="I275" s="14">
        <v>162060</v>
      </c>
      <c r="K275" s="29">
        <v>16439.083333333332</v>
      </c>
      <c r="L275" s="29">
        <v>131401</v>
      </c>
      <c r="M275" s="14">
        <v>22674.333333333332</v>
      </c>
      <c r="N275" s="11">
        <v>72152</v>
      </c>
      <c r="O275" s="11">
        <v>1</v>
      </c>
      <c r="P275" s="11">
        <v>5348</v>
      </c>
      <c r="Q275" s="11">
        <v>0</v>
      </c>
      <c r="R275" s="11">
        <v>0</v>
      </c>
      <c r="S275" s="11">
        <v>238.39</v>
      </c>
      <c r="T275" s="14">
        <v>24547</v>
      </c>
      <c r="U275" s="14">
        <v>95048</v>
      </c>
      <c r="V275" s="330"/>
      <c r="W275" s="11">
        <v>0</v>
      </c>
      <c r="X275" s="64">
        <v>127410</v>
      </c>
      <c r="Y275" s="64">
        <v>117611</v>
      </c>
      <c r="Z275" s="331">
        <v>0.99641765458378595</v>
      </c>
      <c r="AA275" s="31">
        <v>1.6536424630491691</v>
      </c>
      <c r="AB275" s="11">
        <v>0</v>
      </c>
      <c r="AC275" s="11">
        <v>26</v>
      </c>
      <c r="AE275" s="32">
        <v>-30133568.218199998</v>
      </c>
      <c r="AF275" s="13">
        <v>-4557207.51</v>
      </c>
      <c r="AG275" s="13">
        <v>10165974.187999807</v>
      </c>
      <c r="AH275" s="13">
        <v>-4484703.4402226629</v>
      </c>
      <c r="AI275" s="13">
        <v>-42247.224417291582</v>
      </c>
      <c r="AJ275" s="13">
        <v>10598953</v>
      </c>
      <c r="AK275" s="13">
        <v>4100799</v>
      </c>
      <c r="AL275" s="13">
        <v>9211292.593758624</v>
      </c>
      <c r="AM275" s="13">
        <v>227178.49044565213</v>
      </c>
      <c r="AN275" s="13">
        <v>82298.47186307986</v>
      </c>
      <c r="AO275" s="13">
        <v>3932399.7200499601</v>
      </c>
      <c r="AP275" s="13">
        <v>9755745.8127085008</v>
      </c>
      <c r="AQ275" s="13">
        <v>13693210.390970083</v>
      </c>
      <c r="AR275" s="13">
        <v>4847253.4480798785</v>
      </c>
      <c r="AS275" s="13">
        <v>8400914.958768297</v>
      </c>
      <c r="AT275" s="34"/>
      <c r="AU275" s="13"/>
      <c r="AV275" s="34"/>
      <c r="AW275" s="34"/>
      <c r="AX275" s="34"/>
      <c r="AY275" s="13">
        <v>11551527.935120055</v>
      </c>
      <c r="AZ275" s="13">
        <v>7717434.0968031958</v>
      </c>
      <c r="BA275" s="13">
        <v>6966170.8983442895</v>
      </c>
      <c r="BB275" s="32">
        <v>-26465622.019977588</v>
      </c>
      <c r="BC275" s="33">
        <v>-1026325.7926219902</v>
      </c>
      <c r="BD275" s="33">
        <v>-7487816.2000000002</v>
      </c>
      <c r="BE275" s="33">
        <v>-2869491.98</v>
      </c>
      <c r="BF275" s="14"/>
      <c r="BG275" s="14">
        <v>18692713.672323529</v>
      </c>
      <c r="BH275" s="33">
        <v>-2595864.4336474673</v>
      </c>
      <c r="BI275" s="13">
        <v>34790846</v>
      </c>
      <c r="BJ275" s="13">
        <v>83994</v>
      </c>
      <c r="BK275" s="33">
        <v>-7487020.0780000016</v>
      </c>
    </row>
    <row r="276" spans="1:63" ht="14.25" x14ac:dyDescent="0.2">
      <c r="A276" s="14">
        <v>915</v>
      </c>
      <c r="B276" s="14" t="s">
        <v>548</v>
      </c>
      <c r="C276" s="14">
        <v>19669</v>
      </c>
      <c r="D276" s="14">
        <v>706</v>
      </c>
      <c r="E276" s="14">
        <v>131</v>
      </c>
      <c r="F276" s="14">
        <v>966</v>
      </c>
      <c r="G276" s="14">
        <v>549</v>
      </c>
      <c r="H276" s="14">
        <v>17317</v>
      </c>
      <c r="I276" s="14">
        <v>10202</v>
      </c>
      <c r="K276" s="29">
        <v>1161.5</v>
      </c>
      <c r="L276" s="29">
        <v>8186</v>
      </c>
      <c r="M276" s="14">
        <v>1669.6666666666667</v>
      </c>
      <c r="N276" s="11">
        <v>1216</v>
      </c>
      <c r="O276" s="11">
        <v>0</v>
      </c>
      <c r="P276" s="11">
        <v>34</v>
      </c>
      <c r="Q276" s="11">
        <v>0</v>
      </c>
      <c r="R276" s="11">
        <v>0</v>
      </c>
      <c r="S276" s="11">
        <v>385.62</v>
      </c>
      <c r="T276" s="14">
        <v>961</v>
      </c>
      <c r="U276" s="14">
        <v>5316</v>
      </c>
      <c r="V276" s="330"/>
      <c r="W276" s="11">
        <v>7.091666666666667E-2</v>
      </c>
      <c r="X276" s="64">
        <v>7924</v>
      </c>
      <c r="Y276" s="64">
        <v>7035</v>
      </c>
      <c r="Z276" s="331">
        <v>1.0287355613355291</v>
      </c>
      <c r="AA276" s="31">
        <v>0</v>
      </c>
      <c r="AB276" s="11">
        <v>0</v>
      </c>
      <c r="AC276" s="11">
        <v>0</v>
      </c>
      <c r="AE276" s="32">
        <v>-1301485.2593499999</v>
      </c>
      <c r="AF276" s="13">
        <v>-389540.38</v>
      </c>
      <c r="AG276" s="13">
        <v>1463530.1649426175</v>
      </c>
      <c r="AH276" s="13">
        <v>-145317.45105087309</v>
      </c>
      <c r="AI276" s="13">
        <v>134561.91736296762</v>
      </c>
      <c r="AJ276" s="13">
        <v>1653793</v>
      </c>
      <c r="AK276" s="13">
        <v>512148</v>
      </c>
      <c r="AL276" s="13">
        <v>1193037.4448902451</v>
      </c>
      <c r="AM276" s="13">
        <v>56295.40430510851</v>
      </c>
      <c r="AN276" s="13">
        <v>159674.2018735389</v>
      </c>
      <c r="AO276" s="13">
        <v>682568.98840266746</v>
      </c>
      <c r="AP276" s="13">
        <v>970869.22769088577</v>
      </c>
      <c r="AQ276" s="13">
        <v>1570206.396035505</v>
      </c>
      <c r="AR276" s="13">
        <v>455376.49303466274</v>
      </c>
      <c r="AS276" s="13">
        <v>874237.16796864336</v>
      </c>
      <c r="AT276" s="34"/>
      <c r="AU276" s="13"/>
      <c r="AV276" s="34"/>
      <c r="AW276" s="34"/>
      <c r="AX276" s="34"/>
      <c r="AY276" s="13">
        <v>1069398.2575607456</v>
      </c>
      <c r="AZ276" s="13">
        <v>637157.70426102798</v>
      </c>
      <c r="BA276" s="13">
        <v>611619.06563325785</v>
      </c>
      <c r="BB276" s="32">
        <v>-283286.14605132048</v>
      </c>
      <c r="BC276" s="33">
        <v>-83515.587068630979</v>
      </c>
      <c r="BD276" s="33">
        <v>-586136.20000000007</v>
      </c>
      <c r="BE276" s="33">
        <v>-224619.98</v>
      </c>
      <c r="BF276" s="14"/>
      <c r="BG276" s="14">
        <v>1722850.7731156761</v>
      </c>
      <c r="BH276" s="33">
        <v>6067756.4646109138</v>
      </c>
      <c r="BI276" s="13">
        <v>-1369746</v>
      </c>
      <c r="BJ276" s="13">
        <v>4467</v>
      </c>
      <c r="BK276" s="33">
        <v>169784.67500000005</v>
      </c>
    </row>
    <row r="277" spans="1:63" ht="14.25" x14ac:dyDescent="0.2">
      <c r="A277" s="14">
        <v>918</v>
      </c>
      <c r="B277" s="14" t="s">
        <v>549</v>
      </c>
      <c r="C277" s="14">
        <v>2246</v>
      </c>
      <c r="D277" s="14">
        <v>107</v>
      </c>
      <c r="E277" s="14">
        <v>22</v>
      </c>
      <c r="F277" s="14">
        <v>131</v>
      </c>
      <c r="G277" s="14">
        <v>74</v>
      </c>
      <c r="H277" s="14">
        <v>1912</v>
      </c>
      <c r="I277" s="14">
        <v>1184</v>
      </c>
      <c r="K277" s="29">
        <v>94.666666666666671</v>
      </c>
      <c r="L277" s="29">
        <v>1004</v>
      </c>
      <c r="M277" s="14">
        <v>127.75</v>
      </c>
      <c r="N277" s="11">
        <v>146</v>
      </c>
      <c r="O277" s="11">
        <v>0</v>
      </c>
      <c r="P277" s="11">
        <v>13</v>
      </c>
      <c r="Q277" s="11">
        <v>0</v>
      </c>
      <c r="R277" s="11">
        <v>0</v>
      </c>
      <c r="S277" s="11">
        <v>189.22</v>
      </c>
      <c r="T277" s="14">
        <v>132</v>
      </c>
      <c r="U277" s="14">
        <v>666</v>
      </c>
      <c r="V277" s="330"/>
      <c r="W277" s="11">
        <v>0</v>
      </c>
      <c r="X277" s="64">
        <v>661</v>
      </c>
      <c r="Y277" s="64">
        <v>920</v>
      </c>
      <c r="Z277" s="331">
        <v>0.8099212390341568</v>
      </c>
      <c r="AA277" s="31">
        <v>0</v>
      </c>
      <c r="AB277" s="11">
        <v>0</v>
      </c>
      <c r="AC277" s="11">
        <v>0</v>
      </c>
      <c r="AE277" s="32">
        <v>-70132.232149999996</v>
      </c>
      <c r="AF277" s="13">
        <v>-44029.32</v>
      </c>
      <c r="AG277" s="13">
        <v>27991.224172728907</v>
      </c>
      <c r="AH277" s="13">
        <v>-37640.506732481314</v>
      </c>
      <c r="AI277" s="13">
        <v>6301.1669375853526</v>
      </c>
      <c r="AJ277" s="13">
        <v>248075</v>
      </c>
      <c r="AK277" s="13">
        <v>85184</v>
      </c>
      <c r="AL277" s="13">
        <v>189146.44913137591</v>
      </c>
      <c r="AM277" s="13">
        <v>8965.572928964224</v>
      </c>
      <c r="AN277" s="13">
        <v>6698.7777193360425</v>
      </c>
      <c r="AO277" s="13">
        <v>69879.024130884587</v>
      </c>
      <c r="AP277" s="13">
        <v>152070.04491837331</v>
      </c>
      <c r="AQ277" s="13">
        <v>249805.59383009965</v>
      </c>
      <c r="AR277" s="13">
        <v>73752.966817995606</v>
      </c>
      <c r="AS277" s="13">
        <v>117200.99420505411</v>
      </c>
      <c r="AT277" s="34"/>
      <c r="AU277" s="13"/>
      <c r="AV277" s="34"/>
      <c r="AW277" s="34"/>
      <c r="AX277" s="34"/>
      <c r="AY277" s="13">
        <v>159065.56569936004</v>
      </c>
      <c r="AZ277" s="13">
        <v>92726.845819609938</v>
      </c>
      <c r="BA277" s="13">
        <v>92054.629118596611</v>
      </c>
      <c r="BB277" s="32">
        <v>-17764.273498652965</v>
      </c>
      <c r="BC277" s="33">
        <v>-9417.1126063520314</v>
      </c>
      <c r="BD277" s="33">
        <v>-66930.8</v>
      </c>
      <c r="BE277" s="33">
        <v>-25649.32</v>
      </c>
      <c r="BF277" s="14"/>
      <c r="BG277" s="14">
        <v>348751.48369226896</v>
      </c>
      <c r="BH277" s="33">
        <v>1138944.3867415618</v>
      </c>
      <c r="BI277" s="13">
        <v>-529626</v>
      </c>
      <c r="BJ277" s="13">
        <v>542</v>
      </c>
      <c r="BK277" s="33">
        <v>51324.087499999994</v>
      </c>
    </row>
    <row r="278" spans="1:63" ht="14.25" x14ac:dyDescent="0.2">
      <c r="A278" s="14">
        <v>921</v>
      </c>
      <c r="B278" s="14" t="s">
        <v>550</v>
      </c>
      <c r="C278" s="14">
        <v>1851</v>
      </c>
      <c r="D278" s="14">
        <v>44</v>
      </c>
      <c r="E278" s="14">
        <v>9</v>
      </c>
      <c r="F278" s="14">
        <v>68</v>
      </c>
      <c r="G278" s="14">
        <v>53</v>
      </c>
      <c r="H278" s="14">
        <v>1677</v>
      </c>
      <c r="I278" s="14">
        <v>835</v>
      </c>
      <c r="K278" s="29">
        <v>74.333333333333329</v>
      </c>
      <c r="L278" s="29">
        <v>696</v>
      </c>
      <c r="M278" s="14">
        <v>99.25</v>
      </c>
      <c r="N278" s="11">
        <v>59</v>
      </c>
      <c r="O278" s="11">
        <v>0</v>
      </c>
      <c r="P278" s="11">
        <v>1</v>
      </c>
      <c r="Q278" s="11">
        <v>0</v>
      </c>
      <c r="R278" s="11">
        <v>0</v>
      </c>
      <c r="S278" s="11">
        <v>422.63</v>
      </c>
      <c r="T278" s="14">
        <v>68</v>
      </c>
      <c r="U278" s="14">
        <v>389</v>
      </c>
      <c r="V278" s="330"/>
      <c r="W278" s="11">
        <v>1.6164666666666667</v>
      </c>
      <c r="X278" s="64">
        <v>486</v>
      </c>
      <c r="Y278" s="64">
        <v>611</v>
      </c>
      <c r="Z278" s="331">
        <v>0.84454466313584287</v>
      </c>
      <c r="AA278" s="31">
        <v>0</v>
      </c>
      <c r="AB278" s="11">
        <v>0</v>
      </c>
      <c r="AC278" s="11">
        <v>0</v>
      </c>
      <c r="AE278" s="32">
        <v>-49627.41</v>
      </c>
      <c r="AF278" s="13">
        <v>-37882.120000000003</v>
      </c>
      <c r="AG278" s="13">
        <v>82922.864464913539</v>
      </c>
      <c r="AH278" s="13">
        <v>-47230.463889119885</v>
      </c>
      <c r="AI278" s="13">
        <v>-1949.5866734364899</v>
      </c>
      <c r="AJ278" s="13">
        <v>272212</v>
      </c>
      <c r="AK278" s="13">
        <v>80979</v>
      </c>
      <c r="AL278" s="13">
        <v>222117.16686815341</v>
      </c>
      <c r="AM278" s="13">
        <v>13393.678597821072</v>
      </c>
      <c r="AN278" s="13">
        <v>24441.044251301781</v>
      </c>
      <c r="AO278" s="13">
        <v>105814.7538803817</v>
      </c>
      <c r="AP278" s="13">
        <v>121929.47807716508</v>
      </c>
      <c r="AQ278" s="13">
        <v>201205.73777891742</v>
      </c>
      <c r="AR278" s="13">
        <v>64741.537510849092</v>
      </c>
      <c r="AS278" s="13">
        <v>110994.11100456932</v>
      </c>
      <c r="AT278" s="34"/>
      <c r="AU278" s="13"/>
      <c r="AV278" s="34"/>
      <c r="AW278" s="34"/>
      <c r="AX278" s="34"/>
      <c r="AY278" s="13">
        <v>154615.7049721652</v>
      </c>
      <c r="AZ278" s="13">
        <v>81233.423171722679</v>
      </c>
      <c r="BA278" s="13">
        <v>75549.033645250413</v>
      </c>
      <c r="BB278" s="32">
        <v>716461.17453074642</v>
      </c>
      <c r="BC278" s="33">
        <v>-8005.391057643963</v>
      </c>
      <c r="BD278" s="33">
        <v>-55159.8</v>
      </c>
      <c r="BE278" s="33">
        <v>-21138.42</v>
      </c>
      <c r="BF278" s="14"/>
      <c r="BG278" s="14">
        <v>374250.36494323786</v>
      </c>
      <c r="BH278" s="33">
        <v>1138029.3331396296</v>
      </c>
      <c r="BI278" s="13">
        <v>372721</v>
      </c>
      <c r="BJ278" s="13">
        <v>328</v>
      </c>
      <c r="BK278" s="33">
        <v>309446.26250000001</v>
      </c>
    </row>
    <row r="279" spans="1:63" ht="14.25" x14ac:dyDescent="0.2">
      <c r="A279" s="14">
        <v>922</v>
      </c>
      <c r="B279" s="14" t="s">
        <v>551</v>
      </c>
      <c r="C279" s="14">
        <v>4511</v>
      </c>
      <c r="D279" s="14">
        <v>265</v>
      </c>
      <c r="E279" s="14">
        <v>49</v>
      </c>
      <c r="F279" s="14">
        <v>386</v>
      </c>
      <c r="G279" s="14">
        <v>218</v>
      </c>
      <c r="H279" s="14">
        <v>3593</v>
      </c>
      <c r="I279" s="14">
        <v>2568</v>
      </c>
      <c r="K279" s="29">
        <v>157.25</v>
      </c>
      <c r="L279" s="29">
        <v>2211</v>
      </c>
      <c r="M279" s="14">
        <v>223</v>
      </c>
      <c r="N279" s="11">
        <v>104</v>
      </c>
      <c r="O279" s="11">
        <v>0</v>
      </c>
      <c r="P279" s="11">
        <v>20</v>
      </c>
      <c r="Q279" s="11">
        <v>0</v>
      </c>
      <c r="R279" s="11">
        <v>0</v>
      </c>
      <c r="S279" s="11">
        <v>301.08</v>
      </c>
      <c r="T279" s="14">
        <v>114</v>
      </c>
      <c r="U279" s="14">
        <v>1518</v>
      </c>
      <c r="V279" s="330"/>
      <c r="W279" s="11">
        <v>0</v>
      </c>
      <c r="X279" s="64">
        <v>940</v>
      </c>
      <c r="Y279" s="64">
        <v>2059</v>
      </c>
      <c r="Z279" s="331">
        <v>1.2635745493749913</v>
      </c>
      <c r="AA279" s="31">
        <v>0.50382756817033048</v>
      </c>
      <c r="AB279" s="11">
        <v>0</v>
      </c>
      <c r="AC279" s="11">
        <v>0</v>
      </c>
      <c r="AE279" s="32">
        <v>-80084.022500000006</v>
      </c>
      <c r="AF279" s="13">
        <v>-83890.07</v>
      </c>
      <c r="AG279" s="13">
        <v>236212.19863731024</v>
      </c>
      <c r="AH279" s="13">
        <v>-89865.713890377781</v>
      </c>
      <c r="AI279" s="13">
        <v>-27398.10411186656</v>
      </c>
      <c r="AJ279" s="13">
        <v>372593</v>
      </c>
      <c r="AK279" s="13">
        <v>113630</v>
      </c>
      <c r="AL279" s="13">
        <v>247453.05399288182</v>
      </c>
      <c r="AM279" s="13">
        <v>4791.8498891098261</v>
      </c>
      <c r="AN279" s="13">
        <v>24729.809662821259</v>
      </c>
      <c r="AO279" s="13">
        <v>87174.841359042373</v>
      </c>
      <c r="AP279" s="13">
        <v>227204.16309526682</v>
      </c>
      <c r="AQ279" s="13">
        <v>331634.24889975326</v>
      </c>
      <c r="AR279" s="13">
        <v>90740.245282264761</v>
      </c>
      <c r="AS279" s="13">
        <v>175356.23759167743</v>
      </c>
      <c r="AT279" s="34"/>
      <c r="AU279" s="13"/>
      <c r="AV279" s="34"/>
      <c r="AW279" s="34"/>
      <c r="AX279" s="34"/>
      <c r="AY279" s="13">
        <v>232811.23449427751</v>
      </c>
      <c r="AZ279" s="13">
        <v>138729.84727571715</v>
      </c>
      <c r="BA279" s="13">
        <v>143613.01931596923</v>
      </c>
      <c r="BB279" s="32">
        <v>-129757.74247225582</v>
      </c>
      <c r="BC279" s="33">
        <v>-47747.345538620837</v>
      </c>
      <c r="BD279" s="33">
        <v>-134427.80000000002</v>
      </c>
      <c r="BE279" s="33">
        <v>-51515.62</v>
      </c>
      <c r="BF279" s="14"/>
      <c r="BG279" s="14">
        <v>329592.23573455855</v>
      </c>
      <c r="BH279" s="33">
        <v>1041880.6537001712</v>
      </c>
      <c r="BI279" s="13">
        <v>-1065845</v>
      </c>
      <c r="BJ279" s="13">
        <v>1389</v>
      </c>
      <c r="BK279" s="33">
        <v>111305.25000000003</v>
      </c>
    </row>
    <row r="280" spans="1:63" ht="14.25" x14ac:dyDescent="0.2">
      <c r="A280" s="14">
        <v>924</v>
      </c>
      <c r="B280" s="14" t="s">
        <v>552</v>
      </c>
      <c r="C280" s="14">
        <v>2931</v>
      </c>
      <c r="D280" s="14">
        <v>124</v>
      </c>
      <c r="E280" s="14">
        <v>19</v>
      </c>
      <c r="F280" s="14">
        <v>176</v>
      </c>
      <c r="G280" s="14">
        <v>119</v>
      </c>
      <c r="H280" s="14">
        <v>2493</v>
      </c>
      <c r="I280" s="14">
        <v>1444</v>
      </c>
      <c r="K280" s="29">
        <v>76.916666666666671</v>
      </c>
      <c r="L280" s="29">
        <v>1245</v>
      </c>
      <c r="M280" s="14">
        <v>122.16666666666667</v>
      </c>
      <c r="N280" s="11">
        <v>108</v>
      </c>
      <c r="O280" s="11">
        <v>0</v>
      </c>
      <c r="P280" s="11">
        <v>48</v>
      </c>
      <c r="Q280" s="11">
        <v>0</v>
      </c>
      <c r="R280" s="11">
        <v>0</v>
      </c>
      <c r="S280" s="11">
        <v>502.12</v>
      </c>
      <c r="T280" s="14">
        <v>92</v>
      </c>
      <c r="U280" s="14">
        <v>783</v>
      </c>
      <c r="V280" s="330"/>
      <c r="W280" s="11">
        <v>0.99025000000000007</v>
      </c>
      <c r="X280" s="64">
        <v>980</v>
      </c>
      <c r="Y280" s="64">
        <v>1166</v>
      </c>
      <c r="Z280" s="331">
        <v>0.78327717685161191</v>
      </c>
      <c r="AA280" s="31">
        <v>0</v>
      </c>
      <c r="AB280" s="11">
        <v>0</v>
      </c>
      <c r="AC280" s="11">
        <v>0</v>
      </c>
      <c r="AE280" s="32">
        <v>-40980.94</v>
      </c>
      <c r="AF280" s="13">
        <v>-58878.65</v>
      </c>
      <c r="AG280" s="13">
        <v>139165.9581946783</v>
      </c>
      <c r="AH280" s="13">
        <v>-62673.922387694212</v>
      </c>
      <c r="AI280" s="13">
        <v>-5284.2427095584862</v>
      </c>
      <c r="AJ280" s="13">
        <v>317973</v>
      </c>
      <c r="AK280" s="13">
        <v>108817</v>
      </c>
      <c r="AL280" s="13">
        <v>294373.60149089992</v>
      </c>
      <c r="AM280" s="13">
        <v>16327.450232480376</v>
      </c>
      <c r="AN280" s="13">
        <v>23733.81038234982</v>
      </c>
      <c r="AO280" s="13">
        <v>124141.35144134986</v>
      </c>
      <c r="AP280" s="13">
        <v>210098.31038825971</v>
      </c>
      <c r="AQ280" s="13">
        <v>352062.1337239467</v>
      </c>
      <c r="AR280" s="13">
        <v>99079.527335056671</v>
      </c>
      <c r="AS280" s="13">
        <v>163968.8276254966</v>
      </c>
      <c r="AT280" s="34"/>
      <c r="AU280" s="13"/>
      <c r="AV280" s="34"/>
      <c r="AW280" s="34"/>
      <c r="AX280" s="34"/>
      <c r="AY280" s="13">
        <v>233081.60563204729</v>
      </c>
      <c r="AZ280" s="13">
        <v>132683.18284001428</v>
      </c>
      <c r="BA280" s="13">
        <v>127689.2460359831</v>
      </c>
      <c r="BB280" s="32">
        <v>142262.69591691537</v>
      </c>
      <c r="BC280" s="33">
        <v>-30910.158132116412</v>
      </c>
      <c r="BD280" s="33">
        <v>-87343.8</v>
      </c>
      <c r="BE280" s="33">
        <v>-33472.019999999997</v>
      </c>
      <c r="BF280" s="14"/>
      <c r="BG280" s="14">
        <v>499787.60444168234</v>
      </c>
      <c r="BH280" s="33">
        <v>1639673.6360290761</v>
      </c>
      <c r="BI280" s="13">
        <v>322696</v>
      </c>
      <c r="BJ280" s="13">
        <v>748</v>
      </c>
      <c r="BK280" s="33">
        <v>-17667.5</v>
      </c>
    </row>
    <row r="281" spans="1:63" ht="14.25" x14ac:dyDescent="0.2">
      <c r="A281" s="14">
        <v>925</v>
      </c>
      <c r="B281" s="14" t="s">
        <v>553</v>
      </c>
      <c r="C281" s="14">
        <v>3352</v>
      </c>
      <c r="D281" s="14">
        <v>123</v>
      </c>
      <c r="E281" s="14">
        <v>33</v>
      </c>
      <c r="F281" s="14">
        <v>224</v>
      </c>
      <c r="G281" s="14">
        <v>136</v>
      </c>
      <c r="H281" s="14">
        <v>2836</v>
      </c>
      <c r="I281" s="14">
        <v>1796</v>
      </c>
      <c r="K281" s="29">
        <v>141.83333333333334</v>
      </c>
      <c r="L281" s="29">
        <v>1609</v>
      </c>
      <c r="M281" s="14">
        <v>179.08333333333334</v>
      </c>
      <c r="N281" s="11">
        <v>156</v>
      </c>
      <c r="O281" s="11">
        <v>0</v>
      </c>
      <c r="P281" s="11">
        <v>6</v>
      </c>
      <c r="Q281" s="11">
        <v>0</v>
      </c>
      <c r="R281" s="11">
        <v>0</v>
      </c>
      <c r="S281" s="11">
        <v>925.3</v>
      </c>
      <c r="T281" s="14">
        <v>142</v>
      </c>
      <c r="U281" s="14">
        <v>958</v>
      </c>
      <c r="V281" s="330"/>
      <c r="W281" s="11">
        <v>0.83401666666666663</v>
      </c>
      <c r="X281" s="64">
        <v>1936</v>
      </c>
      <c r="Y281" s="64">
        <v>1423</v>
      </c>
      <c r="Z281" s="331">
        <v>0.97423373950651138</v>
      </c>
      <c r="AA281" s="31">
        <v>0</v>
      </c>
      <c r="AB281" s="11">
        <v>0</v>
      </c>
      <c r="AC281" s="11">
        <v>0</v>
      </c>
      <c r="AE281" s="32">
        <v>-66761.952499999999</v>
      </c>
      <c r="AF281" s="13">
        <v>-67657.62000000001</v>
      </c>
      <c r="AG281" s="13">
        <v>103230.59683794747</v>
      </c>
      <c r="AH281" s="13">
        <v>-86141.305327423383</v>
      </c>
      <c r="AI281" s="13">
        <v>2923.5779768506472</v>
      </c>
      <c r="AJ281" s="13">
        <v>384706</v>
      </c>
      <c r="AK281" s="13">
        <v>121762</v>
      </c>
      <c r="AL281" s="13">
        <v>310293.88668585266</v>
      </c>
      <c r="AM281" s="13">
        <v>16652.303525979642</v>
      </c>
      <c r="AN281" s="13">
        <v>51151.930757798465</v>
      </c>
      <c r="AO281" s="13">
        <v>148958.92855102531</v>
      </c>
      <c r="AP281" s="13">
        <v>218427.78682115505</v>
      </c>
      <c r="AQ281" s="13">
        <v>366883.53876372147</v>
      </c>
      <c r="AR281" s="13">
        <v>109056.87091837132</v>
      </c>
      <c r="AS281" s="13">
        <v>190013.84041287802</v>
      </c>
      <c r="AT281" s="34"/>
      <c r="AU281" s="13"/>
      <c r="AV281" s="34"/>
      <c r="AW281" s="34"/>
      <c r="AX281" s="34"/>
      <c r="AY281" s="13">
        <v>272572.40915278619</v>
      </c>
      <c r="AZ281" s="13">
        <v>144471.5371475771</v>
      </c>
      <c r="BA281" s="13">
        <v>137565.34323565147</v>
      </c>
      <c r="BB281" s="32">
        <v>1247974.7162913063</v>
      </c>
      <c r="BC281" s="33">
        <v>760440.09298561001</v>
      </c>
      <c r="BD281" s="33">
        <v>-99889.600000000006</v>
      </c>
      <c r="BE281" s="33">
        <v>-38279.839999999997</v>
      </c>
      <c r="BF281" s="14"/>
      <c r="BG281" s="14">
        <v>597864.14791435574</v>
      </c>
      <c r="BH281" s="33">
        <v>140900.70406717071</v>
      </c>
      <c r="BI281" s="13">
        <v>31783</v>
      </c>
      <c r="BJ281" s="13">
        <v>846</v>
      </c>
      <c r="BK281" s="33">
        <v>37013.412500000006</v>
      </c>
    </row>
    <row r="282" spans="1:63" ht="14.25" x14ac:dyDescent="0.2">
      <c r="A282" s="14">
        <v>927</v>
      </c>
      <c r="B282" s="14" t="s">
        <v>554</v>
      </c>
      <c r="C282" s="14">
        <v>28799</v>
      </c>
      <c r="D282" s="14">
        <v>1462</v>
      </c>
      <c r="E282" s="14">
        <v>298</v>
      </c>
      <c r="F282" s="14">
        <v>2031</v>
      </c>
      <c r="G282" s="14">
        <v>1248</v>
      </c>
      <c r="H282" s="14">
        <v>23760</v>
      </c>
      <c r="I282" s="14">
        <v>16635</v>
      </c>
      <c r="K282" s="29">
        <v>1218.75</v>
      </c>
      <c r="L282" s="29">
        <v>14630</v>
      </c>
      <c r="M282" s="14">
        <v>1591.8333333333333</v>
      </c>
      <c r="N282" s="11">
        <v>2102</v>
      </c>
      <c r="O282" s="11">
        <v>0</v>
      </c>
      <c r="P282" s="11">
        <v>492</v>
      </c>
      <c r="Q282" s="11">
        <v>0</v>
      </c>
      <c r="R282" s="11">
        <v>0</v>
      </c>
      <c r="S282" s="11">
        <v>522.02</v>
      </c>
      <c r="T282" s="14">
        <v>1452</v>
      </c>
      <c r="U282" s="14">
        <v>9745</v>
      </c>
      <c r="V282" s="330"/>
      <c r="W282" s="11">
        <v>0</v>
      </c>
      <c r="X282" s="64">
        <v>7697</v>
      </c>
      <c r="Y282" s="64">
        <v>13366</v>
      </c>
      <c r="Z282" s="331">
        <v>1.0147755807680054</v>
      </c>
      <c r="AA282" s="31">
        <v>0</v>
      </c>
      <c r="AB282" s="11">
        <v>0</v>
      </c>
      <c r="AC282" s="11">
        <v>3</v>
      </c>
      <c r="AE282" s="32">
        <v>-1438067.4564</v>
      </c>
      <c r="AF282" s="13">
        <v>-560163.6</v>
      </c>
      <c r="AG282" s="13">
        <v>947029.93438190152</v>
      </c>
      <c r="AH282" s="13">
        <v>-380151.19997769187</v>
      </c>
      <c r="AI282" s="13">
        <v>-100429.25332060561</v>
      </c>
      <c r="AJ282" s="13">
        <v>2001890</v>
      </c>
      <c r="AK282" s="13">
        <v>666810</v>
      </c>
      <c r="AL282" s="13">
        <v>1272981.3959105464</v>
      </c>
      <c r="AM282" s="13">
        <v>-2804.2325492603327</v>
      </c>
      <c r="AN282" s="13">
        <v>-241738.51153038506</v>
      </c>
      <c r="AO282" s="13">
        <v>313170.38375441561</v>
      </c>
      <c r="AP282" s="13">
        <v>1325133.6142187256</v>
      </c>
      <c r="AQ282" s="13">
        <v>2049572.9673950246</v>
      </c>
      <c r="AR282" s="13">
        <v>606296.42180101236</v>
      </c>
      <c r="AS282" s="13">
        <v>1053102.9774397961</v>
      </c>
      <c r="AT282" s="34"/>
      <c r="AU282" s="13"/>
      <c r="AV282" s="34"/>
      <c r="AW282" s="34"/>
      <c r="AX282" s="34"/>
      <c r="AY282" s="13">
        <v>1311766.7570832449</v>
      </c>
      <c r="AZ282" s="13">
        <v>892238.0160402701</v>
      </c>
      <c r="BA282" s="13">
        <v>900745.74724571116</v>
      </c>
      <c r="BB282" s="32">
        <v>1377674.5288266833</v>
      </c>
      <c r="BC282" s="33">
        <v>253223.49677417843</v>
      </c>
      <c r="BD282" s="33">
        <v>-858210.20000000007</v>
      </c>
      <c r="BE282" s="33">
        <v>-328884.58</v>
      </c>
      <c r="BF282" s="14"/>
      <c r="BG282" s="14">
        <v>2109434.7068871739</v>
      </c>
      <c r="BH282" s="33">
        <v>1444865.9012661243</v>
      </c>
      <c r="BI282" s="13">
        <v>-2423945</v>
      </c>
      <c r="BJ282" s="13">
        <v>8447</v>
      </c>
      <c r="BK282" s="33">
        <v>-49398.329999999842</v>
      </c>
    </row>
    <row r="283" spans="1:63" ht="14.25" x14ac:dyDescent="0.2">
      <c r="A283" s="14">
        <v>931</v>
      </c>
      <c r="B283" s="14" t="s">
        <v>555</v>
      </c>
      <c r="C283" s="14">
        <v>5764</v>
      </c>
      <c r="D283" s="14">
        <v>219</v>
      </c>
      <c r="E283" s="14">
        <v>44</v>
      </c>
      <c r="F283" s="14">
        <v>278</v>
      </c>
      <c r="G283" s="14">
        <v>154</v>
      </c>
      <c r="H283" s="14">
        <v>5069</v>
      </c>
      <c r="I283" s="14">
        <v>2668</v>
      </c>
      <c r="K283" s="29">
        <v>252.58333333333334</v>
      </c>
      <c r="L283" s="29">
        <v>2361</v>
      </c>
      <c r="M283" s="14">
        <v>347.83333333333337</v>
      </c>
      <c r="N283" s="11">
        <v>143</v>
      </c>
      <c r="O283" s="11">
        <v>0</v>
      </c>
      <c r="P283" s="11">
        <v>8</v>
      </c>
      <c r="Q283" s="11">
        <v>0</v>
      </c>
      <c r="R283" s="11">
        <v>0</v>
      </c>
      <c r="S283" s="11">
        <v>1248.53</v>
      </c>
      <c r="T283" s="14">
        <v>191</v>
      </c>
      <c r="U283" s="14">
        <v>1321</v>
      </c>
      <c r="V283" s="330"/>
      <c r="W283" s="11">
        <v>1.4403999999999999</v>
      </c>
      <c r="X283" s="64">
        <v>2085</v>
      </c>
      <c r="Y283" s="64">
        <v>2020</v>
      </c>
      <c r="Z283" s="331">
        <v>0.99405179685296641</v>
      </c>
      <c r="AA283" s="31">
        <v>0</v>
      </c>
      <c r="AB283" s="11">
        <v>0</v>
      </c>
      <c r="AC283" s="11">
        <v>0</v>
      </c>
      <c r="AE283" s="32">
        <v>-241291.93729999999</v>
      </c>
      <c r="AF283" s="13">
        <v>-117123.37000000001</v>
      </c>
      <c r="AG283" s="13">
        <v>225607.00530776998</v>
      </c>
      <c r="AH283" s="13">
        <v>-144366.40062335363</v>
      </c>
      <c r="AI283" s="13">
        <v>5349.6212242630427</v>
      </c>
      <c r="AJ283" s="13">
        <v>657403</v>
      </c>
      <c r="AK283" s="13">
        <v>205740</v>
      </c>
      <c r="AL283" s="13">
        <v>515917.62991671666</v>
      </c>
      <c r="AM283" s="13">
        <v>27738.114858243203</v>
      </c>
      <c r="AN283" s="13">
        <v>74511.391240933925</v>
      </c>
      <c r="AO283" s="13">
        <v>279038.21657610091</v>
      </c>
      <c r="AP283" s="13">
        <v>384013.80918677722</v>
      </c>
      <c r="AQ283" s="13">
        <v>605953.82171007432</v>
      </c>
      <c r="AR283" s="13">
        <v>181857.56105457552</v>
      </c>
      <c r="AS283" s="13">
        <v>335745.7182726537</v>
      </c>
      <c r="AT283" s="34"/>
      <c r="AU283" s="13"/>
      <c r="AV283" s="34"/>
      <c r="AW283" s="34"/>
      <c r="AX283" s="34"/>
      <c r="AY283" s="13">
        <v>418176.46130733541</v>
      </c>
      <c r="AZ283" s="13">
        <v>237191.00515893355</v>
      </c>
      <c r="BA283" s="13">
        <v>229172.3865906859</v>
      </c>
      <c r="BB283" s="32">
        <v>2423456.0997318863</v>
      </c>
      <c r="BC283" s="33">
        <v>1386742.7121080477</v>
      </c>
      <c r="BD283" s="33">
        <v>-171767.2</v>
      </c>
      <c r="BE283" s="33">
        <v>-65824.88</v>
      </c>
      <c r="BF283" s="14"/>
      <c r="BG283" s="14">
        <v>910382.78216883051</v>
      </c>
      <c r="BH283" s="33">
        <v>1792868.6170113878</v>
      </c>
      <c r="BI283" s="13">
        <v>137164</v>
      </c>
      <c r="BJ283" s="13">
        <v>1193</v>
      </c>
      <c r="BK283" s="33">
        <v>-84745.697249999997</v>
      </c>
    </row>
    <row r="284" spans="1:63" ht="14.25" x14ac:dyDescent="0.2">
      <c r="A284" s="14">
        <v>934</v>
      </c>
      <c r="B284" s="14" t="s">
        <v>556</v>
      </c>
      <c r="C284" s="14">
        <v>2607</v>
      </c>
      <c r="D284" s="14">
        <v>70</v>
      </c>
      <c r="E284" s="14">
        <v>15</v>
      </c>
      <c r="F284" s="14">
        <v>164</v>
      </c>
      <c r="G284" s="14">
        <v>101</v>
      </c>
      <c r="H284" s="14">
        <v>2257</v>
      </c>
      <c r="I284" s="14">
        <v>1310</v>
      </c>
      <c r="K284" s="29">
        <v>78</v>
      </c>
      <c r="L284" s="29">
        <v>1133</v>
      </c>
      <c r="M284" s="14">
        <v>114.83333333333334</v>
      </c>
      <c r="N284" s="11">
        <v>75</v>
      </c>
      <c r="O284" s="11">
        <v>0</v>
      </c>
      <c r="P284" s="11">
        <v>5</v>
      </c>
      <c r="Q284" s="11">
        <v>0</v>
      </c>
      <c r="R284" s="11">
        <v>0</v>
      </c>
      <c r="S284" s="11">
        <v>287.23</v>
      </c>
      <c r="T284" s="14">
        <v>80</v>
      </c>
      <c r="U284" s="14">
        <v>669</v>
      </c>
      <c r="V284" s="330"/>
      <c r="W284" s="11">
        <v>0.61865000000000003</v>
      </c>
      <c r="X284" s="64">
        <v>927</v>
      </c>
      <c r="Y284" s="64">
        <v>1025</v>
      </c>
      <c r="Z284" s="331">
        <v>0.90878433844597373</v>
      </c>
      <c r="AA284" s="31">
        <v>0</v>
      </c>
      <c r="AB284" s="11">
        <v>0</v>
      </c>
      <c r="AC284" s="11">
        <v>0</v>
      </c>
      <c r="AE284" s="32">
        <v>-70969.134999999995</v>
      </c>
      <c r="AF284" s="13">
        <v>-53480.639999999999</v>
      </c>
      <c r="AG284" s="13">
        <v>63438.521688261397</v>
      </c>
      <c r="AH284" s="13">
        <v>-40449.597883975221</v>
      </c>
      <c r="AI284" s="13">
        <v>6735.776567523877</v>
      </c>
      <c r="AJ284" s="13">
        <v>269532</v>
      </c>
      <c r="AK284" s="13">
        <v>84479</v>
      </c>
      <c r="AL284" s="13">
        <v>192990.46542252702</v>
      </c>
      <c r="AM284" s="13">
        <v>11427.029083337118</v>
      </c>
      <c r="AN284" s="13">
        <v>35994.075537656441</v>
      </c>
      <c r="AO284" s="13">
        <v>114257.76571970747</v>
      </c>
      <c r="AP284" s="13">
        <v>156334.3171932257</v>
      </c>
      <c r="AQ284" s="13">
        <v>279271.34932618582</v>
      </c>
      <c r="AR284" s="13">
        <v>77610.954709396305</v>
      </c>
      <c r="AS284" s="13">
        <v>141793.0574650268</v>
      </c>
      <c r="AT284" s="34"/>
      <c r="AU284" s="13"/>
      <c r="AV284" s="34"/>
      <c r="AW284" s="34"/>
      <c r="AX284" s="34"/>
      <c r="AY284" s="13">
        <v>185169.51761406538</v>
      </c>
      <c r="AZ284" s="13">
        <v>100041.8239323195</v>
      </c>
      <c r="BA284" s="13">
        <v>99038.066528682393</v>
      </c>
      <c r="BB284" s="32">
        <v>387817.17312497686</v>
      </c>
      <c r="BC284" s="33">
        <v>-11289.54567844088</v>
      </c>
      <c r="BD284" s="33">
        <v>-77688.600000000006</v>
      </c>
      <c r="BE284" s="33">
        <v>-29771.94</v>
      </c>
      <c r="BF284" s="14"/>
      <c r="BG284" s="14">
        <v>334698.01895187132</v>
      </c>
      <c r="BH284" s="33">
        <v>1127521.6166499041</v>
      </c>
      <c r="BI284" s="13">
        <v>-776435</v>
      </c>
      <c r="BJ284" s="13">
        <v>611</v>
      </c>
      <c r="BK284" s="33">
        <v>-2983510.7250000001</v>
      </c>
    </row>
    <row r="285" spans="1:63" ht="14.25" x14ac:dyDescent="0.2">
      <c r="A285" s="14">
        <v>935</v>
      </c>
      <c r="B285" s="14" t="s">
        <v>557</v>
      </c>
      <c r="C285" s="14">
        <v>2831</v>
      </c>
      <c r="D285" s="14">
        <v>66</v>
      </c>
      <c r="E285" s="14">
        <v>16</v>
      </c>
      <c r="F285" s="14">
        <v>133</v>
      </c>
      <c r="G285" s="14">
        <v>91</v>
      </c>
      <c r="H285" s="14">
        <v>2525</v>
      </c>
      <c r="I285" s="14">
        <v>1427</v>
      </c>
      <c r="K285" s="29">
        <v>157.75</v>
      </c>
      <c r="L285" s="29">
        <v>1250</v>
      </c>
      <c r="M285" s="14">
        <v>212.16666666666666</v>
      </c>
      <c r="N285" s="11">
        <v>192</v>
      </c>
      <c r="O285" s="11">
        <v>0</v>
      </c>
      <c r="P285" s="11">
        <v>13</v>
      </c>
      <c r="Q285" s="11">
        <v>0</v>
      </c>
      <c r="R285" s="11">
        <v>0</v>
      </c>
      <c r="S285" s="11">
        <v>372.56</v>
      </c>
      <c r="T285" s="14">
        <v>117</v>
      </c>
      <c r="U285" s="14">
        <v>753</v>
      </c>
      <c r="V285" s="330"/>
      <c r="W285" s="11">
        <v>0.64713333333333334</v>
      </c>
      <c r="X285" s="64">
        <v>1010</v>
      </c>
      <c r="Y285" s="64">
        <v>1076</v>
      </c>
      <c r="Z285" s="331">
        <v>0.93970537091863704</v>
      </c>
      <c r="AA285" s="31">
        <v>0</v>
      </c>
      <c r="AB285" s="11">
        <v>0</v>
      </c>
      <c r="AC285" s="11">
        <v>0</v>
      </c>
      <c r="AE285" s="32">
        <v>-97150.238800000006</v>
      </c>
      <c r="AF285" s="13">
        <v>-59301.270000000004</v>
      </c>
      <c r="AG285" s="13">
        <v>151115.48268915692</v>
      </c>
      <c r="AH285" s="13">
        <v>-27894.035948307624</v>
      </c>
      <c r="AI285" s="13">
        <v>16690.265287129077</v>
      </c>
      <c r="AJ285" s="13">
        <v>336888</v>
      </c>
      <c r="AK285" s="13">
        <v>99871</v>
      </c>
      <c r="AL285" s="13">
        <v>256904.24509742271</v>
      </c>
      <c r="AM285" s="13">
        <v>13719.698860165583</v>
      </c>
      <c r="AN285" s="13">
        <v>-12878.79392371824</v>
      </c>
      <c r="AO285" s="13">
        <v>104242.25499510784</v>
      </c>
      <c r="AP285" s="13">
        <v>189902.32915382829</v>
      </c>
      <c r="AQ285" s="13">
        <v>282218.58446444175</v>
      </c>
      <c r="AR285" s="13">
        <v>89919.433987474025</v>
      </c>
      <c r="AS285" s="13">
        <v>149458.78541659366</v>
      </c>
      <c r="AT285" s="34"/>
      <c r="AU285" s="13"/>
      <c r="AV285" s="34"/>
      <c r="AW285" s="34"/>
      <c r="AX285" s="34"/>
      <c r="AY285" s="13">
        <v>206053.36202665238</v>
      </c>
      <c r="AZ285" s="13">
        <v>111771.89112685526</v>
      </c>
      <c r="BA285" s="13">
        <v>113716.88476440294</v>
      </c>
      <c r="BB285" s="32">
        <v>51133.37343081351</v>
      </c>
      <c r="BC285" s="33">
        <v>15340.917986386703</v>
      </c>
      <c r="BD285" s="33">
        <v>-84363.8</v>
      </c>
      <c r="BE285" s="33">
        <v>-32330.02</v>
      </c>
      <c r="BF285" s="14"/>
      <c r="BG285" s="14">
        <v>391727.56629547366</v>
      </c>
      <c r="BH285" s="33">
        <v>960475.81928575388</v>
      </c>
      <c r="BI285" s="13">
        <v>118143</v>
      </c>
      <c r="BJ285" s="13">
        <v>539</v>
      </c>
      <c r="BK285" s="33">
        <v>734049.29</v>
      </c>
    </row>
    <row r="286" spans="1:63" ht="14.25" x14ac:dyDescent="0.2">
      <c r="A286" s="14">
        <v>936</v>
      </c>
      <c r="B286" s="14" t="s">
        <v>558</v>
      </c>
      <c r="C286" s="14">
        <v>6190</v>
      </c>
      <c r="D286" s="14">
        <v>212</v>
      </c>
      <c r="E286" s="14">
        <v>40</v>
      </c>
      <c r="F286" s="14">
        <v>312</v>
      </c>
      <c r="G286" s="14">
        <v>190</v>
      </c>
      <c r="H286" s="14">
        <v>5436</v>
      </c>
      <c r="I286" s="14">
        <v>2924</v>
      </c>
      <c r="K286" s="29">
        <v>224.66666666666666</v>
      </c>
      <c r="L286" s="29">
        <v>2506</v>
      </c>
      <c r="M286" s="14">
        <v>342.08333333333331</v>
      </c>
      <c r="N286" s="11">
        <v>240</v>
      </c>
      <c r="O286" s="11">
        <v>0</v>
      </c>
      <c r="P286" s="11">
        <v>10</v>
      </c>
      <c r="Q286" s="11">
        <v>0</v>
      </c>
      <c r="R286" s="11">
        <v>0</v>
      </c>
      <c r="S286" s="11">
        <v>1162.52</v>
      </c>
      <c r="T286" s="14">
        <v>231</v>
      </c>
      <c r="U286" s="14">
        <v>1485</v>
      </c>
      <c r="V286" s="330"/>
      <c r="W286" s="11">
        <v>1.0767333333333333</v>
      </c>
      <c r="X286" s="64">
        <v>2227</v>
      </c>
      <c r="Y286" s="64">
        <v>2228</v>
      </c>
      <c r="Z286" s="331">
        <v>1.0892096156080879</v>
      </c>
      <c r="AA286" s="31">
        <v>0</v>
      </c>
      <c r="AB286" s="11">
        <v>0</v>
      </c>
      <c r="AC286" s="11">
        <v>0</v>
      </c>
      <c r="AE286" s="32">
        <v>-168071.11499999999</v>
      </c>
      <c r="AF286" s="13">
        <v>-125057.1</v>
      </c>
      <c r="AG286" s="13">
        <v>248642.81072485005</v>
      </c>
      <c r="AH286" s="13">
        <v>-133268.82308771872</v>
      </c>
      <c r="AI286" s="13">
        <v>19230.258832735504</v>
      </c>
      <c r="AJ286" s="13">
        <v>704678</v>
      </c>
      <c r="AK286" s="13">
        <v>221566</v>
      </c>
      <c r="AL286" s="13">
        <v>572270.71669439424</v>
      </c>
      <c r="AM286" s="13">
        <v>29515.069544133108</v>
      </c>
      <c r="AN286" s="13">
        <v>92555.460640051315</v>
      </c>
      <c r="AO286" s="13">
        <v>283008.96376369183</v>
      </c>
      <c r="AP286" s="13">
        <v>392803.36492157291</v>
      </c>
      <c r="AQ286" s="13">
        <v>629761.4540615771</v>
      </c>
      <c r="AR286" s="13">
        <v>183218.23571596757</v>
      </c>
      <c r="AS286" s="13">
        <v>336766.08582241257</v>
      </c>
      <c r="AT286" s="34"/>
      <c r="AU286" s="13"/>
      <c r="AV286" s="34"/>
      <c r="AW286" s="34"/>
      <c r="AX286" s="34"/>
      <c r="AY286" s="13">
        <v>467947.97790871916</v>
      </c>
      <c r="AZ286" s="13">
        <v>253578.6713108691</v>
      </c>
      <c r="BA286" s="13">
        <v>237515.05888186727</v>
      </c>
      <c r="BB286" s="32">
        <v>2013081.7288322644</v>
      </c>
      <c r="BC286" s="33">
        <v>678764.77383592864</v>
      </c>
      <c r="BD286" s="33">
        <v>-184462</v>
      </c>
      <c r="BE286" s="33">
        <v>-70689.8</v>
      </c>
      <c r="BF286" s="14"/>
      <c r="BG286" s="14">
        <v>1043488.3151641221</v>
      </c>
      <c r="BH286" s="33">
        <v>2274594.6448726919</v>
      </c>
      <c r="BI286" s="13">
        <v>595792</v>
      </c>
      <c r="BJ286" s="13">
        <v>1314</v>
      </c>
      <c r="BK286" s="33">
        <v>157152.41250000001</v>
      </c>
    </row>
    <row r="287" spans="1:63" ht="14.25" x14ac:dyDescent="0.2">
      <c r="A287" s="14">
        <v>946</v>
      </c>
      <c r="B287" s="14" t="s">
        <v>559</v>
      </c>
      <c r="C287" s="14">
        <v>6210</v>
      </c>
      <c r="D287" s="14">
        <v>358</v>
      </c>
      <c r="E287" s="14">
        <v>59</v>
      </c>
      <c r="F287" s="14">
        <v>447</v>
      </c>
      <c r="G287" s="14">
        <v>262</v>
      </c>
      <c r="H287" s="14">
        <v>5084</v>
      </c>
      <c r="I287" s="14">
        <v>3161</v>
      </c>
      <c r="K287" s="29">
        <v>160.83333333333334</v>
      </c>
      <c r="L287" s="29">
        <v>2842</v>
      </c>
      <c r="M287" s="14">
        <v>215</v>
      </c>
      <c r="N287" s="11">
        <v>413</v>
      </c>
      <c r="O287" s="11">
        <v>3</v>
      </c>
      <c r="P287" s="11">
        <v>5063</v>
      </c>
      <c r="Q287" s="11">
        <v>3</v>
      </c>
      <c r="R287" s="11">
        <v>490</v>
      </c>
      <c r="S287" s="11">
        <v>782.14</v>
      </c>
      <c r="T287" s="14">
        <v>225</v>
      </c>
      <c r="U287" s="14">
        <v>1793</v>
      </c>
      <c r="V287" s="330"/>
      <c r="W287" s="11">
        <v>0.40866666666666668</v>
      </c>
      <c r="X287" s="64">
        <v>2268</v>
      </c>
      <c r="Y287" s="64">
        <v>2700</v>
      </c>
      <c r="Z287" s="331">
        <v>0.94745742247669407</v>
      </c>
      <c r="AA287" s="31">
        <v>0</v>
      </c>
      <c r="AB287" s="11">
        <v>0</v>
      </c>
      <c r="AC287" s="11">
        <v>0</v>
      </c>
      <c r="AE287" s="32">
        <v>-90517.052500000005</v>
      </c>
      <c r="AF287" s="13">
        <v>-122713.48000000001</v>
      </c>
      <c r="AG287" s="13">
        <v>203622.59700878945</v>
      </c>
      <c r="AH287" s="13">
        <v>-167877.80210431025</v>
      </c>
      <c r="AI287" s="13">
        <v>-33566.595295090694</v>
      </c>
      <c r="AJ287" s="13">
        <v>610295</v>
      </c>
      <c r="AK287" s="13">
        <v>210910</v>
      </c>
      <c r="AL287" s="13">
        <v>522557.84133206314</v>
      </c>
      <c r="AM287" s="13">
        <v>25585.966971632879</v>
      </c>
      <c r="AN287" s="13">
        <v>37399.764542586221</v>
      </c>
      <c r="AO287" s="13">
        <v>185934.44086850021</v>
      </c>
      <c r="AP287" s="13">
        <v>417285.97748930304</v>
      </c>
      <c r="AQ287" s="13">
        <v>673219.1528353889</v>
      </c>
      <c r="AR287" s="13">
        <v>203127.87166159455</v>
      </c>
      <c r="AS287" s="13">
        <v>332366.80782890407</v>
      </c>
      <c r="AT287" s="34"/>
      <c r="AU287" s="13"/>
      <c r="AV287" s="34"/>
      <c r="AW287" s="34"/>
      <c r="AX287" s="34"/>
      <c r="AY287" s="13">
        <v>449223.15251163073</v>
      </c>
      <c r="AZ287" s="13">
        <v>256010.02611588512</v>
      </c>
      <c r="BA287" s="13">
        <v>265918.00279671751</v>
      </c>
      <c r="BB287" s="32">
        <v>-143352.98486907966</v>
      </c>
      <c r="BC287" s="33">
        <v>-26573.333463256386</v>
      </c>
      <c r="BD287" s="33">
        <v>-185058</v>
      </c>
      <c r="BE287" s="33">
        <v>-70918.2</v>
      </c>
      <c r="BF287" s="14"/>
      <c r="BG287" s="14">
        <v>913763.62557163381</v>
      </c>
      <c r="BH287" s="33">
        <v>2222680.7005851064</v>
      </c>
      <c r="BI287" s="13">
        <v>799475</v>
      </c>
      <c r="BJ287" s="13">
        <v>1779</v>
      </c>
      <c r="BK287" s="33">
        <v>-160067.54999999999</v>
      </c>
    </row>
    <row r="288" spans="1:63" ht="14.25" x14ac:dyDescent="0.2">
      <c r="A288" s="14">
        <v>976</v>
      </c>
      <c r="B288" s="14" t="s">
        <v>560</v>
      </c>
      <c r="C288" s="14">
        <v>3721</v>
      </c>
      <c r="D288" s="14">
        <v>110</v>
      </c>
      <c r="E288" s="14">
        <v>28</v>
      </c>
      <c r="F288" s="14">
        <v>151</v>
      </c>
      <c r="G288" s="14">
        <v>122</v>
      </c>
      <c r="H288" s="14">
        <v>3310</v>
      </c>
      <c r="I288" s="14">
        <v>1712</v>
      </c>
      <c r="K288" s="29">
        <v>166.91666666666666</v>
      </c>
      <c r="L288" s="29">
        <v>1480</v>
      </c>
      <c r="M288" s="14">
        <v>253.66666666666666</v>
      </c>
      <c r="N288" s="11">
        <v>150</v>
      </c>
      <c r="O288" s="11">
        <v>0</v>
      </c>
      <c r="P288" s="11">
        <v>25</v>
      </c>
      <c r="Q288" s="11">
        <v>0</v>
      </c>
      <c r="R288" s="11">
        <v>0</v>
      </c>
      <c r="S288" s="11">
        <v>2030.68</v>
      </c>
      <c r="T288" s="14">
        <v>124</v>
      </c>
      <c r="U288" s="14">
        <v>803</v>
      </c>
      <c r="V288" s="330"/>
      <c r="W288" s="11">
        <v>1.7273999999999998</v>
      </c>
      <c r="X288" s="64">
        <v>1138</v>
      </c>
      <c r="Y288" s="64">
        <v>1273</v>
      </c>
      <c r="Z288" s="331">
        <v>0.9807538269372319</v>
      </c>
      <c r="AA288" s="31">
        <v>0</v>
      </c>
      <c r="AB288" s="11">
        <v>0</v>
      </c>
      <c r="AC288" s="11">
        <v>2</v>
      </c>
      <c r="AE288" s="32">
        <v>-95242.686950000003</v>
      </c>
      <c r="AF288" s="13">
        <v>-74726.900000000009</v>
      </c>
      <c r="AG288" s="13">
        <v>188751.6755361323</v>
      </c>
      <c r="AH288" s="13">
        <v>-93855.501618770737</v>
      </c>
      <c r="AI288" s="13">
        <v>51214.598806198919</v>
      </c>
      <c r="AJ288" s="13">
        <v>449076</v>
      </c>
      <c r="AK288" s="13">
        <v>136608</v>
      </c>
      <c r="AL288" s="13">
        <v>360895.7856342601</v>
      </c>
      <c r="AM288" s="13">
        <v>19702.819711007938</v>
      </c>
      <c r="AN288" s="13">
        <v>42803.143431710167</v>
      </c>
      <c r="AO288" s="13">
        <v>150987.586605333</v>
      </c>
      <c r="AP288" s="13">
        <v>227803.8682606217</v>
      </c>
      <c r="AQ288" s="13">
        <v>354584.16249509755</v>
      </c>
      <c r="AR288" s="13">
        <v>106931.08118637609</v>
      </c>
      <c r="AS288" s="13">
        <v>191894.80090218593</v>
      </c>
      <c r="AT288" s="34"/>
      <c r="AU288" s="13"/>
      <c r="AV288" s="34"/>
      <c r="AW288" s="34"/>
      <c r="AX288" s="34"/>
      <c r="AY288" s="13">
        <v>249207.75160512375</v>
      </c>
      <c r="AZ288" s="13">
        <v>136207.87344568915</v>
      </c>
      <c r="BA288" s="13">
        <v>133280.49351190138</v>
      </c>
      <c r="BB288" s="32">
        <v>-127900.7688860496</v>
      </c>
      <c r="BC288" s="33">
        <v>-39538.950707597585</v>
      </c>
      <c r="BD288" s="33">
        <v>-110885.8</v>
      </c>
      <c r="BE288" s="33">
        <v>-42493.82</v>
      </c>
      <c r="BF288" s="14"/>
      <c r="BG288" s="14">
        <v>588320.91406413389</v>
      </c>
      <c r="BH288" s="33">
        <v>1929579.4543904059</v>
      </c>
      <c r="BI288" s="13">
        <v>-642666</v>
      </c>
      <c r="BJ288" s="13">
        <v>733</v>
      </c>
      <c r="BK288" s="33">
        <v>-208865.185</v>
      </c>
    </row>
    <row r="289" spans="1:63" ht="14.25" x14ac:dyDescent="0.2">
      <c r="A289" s="14">
        <v>977</v>
      </c>
      <c r="B289" s="14" t="s">
        <v>561</v>
      </c>
      <c r="C289" s="14">
        <v>15406</v>
      </c>
      <c r="D289" s="14">
        <v>929</v>
      </c>
      <c r="E289" s="14">
        <v>194</v>
      </c>
      <c r="F289" s="14">
        <v>1378</v>
      </c>
      <c r="G289" s="14">
        <v>698</v>
      </c>
      <c r="H289" s="14">
        <v>12207</v>
      </c>
      <c r="I289" s="14">
        <v>8291</v>
      </c>
      <c r="K289" s="29">
        <v>674.33333333333337</v>
      </c>
      <c r="L289" s="29">
        <v>6919</v>
      </c>
      <c r="M289" s="14">
        <v>860.5</v>
      </c>
      <c r="N289" s="11">
        <v>372</v>
      </c>
      <c r="O289" s="11">
        <v>0</v>
      </c>
      <c r="P289" s="11">
        <v>36</v>
      </c>
      <c r="Q289" s="11">
        <v>0</v>
      </c>
      <c r="R289" s="11">
        <v>0</v>
      </c>
      <c r="S289" s="11">
        <v>569.84</v>
      </c>
      <c r="T289" s="14">
        <v>449</v>
      </c>
      <c r="U289" s="14">
        <v>4714</v>
      </c>
      <c r="V289" s="330"/>
      <c r="W289" s="11">
        <v>0</v>
      </c>
      <c r="X289" s="64">
        <v>6863</v>
      </c>
      <c r="Y289" s="64">
        <v>6314</v>
      </c>
      <c r="Z289" s="331">
        <v>1.0467903009310693</v>
      </c>
      <c r="AA289" s="31">
        <v>0.10698522864487359</v>
      </c>
      <c r="AB289" s="11">
        <v>0</v>
      </c>
      <c r="AC289" s="11">
        <v>1</v>
      </c>
      <c r="AE289" s="32">
        <v>-526412.05359999998</v>
      </c>
      <c r="AF289" s="13">
        <v>-293989.84000000003</v>
      </c>
      <c r="AG289" s="13">
        <v>478610.95433419303</v>
      </c>
      <c r="AH289" s="13">
        <v>-346561.79474430496</v>
      </c>
      <c r="AI289" s="13">
        <v>-65371.001639322087</v>
      </c>
      <c r="AJ289" s="13">
        <v>1105522</v>
      </c>
      <c r="AK289" s="13">
        <v>359322</v>
      </c>
      <c r="AL289" s="13">
        <v>800309.07942811528</v>
      </c>
      <c r="AM289" s="13">
        <v>28657.374442731707</v>
      </c>
      <c r="AN289" s="13">
        <v>20607.329696091499</v>
      </c>
      <c r="AO289" s="13">
        <v>400458.42087933258</v>
      </c>
      <c r="AP289" s="13">
        <v>780849.60626651905</v>
      </c>
      <c r="AQ289" s="13">
        <v>1163766.1274462175</v>
      </c>
      <c r="AR289" s="13">
        <v>327230.91446480615</v>
      </c>
      <c r="AS289" s="13">
        <v>644902.14759820374</v>
      </c>
      <c r="AT289" s="34"/>
      <c r="AU289" s="13"/>
      <c r="AV289" s="34"/>
      <c r="AW289" s="34"/>
      <c r="AX289" s="34"/>
      <c r="AY289" s="13">
        <v>865084.07076453511</v>
      </c>
      <c r="AZ289" s="13">
        <v>526249.38962519797</v>
      </c>
      <c r="BA289" s="13">
        <v>505774.69278618722</v>
      </c>
      <c r="BB289" s="32">
        <v>-576692.41300287575</v>
      </c>
      <c r="BC289" s="33">
        <v>-199498.65794829887</v>
      </c>
      <c r="BD289" s="33">
        <v>-459098.8</v>
      </c>
      <c r="BE289" s="33">
        <v>-175936.52</v>
      </c>
      <c r="BF289" s="14"/>
      <c r="BG289" s="14">
        <v>970362.58309059741</v>
      </c>
      <c r="BH289" s="33">
        <v>5837684.2673537703</v>
      </c>
      <c r="BI289" s="13">
        <v>522748</v>
      </c>
      <c r="BJ289" s="13">
        <v>5438</v>
      </c>
      <c r="BK289" s="33">
        <v>459443.33750000002</v>
      </c>
    </row>
    <row r="290" spans="1:63" ht="14.25" x14ac:dyDescent="0.2">
      <c r="A290" s="14">
        <v>980</v>
      </c>
      <c r="B290" s="14" t="s">
        <v>562</v>
      </c>
      <c r="C290" s="14">
        <v>33704</v>
      </c>
      <c r="D290" s="14">
        <v>2205</v>
      </c>
      <c r="E290" s="14">
        <v>404</v>
      </c>
      <c r="F290" s="14">
        <v>2842</v>
      </c>
      <c r="G290" s="14">
        <v>1582</v>
      </c>
      <c r="H290" s="14">
        <v>26671</v>
      </c>
      <c r="I290" s="14">
        <v>18815</v>
      </c>
      <c r="K290" s="29">
        <v>1207.4166666666667</v>
      </c>
      <c r="L290" s="29">
        <v>16423</v>
      </c>
      <c r="M290" s="14">
        <v>1781.5</v>
      </c>
      <c r="N290" s="11">
        <v>1112</v>
      </c>
      <c r="O290" s="11">
        <v>0</v>
      </c>
      <c r="P290" s="11">
        <v>128</v>
      </c>
      <c r="Q290" s="11">
        <v>0</v>
      </c>
      <c r="R290" s="11">
        <v>0</v>
      </c>
      <c r="S290" s="11">
        <v>1115.75</v>
      </c>
      <c r="T290" s="14">
        <v>883</v>
      </c>
      <c r="U290" s="14">
        <v>11250</v>
      </c>
      <c r="V290" s="330"/>
      <c r="W290" s="11">
        <v>0</v>
      </c>
      <c r="X290" s="64">
        <v>10178</v>
      </c>
      <c r="Y290" s="64">
        <v>15252</v>
      </c>
      <c r="Z290" s="331">
        <v>1.0138565621786224</v>
      </c>
      <c r="AA290" s="31">
        <v>0.16971382989020198</v>
      </c>
      <c r="AB290" s="11">
        <v>0</v>
      </c>
      <c r="AC290" s="11">
        <v>1</v>
      </c>
      <c r="AE290" s="32">
        <v>-1049559.7775000001</v>
      </c>
      <c r="AF290" s="13">
        <v>-640691.92000000004</v>
      </c>
      <c r="AG290" s="13">
        <v>1154053.68178936</v>
      </c>
      <c r="AH290" s="13">
        <v>-638319.03431989229</v>
      </c>
      <c r="AI290" s="13">
        <v>-51203.771940951585</v>
      </c>
      <c r="AJ290" s="13">
        <v>2053006</v>
      </c>
      <c r="AK290" s="13">
        <v>651254</v>
      </c>
      <c r="AL290" s="13">
        <v>1314597.2430768656</v>
      </c>
      <c r="AM290" s="13">
        <v>15734.767118453987</v>
      </c>
      <c r="AN290" s="13">
        <v>-104982.75987239247</v>
      </c>
      <c r="AO290" s="13">
        <v>676365.6684635072</v>
      </c>
      <c r="AP290" s="13">
        <v>1370714.8476963241</v>
      </c>
      <c r="AQ290" s="13">
        <v>2239117.9938244843</v>
      </c>
      <c r="AR290" s="13">
        <v>579554.85407649237</v>
      </c>
      <c r="AS290" s="13">
        <v>1144350.8280256304</v>
      </c>
      <c r="AT290" s="34"/>
      <c r="AU290" s="13"/>
      <c r="AV290" s="34"/>
      <c r="AW290" s="34"/>
      <c r="AX290" s="34"/>
      <c r="AY290" s="13">
        <v>1483245.9062719066</v>
      </c>
      <c r="AZ290" s="13">
        <v>972531.0260025009</v>
      </c>
      <c r="BA290" s="13">
        <v>949667.72539643163</v>
      </c>
      <c r="BB290" s="32">
        <v>333869.35435929714</v>
      </c>
      <c r="BC290" s="33">
        <v>-142047.08409410805</v>
      </c>
      <c r="BD290" s="33">
        <v>-1004379.2000000001</v>
      </c>
      <c r="BE290" s="33">
        <v>-384899.68</v>
      </c>
      <c r="BF290" s="14"/>
      <c r="BG290" s="14">
        <v>1563415.4705496356</v>
      </c>
      <c r="BH290" s="33">
        <v>4562288.2424663994</v>
      </c>
      <c r="BI290" s="13">
        <v>-3676999</v>
      </c>
      <c r="BJ290" s="13">
        <v>10890</v>
      </c>
      <c r="BK290" s="33">
        <v>-840884.66249999986</v>
      </c>
    </row>
    <row r="291" spans="1:63" ht="14.25" x14ac:dyDescent="0.2">
      <c r="A291" s="14">
        <v>981</v>
      </c>
      <c r="B291" s="14" t="s">
        <v>563</v>
      </c>
      <c r="C291" s="14">
        <v>2193</v>
      </c>
      <c r="D291" s="14">
        <v>65</v>
      </c>
      <c r="E291" s="14">
        <v>17</v>
      </c>
      <c r="F291" s="14">
        <v>105</v>
      </c>
      <c r="G291" s="14">
        <v>67</v>
      </c>
      <c r="H291" s="14">
        <v>1939</v>
      </c>
      <c r="I291" s="14">
        <v>1204</v>
      </c>
      <c r="K291" s="29">
        <v>91.166666666666671</v>
      </c>
      <c r="L291" s="29">
        <v>1049</v>
      </c>
      <c r="M291" s="14">
        <v>126.83333333333334</v>
      </c>
      <c r="N291" s="11">
        <v>54</v>
      </c>
      <c r="O291" s="11">
        <v>0</v>
      </c>
      <c r="P291" s="11">
        <v>10</v>
      </c>
      <c r="Q291" s="11">
        <v>0</v>
      </c>
      <c r="R291" s="11">
        <v>0</v>
      </c>
      <c r="S291" s="11">
        <v>182.76</v>
      </c>
      <c r="T291" s="14">
        <v>84</v>
      </c>
      <c r="U291" s="14">
        <v>632</v>
      </c>
      <c r="V291" s="330"/>
      <c r="W291" s="11">
        <v>0</v>
      </c>
      <c r="X291" s="64">
        <v>559</v>
      </c>
      <c r="Y291" s="64">
        <v>934</v>
      </c>
      <c r="Z291" s="331">
        <v>0.7802520713928478</v>
      </c>
      <c r="AA291" s="31">
        <v>0</v>
      </c>
      <c r="AB291" s="11">
        <v>0</v>
      </c>
      <c r="AC291" s="11">
        <v>0</v>
      </c>
      <c r="AE291" s="32">
        <v>-66998.053199999995</v>
      </c>
      <c r="AF291" s="13">
        <v>-44451.94</v>
      </c>
      <c r="AG291" s="13">
        <v>135696.79524591466</v>
      </c>
      <c r="AH291" s="13">
        <v>-40841.335959379365</v>
      </c>
      <c r="AI291" s="13">
        <v>-6777.1062925392907</v>
      </c>
      <c r="AJ291" s="13">
        <v>230288</v>
      </c>
      <c r="AK291" s="13">
        <v>80816</v>
      </c>
      <c r="AL291" s="13">
        <v>184290.17484536598</v>
      </c>
      <c r="AM291" s="13">
        <v>9318.7834644181567</v>
      </c>
      <c r="AN291" s="13">
        <v>30796.386826805596</v>
      </c>
      <c r="AO291" s="13">
        <v>74794.232205046443</v>
      </c>
      <c r="AP291" s="13">
        <v>147649.47010495246</v>
      </c>
      <c r="AQ291" s="13">
        <v>237874.01446903648</v>
      </c>
      <c r="AR291" s="13">
        <v>75569.261002839528</v>
      </c>
      <c r="AS291" s="13">
        <v>120196.89413887881</v>
      </c>
      <c r="AT291" s="34"/>
      <c r="AU291" s="13"/>
      <c r="AV291" s="34"/>
      <c r="AW291" s="34"/>
      <c r="AX291" s="34"/>
      <c r="AY291" s="13">
        <v>161708.38760982396</v>
      </c>
      <c r="AZ291" s="13">
        <v>90688.410926738812</v>
      </c>
      <c r="BA291" s="13">
        <v>93877.666750640317</v>
      </c>
      <c r="BB291" s="32">
        <v>660669.82322699786</v>
      </c>
      <c r="BC291" s="33">
        <v>247937.88961482866</v>
      </c>
      <c r="BD291" s="33">
        <v>-65351.4</v>
      </c>
      <c r="BE291" s="33">
        <v>-25044.06</v>
      </c>
      <c r="BF291" s="14"/>
      <c r="BG291" s="14">
        <v>359248.7009591675</v>
      </c>
      <c r="BH291" s="33">
        <v>1146867.3437860694</v>
      </c>
      <c r="BI291" s="13">
        <v>-510497</v>
      </c>
      <c r="BJ291" s="13">
        <v>495</v>
      </c>
      <c r="BK291" s="33">
        <v>-7067</v>
      </c>
    </row>
    <row r="292" spans="1:63" ht="14.25" x14ac:dyDescent="0.2">
      <c r="A292" s="14">
        <v>989</v>
      </c>
      <c r="B292" s="14" t="s">
        <v>564</v>
      </c>
      <c r="C292" s="14">
        <v>5220</v>
      </c>
      <c r="D292" s="14">
        <v>191</v>
      </c>
      <c r="E292" s="14">
        <v>33</v>
      </c>
      <c r="F292" s="14">
        <v>292</v>
      </c>
      <c r="G292" s="14">
        <v>165</v>
      </c>
      <c r="H292" s="14">
        <v>4539</v>
      </c>
      <c r="I292" s="14">
        <v>2512</v>
      </c>
      <c r="K292" s="29">
        <v>197.25</v>
      </c>
      <c r="L292" s="29">
        <v>2136</v>
      </c>
      <c r="M292" s="14">
        <v>288.91666666666669</v>
      </c>
      <c r="N292" s="11">
        <v>154</v>
      </c>
      <c r="O292" s="11">
        <v>0</v>
      </c>
      <c r="P292" s="11">
        <v>5</v>
      </c>
      <c r="Q292" s="11">
        <v>0</v>
      </c>
      <c r="R292" s="11">
        <v>0</v>
      </c>
      <c r="S292" s="11">
        <v>805.79</v>
      </c>
      <c r="T292" s="14">
        <v>198</v>
      </c>
      <c r="U292" s="14">
        <v>1320</v>
      </c>
      <c r="V292" s="330"/>
      <c r="W292" s="11">
        <v>0.91591666666666671</v>
      </c>
      <c r="X292" s="64">
        <v>1811</v>
      </c>
      <c r="Y292" s="64">
        <v>1849</v>
      </c>
      <c r="Z292" s="331">
        <v>0.837123062862692</v>
      </c>
      <c r="AA292" s="31">
        <v>0</v>
      </c>
      <c r="AB292" s="11">
        <v>0</v>
      </c>
      <c r="AC292" s="11">
        <v>0</v>
      </c>
      <c r="AE292" s="32">
        <v>-168664.09529999999</v>
      </c>
      <c r="AF292" s="13">
        <v>-106077.62000000001</v>
      </c>
      <c r="AG292" s="13">
        <v>205006.83251165878</v>
      </c>
      <c r="AH292" s="13">
        <v>-41853.946259107841</v>
      </c>
      <c r="AI292" s="13">
        <v>21139.968869083954</v>
      </c>
      <c r="AJ292" s="13">
        <v>587503</v>
      </c>
      <c r="AK292" s="13">
        <v>170766</v>
      </c>
      <c r="AL292" s="13">
        <v>439282.32789288729</v>
      </c>
      <c r="AM292" s="13">
        <v>22135.671166588105</v>
      </c>
      <c r="AN292" s="13">
        <v>52404.357860216223</v>
      </c>
      <c r="AO292" s="13">
        <v>222121.41562959072</v>
      </c>
      <c r="AP292" s="13">
        <v>338418.62562740437</v>
      </c>
      <c r="AQ292" s="13">
        <v>547995.46165975626</v>
      </c>
      <c r="AR292" s="13">
        <v>160825.00569784379</v>
      </c>
      <c r="AS292" s="13">
        <v>282767.06100177206</v>
      </c>
      <c r="AT292" s="34"/>
      <c r="AU292" s="13"/>
      <c r="AV292" s="34"/>
      <c r="AW292" s="34"/>
      <c r="AX292" s="34"/>
      <c r="AY292" s="13">
        <v>367896.07371783687</v>
      </c>
      <c r="AZ292" s="13">
        <v>207413.0725053919</v>
      </c>
      <c r="BA292" s="13">
        <v>210959.8192559343</v>
      </c>
      <c r="BB292" s="32">
        <v>-955924.69870101451</v>
      </c>
      <c r="BC292" s="33">
        <v>-384883.12970457063</v>
      </c>
      <c r="BD292" s="33">
        <v>-155556</v>
      </c>
      <c r="BE292" s="33">
        <v>-59612.4</v>
      </c>
      <c r="BF292" s="14"/>
      <c r="BG292" s="14">
        <v>670356.53905866155</v>
      </c>
      <c r="BH292" s="33">
        <v>2291009.420068291</v>
      </c>
      <c r="BI292" s="13">
        <v>-102624</v>
      </c>
      <c r="BJ292" s="13">
        <v>1205</v>
      </c>
      <c r="BK292" s="33">
        <v>227168.715</v>
      </c>
    </row>
    <row r="293" spans="1:63" s="12" customFormat="1" ht="14.25" x14ac:dyDescent="0.2">
      <c r="A293" s="14">
        <v>992</v>
      </c>
      <c r="B293" s="14" t="s">
        <v>565</v>
      </c>
      <c r="C293" s="14">
        <v>17740</v>
      </c>
      <c r="D293" s="14">
        <v>742</v>
      </c>
      <c r="E293" s="14">
        <v>152</v>
      </c>
      <c r="F293" s="14">
        <v>1131</v>
      </c>
      <c r="G293" s="14">
        <v>661</v>
      </c>
      <c r="H293" s="14">
        <v>15054</v>
      </c>
      <c r="I293" s="14">
        <v>9210</v>
      </c>
      <c r="K293" s="29">
        <v>1091.4166666666667</v>
      </c>
      <c r="L293" s="29">
        <v>7698</v>
      </c>
      <c r="M293" s="14">
        <v>1581.4166666666667</v>
      </c>
      <c r="N293" s="11">
        <v>604</v>
      </c>
      <c r="O293" s="11">
        <v>0</v>
      </c>
      <c r="P293" s="11">
        <v>16</v>
      </c>
      <c r="Q293" s="11">
        <v>0</v>
      </c>
      <c r="R293" s="11">
        <v>0</v>
      </c>
      <c r="S293" s="11">
        <v>884.61</v>
      </c>
      <c r="T293" s="14">
        <v>624</v>
      </c>
      <c r="U293" s="14">
        <v>4847</v>
      </c>
      <c r="V293" s="330"/>
      <c r="W293" s="11">
        <v>0</v>
      </c>
      <c r="X293" s="64">
        <v>6839</v>
      </c>
      <c r="Y293" s="64">
        <v>6335</v>
      </c>
      <c r="Z293" s="332">
        <v>0.99354146831529055</v>
      </c>
      <c r="AA293" s="31">
        <v>0</v>
      </c>
      <c r="AB293" s="11">
        <v>0</v>
      </c>
      <c r="AC293" s="11">
        <v>7</v>
      </c>
      <c r="AD293" s="11"/>
      <c r="AE293" s="32">
        <v>-959518.05605000001</v>
      </c>
      <c r="AF293" s="13">
        <v>-356864.17000000004</v>
      </c>
      <c r="AG293" s="13">
        <v>1316622.2153600371</v>
      </c>
      <c r="AH293" s="13">
        <v>-197373.39738880761</v>
      </c>
      <c r="AI293" s="13">
        <v>69821.736105922551</v>
      </c>
      <c r="AJ293" s="13">
        <v>1489761</v>
      </c>
      <c r="AK293" s="13">
        <v>450815</v>
      </c>
      <c r="AL293" s="13">
        <v>1034431.5246544537</v>
      </c>
      <c r="AM293" s="13">
        <v>34021.999037244925</v>
      </c>
      <c r="AN293" s="13">
        <v>135664.67047937264</v>
      </c>
      <c r="AO293" s="13">
        <v>556663.57746332732</v>
      </c>
      <c r="AP293" s="13">
        <v>843413.52155879419</v>
      </c>
      <c r="AQ293" s="13">
        <v>1444256.7380260613</v>
      </c>
      <c r="AR293" s="13">
        <v>394204.05797371245</v>
      </c>
      <c r="AS293" s="13">
        <v>828688.6681711307</v>
      </c>
      <c r="AT293" s="34"/>
      <c r="AU293" s="13"/>
      <c r="AV293" s="34"/>
      <c r="AW293" s="34"/>
      <c r="AX293" s="34"/>
      <c r="AY293" s="13">
        <v>973055.88979308982</v>
      </c>
      <c r="AZ293" s="13">
        <v>591895.7314762501</v>
      </c>
      <c r="BA293" s="13">
        <v>568790.03639861813</v>
      </c>
      <c r="BB293" s="32">
        <v>-217370.51605603099</v>
      </c>
      <c r="BC293" s="33">
        <v>-5108.2668890914465</v>
      </c>
      <c r="BD293" s="33">
        <v>-528652</v>
      </c>
      <c r="BE293" s="33">
        <v>-202590.8</v>
      </c>
      <c r="BF293" s="14"/>
      <c r="BG293" s="14">
        <v>1489132.302642779</v>
      </c>
      <c r="BH293" s="33">
        <v>3507342.9093162385</v>
      </c>
      <c r="BI293" s="13">
        <v>-20798</v>
      </c>
      <c r="BJ293" s="13">
        <v>4736</v>
      </c>
      <c r="BK293" s="13">
        <v>-36342.047500000044</v>
      </c>
    </row>
    <row r="294" spans="1:63" x14ac:dyDescent="0.2">
      <c r="AI294" s="13"/>
      <c r="BK294" s="14"/>
    </row>
    <row r="295" spans="1:63" x14ac:dyDescent="0.2">
      <c r="C295" s="14"/>
      <c r="D295" s="14"/>
      <c r="E295" s="14"/>
      <c r="F295" s="14"/>
      <c r="G295" s="14"/>
      <c r="H295" s="14"/>
      <c r="I295" s="14"/>
      <c r="K295" s="14"/>
      <c r="L295" s="14"/>
      <c r="M295" s="14"/>
      <c r="N295" s="14"/>
      <c r="O295" s="14"/>
      <c r="P295" s="14"/>
      <c r="Q295" s="14"/>
      <c r="R295" s="14"/>
      <c r="S295" s="14"/>
      <c r="T295" s="14"/>
      <c r="U295" s="14"/>
      <c r="V295" s="14"/>
      <c r="W295" s="14"/>
      <c r="X295" s="14"/>
      <c r="Y295" s="14"/>
      <c r="Z295" s="14"/>
      <c r="AA295" s="14"/>
      <c r="AB295" s="14"/>
      <c r="AC295" s="14"/>
      <c r="AD295" s="14"/>
      <c r="AE295" s="14"/>
      <c r="AF295" s="14"/>
      <c r="AG295" s="14"/>
      <c r="AH295" s="14"/>
      <c r="AI295" s="14"/>
      <c r="AJ295" s="14"/>
      <c r="AK295" s="14"/>
      <c r="AL295" s="14"/>
      <c r="AM295" s="14"/>
      <c r="AN295" s="14"/>
      <c r="AO295" s="14"/>
      <c r="AP295" s="14"/>
      <c r="AQ295" s="14"/>
      <c r="AR295" s="14"/>
      <c r="AS295" s="14"/>
      <c r="AT295" s="28"/>
      <c r="AU295" s="14"/>
      <c r="AV295" s="28"/>
      <c r="AW295" s="28"/>
      <c r="AX295" s="28"/>
      <c r="AY295" s="14"/>
      <c r="AZ295" s="14"/>
      <c r="BA295" s="14"/>
      <c r="BF295" s="14"/>
      <c r="BG295" s="14"/>
      <c r="BH295" s="14"/>
      <c r="BI295" s="14"/>
      <c r="BJ295" s="14"/>
    </row>
  </sheetData>
  <autoFilter ref="A1:BK1" xr:uid="{58BCD0D0-7FAF-4388-B373-4F51F89B0C17}">
    <sortState xmlns:xlrd2="http://schemas.microsoft.com/office/spreadsheetml/2017/richdata2" ref="A2:BK293">
      <sortCondition ref="B1"/>
    </sortState>
  </autoFilter>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804D5-BDB6-493D-9098-735852B190D6}">
  <sheetPr>
    <tabColor theme="6"/>
    <pageSetUpPr fitToPage="1"/>
  </sheetPr>
  <dimension ref="A1:L19"/>
  <sheetViews>
    <sheetView topLeftCell="A37" zoomScaleNormal="100" workbookViewId="0">
      <selection activeCell="U14" sqref="U14"/>
    </sheetView>
  </sheetViews>
  <sheetFormatPr defaultColWidth="9.140625" defaultRowHeight="12.75" x14ac:dyDescent="0.2"/>
  <cols>
    <col min="1" max="8" width="9.140625" style="6"/>
    <col min="9" max="9" width="13.28515625" style="6" customWidth="1"/>
    <col min="10" max="10" width="9.140625" style="6"/>
    <col min="11" max="11" width="10.7109375" style="6" customWidth="1"/>
    <col min="12" max="12" width="3.5703125" style="6" customWidth="1"/>
    <col min="13" max="13" width="1.42578125" style="6" customWidth="1"/>
    <col min="14" max="16384" width="9.140625" style="6"/>
  </cols>
  <sheetData>
    <row r="1" spans="1:12" x14ac:dyDescent="0.2">
      <c r="A1" s="7"/>
      <c r="L1" s="7"/>
    </row>
    <row r="2" spans="1:12" x14ac:dyDescent="0.2">
      <c r="A2" s="7"/>
      <c r="L2" s="7"/>
    </row>
    <row r="19" spans="1:12" x14ac:dyDescent="0.2">
      <c r="A19" s="8"/>
      <c r="L19" s="8"/>
    </row>
  </sheetData>
  <sheetProtection sheet="1"/>
  <pageMargins left="0.25" right="0.25" top="0.75" bottom="0.75" header="0.3" footer="0.3"/>
  <pageSetup paperSize="9" scale="90"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D7B91-9DE4-4B09-8387-B040F9CFA559}">
  <sheetPr>
    <tabColor rgb="FFFF0000"/>
    <pageSetUpPr fitToPage="1"/>
  </sheetPr>
  <dimension ref="A1:AK105"/>
  <sheetViews>
    <sheetView tabSelected="1" zoomScaleNormal="100" zoomScaleSheetLayoutView="100" workbookViewId="0">
      <selection activeCell="G10" sqref="G10:H10"/>
    </sheetView>
  </sheetViews>
  <sheetFormatPr defaultColWidth="9.140625" defaultRowHeight="12.75" x14ac:dyDescent="0.2"/>
  <cols>
    <col min="1" max="5" width="1.5703125" style="36" customWidth="1"/>
    <col min="6" max="6" width="9.7109375" style="36" customWidth="1"/>
    <col min="7" max="7" width="10.28515625" style="36" customWidth="1"/>
    <col min="8" max="8" width="17.42578125" style="36" customWidth="1"/>
    <col min="9" max="9" width="15.7109375" style="36" customWidth="1"/>
    <col min="10" max="10" width="11.7109375" style="36" customWidth="1"/>
    <col min="11" max="11" width="26.7109375" style="36" customWidth="1"/>
    <col min="12" max="12" width="15" style="36" bestFit="1" customWidth="1"/>
    <col min="13" max="13" width="13.140625" style="36" bestFit="1" customWidth="1"/>
    <col min="14" max="14" width="2" style="36" customWidth="1"/>
    <col min="15" max="15" width="2.140625" style="119" customWidth="1"/>
    <col min="16" max="16" width="4" style="36" customWidth="1"/>
    <col min="17" max="17" width="16.28515625" style="36" customWidth="1"/>
    <col min="18" max="18" width="5.42578125" style="36" bestFit="1" customWidth="1"/>
    <col min="19" max="19" width="65.140625" style="36" bestFit="1" customWidth="1"/>
    <col min="20" max="20" width="9.5703125" style="36" customWidth="1"/>
    <col min="21" max="21" width="10.5703125" style="36" bestFit="1" customWidth="1"/>
    <col min="22" max="36" width="9.28515625" style="36" bestFit="1" customWidth="1"/>
    <col min="37" max="16384" width="9.140625" style="36"/>
  </cols>
  <sheetData>
    <row r="1" spans="1:22" ht="17.25" customHeight="1" x14ac:dyDescent="0.4">
      <c r="A1" s="172" t="s">
        <v>688</v>
      </c>
      <c r="C1" s="172"/>
      <c r="D1" s="172"/>
      <c r="E1" s="172"/>
      <c r="I1" s="172"/>
      <c r="T1" s="324"/>
      <c r="U1"/>
      <c r="V1"/>
    </row>
    <row r="2" spans="1:22" ht="15.75" x14ac:dyDescent="0.3">
      <c r="A2" s="172" t="s">
        <v>689</v>
      </c>
      <c r="C2" s="172"/>
      <c r="D2" s="172"/>
      <c r="E2" s="172"/>
      <c r="I2" s="172"/>
      <c r="T2" s="309"/>
      <c r="U2"/>
      <c r="V2"/>
    </row>
    <row r="3" spans="1:22" ht="30.75" x14ac:dyDescent="0.45">
      <c r="B3" s="370" t="s">
        <v>7</v>
      </c>
      <c r="C3" s="371"/>
      <c r="D3" s="371"/>
      <c r="E3" s="371"/>
      <c r="F3" s="371"/>
      <c r="G3" s="371"/>
      <c r="H3" s="371"/>
      <c r="I3" s="371"/>
      <c r="J3" s="371"/>
      <c r="K3" s="371"/>
      <c r="L3" s="371"/>
      <c r="M3" s="372"/>
      <c r="S3" s="41"/>
      <c r="T3" s="341"/>
      <c r="U3"/>
      <c r="V3"/>
    </row>
    <row r="4" spans="1:22" ht="15" x14ac:dyDescent="0.3">
      <c r="D4" s="37" t="s">
        <v>8</v>
      </c>
      <c r="S4" s="335"/>
      <c r="T4" s="333"/>
      <c r="U4"/>
      <c r="V4"/>
    </row>
    <row r="5" spans="1:22" ht="15" x14ac:dyDescent="0.3">
      <c r="F5" s="38"/>
      <c r="G5" s="39" t="s">
        <v>603</v>
      </c>
      <c r="S5" s="336"/>
      <c r="T5" s="333"/>
      <c r="U5"/>
      <c r="V5"/>
    </row>
    <row r="6" spans="1:22" ht="15" x14ac:dyDescent="0.3">
      <c r="F6" s="207"/>
      <c r="G6" s="39" t="s">
        <v>604</v>
      </c>
      <c r="S6" s="337"/>
      <c r="T6" s="333"/>
      <c r="U6"/>
      <c r="V6"/>
    </row>
    <row r="7" spans="1:22" ht="15" x14ac:dyDescent="0.3">
      <c r="F7" s="39"/>
      <c r="G7" s="39"/>
      <c r="S7" s="338"/>
      <c r="T7" s="334"/>
      <c r="U7"/>
      <c r="V7"/>
    </row>
    <row r="8" spans="1:22" ht="15" x14ac:dyDescent="0.3">
      <c r="D8" s="40" t="s">
        <v>576</v>
      </c>
      <c r="S8" s="339"/>
      <c r="T8" s="333"/>
      <c r="U8"/>
      <c r="V8"/>
    </row>
    <row r="9" spans="1:22" x14ac:dyDescent="0.2">
      <c r="S9" s="340"/>
      <c r="T9" s="333"/>
      <c r="U9"/>
      <c r="V9"/>
    </row>
    <row r="10" spans="1:22" ht="16.5" x14ac:dyDescent="0.3">
      <c r="B10" s="41" t="s">
        <v>9</v>
      </c>
      <c r="F10" s="42"/>
      <c r="G10" s="373" t="s">
        <v>281</v>
      </c>
      <c r="H10" s="374"/>
      <c r="I10" s="43" t="s">
        <v>11</v>
      </c>
      <c r="T10" s="60"/>
      <c r="U10" s="60"/>
      <c r="V10" s="60"/>
    </row>
    <row r="11" spans="1:22" ht="16.5" x14ac:dyDescent="0.3">
      <c r="B11" s="41" t="s">
        <v>12</v>
      </c>
      <c r="H11" s="44">
        <f>INDEX(vosC,MATCH($G$10,kunta,0),1,1)</f>
        <v>16387</v>
      </c>
      <c r="I11" s="40"/>
      <c r="T11" s="60"/>
      <c r="U11" s="325"/>
      <c r="V11" s="325"/>
    </row>
    <row r="12" spans="1:22" ht="15" x14ac:dyDescent="0.25">
      <c r="B12" s="45"/>
      <c r="C12" s="45"/>
      <c r="D12" s="45"/>
      <c r="E12" s="45"/>
      <c r="M12" s="78"/>
      <c r="T12" s="60"/>
      <c r="U12" s="325"/>
      <c r="V12" s="325"/>
    </row>
    <row r="13" spans="1:22" ht="18.75" x14ac:dyDescent="0.3">
      <c r="B13" s="46" t="s">
        <v>13</v>
      </c>
      <c r="L13" s="40"/>
      <c r="M13" s="76"/>
      <c r="T13" s="60"/>
      <c r="U13" s="325"/>
      <c r="V13" s="325"/>
    </row>
    <row r="14" spans="1:22" ht="15.75" x14ac:dyDescent="0.3">
      <c r="B14" s="41" t="s">
        <v>14</v>
      </c>
      <c r="L14" s="40"/>
      <c r="M14" s="76"/>
      <c r="T14" s="60"/>
      <c r="U14" s="325"/>
      <c r="V14" s="325"/>
    </row>
    <row r="15" spans="1:22" ht="15.75" x14ac:dyDescent="0.3">
      <c r="B15" s="47" t="s">
        <v>661</v>
      </c>
      <c r="C15" s="41"/>
      <c r="D15" s="41"/>
      <c r="E15" s="41"/>
      <c r="L15" s="40" t="s">
        <v>15</v>
      </c>
      <c r="M15" s="40" t="s">
        <v>16</v>
      </c>
      <c r="T15" s="60"/>
      <c r="U15" s="325"/>
      <c r="V15" s="325"/>
    </row>
    <row r="16" spans="1:22" ht="15.75" x14ac:dyDescent="0.3">
      <c r="P16" s="120"/>
      <c r="Q16" s="121" t="s">
        <v>18</v>
      </c>
      <c r="R16" s="122"/>
      <c r="T16" s="60"/>
      <c r="U16" s="325"/>
      <c r="V16" s="325"/>
    </row>
    <row r="17" spans="4:22" ht="15.75" x14ac:dyDescent="0.3">
      <c r="D17" s="36" t="s">
        <v>17</v>
      </c>
      <c r="L17" s="263">
        <f>'3.Ikärakenne'!H21</f>
        <v>28179638.400000002</v>
      </c>
      <c r="M17" s="264">
        <f>L17/$H$11</f>
        <v>1719.6337584670778</v>
      </c>
      <c r="P17" s="123"/>
      <c r="Q17" s="124" t="s">
        <v>20</v>
      </c>
      <c r="R17" s="125"/>
      <c r="T17" s="60"/>
      <c r="U17" s="325"/>
      <c r="V17" s="325"/>
    </row>
    <row r="18" spans="4:22" ht="16.5" thickBot="1" x14ac:dyDescent="0.35">
      <c r="D18" s="48" t="s">
        <v>19</v>
      </c>
      <c r="E18" s="48"/>
      <c r="F18" s="48"/>
      <c r="G18" s="48"/>
      <c r="H18" s="48"/>
      <c r="I18" s="48"/>
      <c r="J18" s="100"/>
      <c r="K18" s="126"/>
      <c r="L18" s="265">
        <f>'4.Muut lask. kustannukset'!I74</f>
        <v>3586409.7678450621</v>
      </c>
      <c r="M18" s="266">
        <f>L18/$H$11</f>
        <v>218.85700664215915</v>
      </c>
      <c r="P18" s="127"/>
      <c r="Q18" s="128">
        <v>0.25819999999999999</v>
      </c>
      <c r="R18" s="129"/>
      <c r="T18" s="60"/>
      <c r="U18" s="325"/>
      <c r="V18" s="325"/>
    </row>
    <row r="19" spans="4:22" ht="16.5" thickTop="1" x14ac:dyDescent="0.3">
      <c r="D19" s="36" t="s">
        <v>21</v>
      </c>
      <c r="J19" s="99"/>
      <c r="K19" s="78"/>
      <c r="L19" s="222">
        <f>SUM(L17:L18)</f>
        <v>31766048.167845063</v>
      </c>
      <c r="M19" s="264">
        <f>L19/$H$11</f>
        <v>1938.4907651092367</v>
      </c>
      <c r="P19" s="131"/>
      <c r="Q19" s="132" t="s">
        <v>22</v>
      </c>
      <c r="R19" s="133"/>
      <c r="T19" s="60"/>
      <c r="U19" s="325"/>
      <c r="V19" s="325"/>
    </row>
    <row r="20" spans="4:22" ht="16.5" thickBot="1" x14ac:dyDescent="0.35">
      <c r="D20" s="48" t="s">
        <v>686</v>
      </c>
      <c r="E20" s="48"/>
      <c r="F20" s="48"/>
      <c r="G20" s="48"/>
      <c r="H20" s="48"/>
      <c r="I20" s="48"/>
      <c r="J20" s="208">
        <v>-1548.79</v>
      </c>
      <c r="K20" s="85" t="s">
        <v>23</v>
      </c>
      <c r="L20" s="265">
        <f>$J$20*$H$11</f>
        <v>-25380021.73</v>
      </c>
      <c r="M20" s="266">
        <f>L20/$H$11</f>
        <v>-1548.79</v>
      </c>
      <c r="P20" s="134"/>
      <c r="Q20" s="135" t="s">
        <v>20</v>
      </c>
      <c r="R20" s="136"/>
      <c r="T20" s="326"/>
      <c r="U20" s="326"/>
      <c r="V20" s="326"/>
    </row>
    <row r="21" spans="4:22" s="41" customFormat="1" ht="16.5" thickTop="1" x14ac:dyDescent="0.3">
      <c r="D21" s="41" t="s">
        <v>687</v>
      </c>
      <c r="J21" s="37"/>
      <c r="K21" s="37"/>
      <c r="L21" s="251">
        <f>L19+L20</f>
        <v>6386026.4378450625</v>
      </c>
      <c r="M21" s="267">
        <f>L21/$H$11</f>
        <v>389.70076510923673</v>
      </c>
      <c r="P21" s="137"/>
      <c r="Q21" s="138">
        <f>L21/L19</f>
        <v>0.20103307796118211</v>
      </c>
      <c r="R21" s="139"/>
      <c r="T21" s="36"/>
      <c r="U21" s="326"/>
      <c r="V21" s="326"/>
    </row>
    <row r="22" spans="4:22" s="41" customFormat="1" ht="15.75" x14ac:dyDescent="0.3">
      <c r="J22" s="37"/>
      <c r="K22" s="37"/>
      <c r="L22" s="251"/>
      <c r="M22" s="267"/>
      <c r="T22" s="36"/>
      <c r="U22" s="326"/>
      <c r="V22" s="326"/>
    </row>
    <row r="23" spans="4:22" x14ac:dyDescent="0.2">
      <c r="D23" s="41" t="s">
        <v>24</v>
      </c>
      <c r="L23" s="268">
        <f>'5.Lisäosat'!J47</f>
        <v>470123.21774537221</v>
      </c>
      <c r="M23" s="267">
        <f>L23/$H$11</f>
        <v>28.688790977321791</v>
      </c>
      <c r="V23" s="41"/>
    </row>
    <row r="24" spans="4:22" x14ac:dyDescent="0.2">
      <c r="D24" s="41"/>
      <c r="L24" s="269"/>
      <c r="M24" s="267"/>
      <c r="O24" s="36"/>
      <c r="T24" s="41"/>
      <c r="U24" s="323"/>
    </row>
    <row r="25" spans="4:22" ht="15" x14ac:dyDescent="0.2">
      <c r="D25" s="41" t="s">
        <v>25</v>
      </c>
      <c r="L25" s="270">
        <f>'6.Vähennykset ja lisäykset'!H34</f>
        <v>-5898210.2801817888</v>
      </c>
      <c r="M25" s="267">
        <f>L25/$H$11</f>
        <v>-359.93228047731668</v>
      </c>
      <c r="O25" s="140"/>
      <c r="T25" s="41"/>
      <c r="U25" s="323"/>
    </row>
    <row r="26" spans="4:22" ht="15" x14ac:dyDescent="0.3">
      <c r="G26" s="40" t="s">
        <v>569</v>
      </c>
      <c r="I26" s="42"/>
      <c r="J26" s="42"/>
      <c r="K26" s="42"/>
      <c r="L26" s="271"/>
      <c r="M26" s="264"/>
      <c r="N26" s="42"/>
      <c r="O26" s="141"/>
      <c r="P26" s="42"/>
      <c r="Q26" s="42"/>
      <c r="U26" s="130"/>
    </row>
    <row r="27" spans="4:22" ht="15" x14ac:dyDescent="0.3">
      <c r="G27" s="40" t="s">
        <v>147</v>
      </c>
      <c r="H27" s="40"/>
      <c r="I27" s="40"/>
      <c r="J27" s="40"/>
      <c r="K27" s="40"/>
      <c r="L27" s="272">
        <f>INDEX(vl_sote_muutosrajoitin,MATCH($G$10,kunta,0),1,1)</f>
        <v>-2785117.3322464745</v>
      </c>
      <c r="M27" s="264">
        <f>L27/$H$11</f>
        <v>-169.95895113483093</v>
      </c>
      <c r="O27" s="40" t="s">
        <v>570</v>
      </c>
      <c r="U27" s="130"/>
    </row>
    <row r="28" spans="4:22" ht="15" x14ac:dyDescent="0.3">
      <c r="G28" s="40" t="s">
        <v>571</v>
      </c>
      <c r="H28" s="40"/>
      <c r="I28" s="40"/>
      <c r="J28" s="40"/>
      <c r="K28" s="40"/>
      <c r="L28" s="272">
        <f>INDEX(vl_sote_järjestelmämuutoksen_tasaus,MATCH($G$10,kunta,0),1,1)</f>
        <v>-1928333.1933880118</v>
      </c>
      <c r="M28" s="264">
        <f>L28/$H$11</f>
        <v>-117.67457090303361</v>
      </c>
      <c r="O28" s="141" t="s">
        <v>572</v>
      </c>
    </row>
    <row r="29" spans="4:22" ht="15" x14ac:dyDescent="0.3">
      <c r="G29" s="49" t="s">
        <v>26</v>
      </c>
      <c r="H29" s="40"/>
      <c r="I29" s="40"/>
      <c r="J29" s="40"/>
      <c r="K29" s="40"/>
      <c r="L29" s="272">
        <f>INDEX(vl_sote_lisäsiirto2023,MATCH($G$10,kunta,0),1,1)</f>
        <v>-488332.60000000003</v>
      </c>
      <c r="M29" s="264">
        <f t="shared" ref="M29:M30" si="0">L29/$H$11</f>
        <v>-29.8</v>
      </c>
      <c r="O29" s="141" t="s">
        <v>573</v>
      </c>
    </row>
    <row r="30" spans="4:22" ht="15" x14ac:dyDescent="0.3">
      <c r="G30" s="49" t="s">
        <v>27</v>
      </c>
      <c r="H30" s="40"/>
      <c r="I30" s="40"/>
      <c r="J30" s="40"/>
      <c r="K30" s="40"/>
      <c r="L30" s="272">
        <f>INDEX(vl_sote_lisäsiirto2024,MATCH($G$10,kunta,0),1,1)</f>
        <v>-187139.54</v>
      </c>
      <c r="M30" s="264">
        <f t="shared" si="0"/>
        <v>-11.42</v>
      </c>
      <c r="O30" s="141" t="s">
        <v>573</v>
      </c>
    </row>
    <row r="31" spans="4:22" ht="15" x14ac:dyDescent="0.3">
      <c r="G31" s="49"/>
      <c r="H31" s="40"/>
      <c r="I31" s="40"/>
      <c r="J31" s="40"/>
      <c r="K31" s="40"/>
      <c r="L31" s="264"/>
      <c r="M31" s="264"/>
      <c r="O31" s="141"/>
    </row>
    <row r="32" spans="4:22" ht="15" x14ac:dyDescent="0.3">
      <c r="D32" s="41" t="s">
        <v>28</v>
      </c>
      <c r="E32" s="41"/>
      <c r="L32" s="251">
        <f>SUM(L21:L25)</f>
        <v>957939.37540864572</v>
      </c>
      <c r="M32" s="267">
        <f>L32/$H$11</f>
        <v>58.457275609241819</v>
      </c>
      <c r="O32" s="141"/>
    </row>
    <row r="33" spans="1:22" ht="15" x14ac:dyDescent="0.3">
      <c r="C33" s="41"/>
      <c r="D33" s="41"/>
      <c r="E33" s="41"/>
      <c r="L33" s="251"/>
      <c r="M33" s="267"/>
      <c r="O33" s="141"/>
    </row>
    <row r="34" spans="1:22" ht="15" x14ac:dyDescent="0.3">
      <c r="D34" s="41" t="s">
        <v>568</v>
      </c>
      <c r="L34" s="273">
        <f>INDEX(verotuloihin_perustuva_vos_tasaus,MATCH($G$10,kunta,0),1,1)</f>
        <v>6747448.8939143568</v>
      </c>
      <c r="M34" s="267">
        <f>L34/$H$11</f>
        <v>411.75620271644334</v>
      </c>
      <c r="O34" s="141"/>
    </row>
    <row r="35" spans="1:22" ht="15.75" thickBot="1" x14ac:dyDescent="0.35">
      <c r="B35" s="48"/>
      <c r="C35" s="48"/>
      <c r="D35" s="48"/>
      <c r="E35" s="48"/>
      <c r="F35" s="48"/>
      <c r="G35" s="48"/>
      <c r="H35" s="48"/>
      <c r="I35" s="48"/>
      <c r="J35" s="48"/>
      <c r="K35" s="48"/>
      <c r="L35" s="274"/>
      <c r="M35" s="266"/>
      <c r="O35" s="40"/>
    </row>
    <row r="36" spans="1:22" s="50" customFormat="1" ht="16.5" thickTop="1" x14ac:dyDescent="0.3">
      <c r="A36" s="41"/>
      <c r="B36" s="209" t="s">
        <v>29</v>
      </c>
      <c r="C36" s="41"/>
      <c r="D36" s="41"/>
      <c r="E36" s="41"/>
      <c r="F36" s="41"/>
      <c r="G36" s="41"/>
      <c r="H36" s="41"/>
      <c r="I36" s="41"/>
      <c r="J36" s="41"/>
      <c r="K36" s="41"/>
      <c r="L36" s="251">
        <f>L32+L34</f>
        <v>7705388.2693230025</v>
      </c>
      <c r="M36" s="267">
        <f>L36/$H$11</f>
        <v>470.21347832568517</v>
      </c>
      <c r="N36" s="41"/>
      <c r="O36" s="210" t="s">
        <v>602</v>
      </c>
      <c r="T36" s="36"/>
      <c r="U36" s="36"/>
      <c r="V36" s="36"/>
    </row>
    <row r="37" spans="1:22" s="60" customFormat="1" ht="15" x14ac:dyDescent="0.25">
      <c r="A37" s="36"/>
      <c r="B37" s="41"/>
      <c r="C37" s="41"/>
      <c r="D37" s="41"/>
      <c r="E37" s="41"/>
      <c r="F37" s="41"/>
      <c r="G37" s="41"/>
      <c r="H37" s="41"/>
      <c r="I37" s="41"/>
      <c r="J37" s="36"/>
      <c r="K37" s="36"/>
      <c r="L37" s="222"/>
      <c r="M37" s="264"/>
      <c r="N37" s="36"/>
      <c r="O37" s="119"/>
      <c r="T37" s="36"/>
      <c r="U37" s="36"/>
      <c r="V37" s="50"/>
    </row>
    <row r="38" spans="1:22" s="50" customFormat="1" ht="15.75" x14ac:dyDescent="0.3">
      <c r="A38" s="41"/>
      <c r="B38" s="209" t="s">
        <v>30</v>
      </c>
      <c r="C38" s="41"/>
      <c r="D38" s="41"/>
      <c r="E38" s="41"/>
      <c r="F38" s="41"/>
      <c r="G38" s="41"/>
      <c r="H38" s="41"/>
      <c r="I38" s="41"/>
      <c r="J38" s="41"/>
      <c r="K38" s="41"/>
      <c r="L38" s="251">
        <f>INDEX(OKMvos,MATCH($G$10,kunta,0),1,1)</f>
        <v>-2238648</v>
      </c>
      <c r="M38" s="267">
        <f>L38/$H$11</f>
        <v>-136.61121620796973</v>
      </c>
      <c r="N38" s="41"/>
      <c r="O38" s="37" t="s">
        <v>580</v>
      </c>
      <c r="T38" s="36"/>
      <c r="U38" s="36"/>
      <c r="V38" s="60"/>
    </row>
    <row r="39" spans="1:22" ht="15" customHeight="1" x14ac:dyDescent="0.3">
      <c r="D39" s="41"/>
      <c r="E39" s="41"/>
      <c r="L39" s="222"/>
      <c r="M39" s="222"/>
      <c r="O39" s="142"/>
      <c r="Q39" s="143"/>
      <c r="T39" s="50"/>
      <c r="U39" s="50"/>
      <c r="V39" s="50"/>
    </row>
    <row r="40" spans="1:22" s="51" customFormat="1" ht="14.45" customHeight="1" x14ac:dyDescent="0.3">
      <c r="A40" s="36"/>
      <c r="B40" s="36" t="s">
        <v>701</v>
      </c>
      <c r="C40" s="41"/>
      <c r="D40" s="36"/>
      <c r="E40" s="41"/>
      <c r="F40" s="36"/>
      <c r="G40" s="36"/>
      <c r="H40" s="36"/>
      <c r="I40" s="36"/>
      <c r="J40" s="36"/>
      <c r="K40" s="36"/>
      <c r="L40" s="275">
        <f>('7.OKM-vos'!K91)</f>
        <v>-4987253.6320000002</v>
      </c>
      <c r="M40" s="264">
        <f>L40/$H$11</f>
        <v>-304.34207798864958</v>
      </c>
      <c r="N40" s="36"/>
      <c r="O40" s="141" t="s">
        <v>31</v>
      </c>
      <c r="T40" s="60"/>
      <c r="U40" s="60"/>
      <c r="V40" s="36"/>
    </row>
    <row r="41" spans="1:22" s="40" customFormat="1" ht="14.45" customHeight="1" x14ac:dyDescent="0.3">
      <c r="C41" s="40" t="s">
        <v>32</v>
      </c>
      <c r="L41" s="276"/>
      <c r="M41" s="264"/>
      <c r="O41" s="144"/>
      <c r="T41" s="50"/>
      <c r="U41" s="50"/>
      <c r="V41" s="51"/>
    </row>
    <row r="42" spans="1:22" s="52" customFormat="1" ht="15" x14ac:dyDescent="0.3">
      <c r="A42" s="40"/>
      <c r="B42" s="40"/>
      <c r="C42" s="39" t="s">
        <v>574</v>
      </c>
      <c r="D42" s="40"/>
      <c r="E42" s="40"/>
      <c r="F42" s="40"/>
      <c r="G42" s="40"/>
      <c r="H42" s="40"/>
      <c r="I42" s="40"/>
      <c r="J42" s="211">
        <v>-109</v>
      </c>
      <c r="K42" s="40" t="s">
        <v>23</v>
      </c>
      <c r="L42" s="264">
        <f>J42*$H$11</f>
        <v>-1786183</v>
      </c>
      <c r="M42" s="264">
        <f>L42/$H$11</f>
        <v>-109</v>
      </c>
      <c r="N42" s="40"/>
      <c r="O42" s="40"/>
      <c r="T42" s="36"/>
      <c r="U42" s="36"/>
      <c r="V42" s="40"/>
    </row>
    <row r="43" spans="1:22" s="52" customFormat="1" ht="15" x14ac:dyDescent="0.3">
      <c r="A43" s="40"/>
      <c r="B43" s="40"/>
      <c r="C43" s="39" t="s">
        <v>575</v>
      </c>
      <c r="D43" s="40"/>
      <c r="E43" s="40"/>
      <c r="F43" s="40"/>
      <c r="G43" s="40"/>
      <c r="H43" s="40"/>
      <c r="I43" s="40"/>
      <c r="J43" s="211">
        <v>-201</v>
      </c>
      <c r="K43" s="40" t="s">
        <v>23</v>
      </c>
      <c r="L43" s="264">
        <f>J43*$H$11</f>
        <v>-3293787</v>
      </c>
      <c r="M43" s="264">
        <f>L43/$H$11</f>
        <v>-201</v>
      </c>
      <c r="N43" s="40"/>
      <c r="O43" s="40"/>
      <c r="T43" s="51"/>
      <c r="U43" s="51"/>
    </row>
    <row r="44" spans="1:22" s="52" customFormat="1" ht="15" x14ac:dyDescent="0.3">
      <c r="A44" s="40"/>
      <c r="B44" s="40"/>
      <c r="C44" s="39" t="s">
        <v>33</v>
      </c>
      <c r="D44" s="40"/>
      <c r="E44" s="40"/>
      <c r="F44" s="40"/>
      <c r="G44" s="40"/>
      <c r="H44" s="40"/>
      <c r="I44" s="40"/>
      <c r="J44" s="40"/>
      <c r="K44" s="40"/>
      <c r="L44" s="264">
        <f>L40-L42-L43</f>
        <v>92716.367999999784</v>
      </c>
      <c r="M44" s="264">
        <f>L44/$H$11</f>
        <v>5.6579220113504478</v>
      </c>
      <c r="N44" s="40"/>
      <c r="O44" s="144"/>
      <c r="T44" s="40"/>
      <c r="U44" s="40"/>
    </row>
    <row r="45" spans="1:22" ht="14.25" x14ac:dyDescent="0.3">
      <c r="L45" s="222"/>
      <c r="M45" s="222"/>
      <c r="T45" s="52"/>
      <c r="U45" s="52"/>
      <c r="V45" s="52"/>
    </row>
    <row r="46" spans="1:22" ht="15" x14ac:dyDescent="0.3">
      <c r="A46" s="61" t="s">
        <v>34</v>
      </c>
      <c r="B46" s="62"/>
      <c r="C46" s="63"/>
      <c r="D46" s="63"/>
      <c r="E46" s="63"/>
      <c r="F46" s="62"/>
      <c r="G46" s="62"/>
      <c r="H46" s="62"/>
      <c r="I46" s="62"/>
      <c r="J46" s="62"/>
      <c r="K46" s="62"/>
      <c r="L46" s="277">
        <f>L36+L38</f>
        <v>5466740.2693230025</v>
      </c>
      <c r="M46" s="278">
        <f>L46/$H$11</f>
        <v>333.60226211771544</v>
      </c>
      <c r="O46" s="142"/>
      <c r="Q46" s="145"/>
      <c r="T46" s="52"/>
      <c r="U46" s="52"/>
    </row>
    <row r="47" spans="1:22" s="51" customFormat="1" ht="15" x14ac:dyDescent="0.3">
      <c r="A47" s="53" t="s">
        <v>35</v>
      </c>
      <c r="B47" s="58"/>
      <c r="C47" s="58"/>
      <c r="D47" s="58"/>
      <c r="E47" s="58"/>
      <c r="F47" s="58"/>
      <c r="G47" s="58"/>
      <c r="H47" s="58"/>
      <c r="I47" s="58"/>
      <c r="J47" s="58"/>
      <c r="K47" s="58"/>
      <c r="L47" s="279">
        <f>L36+L40</f>
        <v>2718134.6373230023</v>
      </c>
      <c r="M47" s="280">
        <f>L47/$H$11</f>
        <v>165.8714003370356</v>
      </c>
      <c r="N47" s="36"/>
      <c r="O47" s="119"/>
      <c r="T47" s="52"/>
      <c r="U47" s="52"/>
      <c r="V47" s="36"/>
    </row>
    <row r="48" spans="1:22" ht="15" x14ac:dyDescent="0.3">
      <c r="E48" s="54"/>
      <c r="L48" s="222"/>
      <c r="M48" s="264"/>
      <c r="O48" s="142"/>
      <c r="V48" s="51"/>
    </row>
    <row r="49" spans="1:22" s="50" customFormat="1" ht="15.75" x14ac:dyDescent="0.3">
      <c r="A49" s="41"/>
      <c r="B49" s="41" t="s">
        <v>578</v>
      </c>
      <c r="C49" s="41"/>
      <c r="D49" s="41"/>
      <c r="E49" s="55"/>
      <c r="F49" s="41"/>
      <c r="G49" s="41"/>
      <c r="H49" s="41"/>
      <c r="I49" s="41"/>
      <c r="J49" s="41"/>
      <c r="K49" s="41"/>
      <c r="L49" s="251">
        <f>'6.Vähennykset ja lisäykset'!H63</f>
        <v>1162956.2738746025</v>
      </c>
      <c r="M49" s="267">
        <f>L49/$H$11</f>
        <v>70.968223218075451</v>
      </c>
      <c r="N49" s="41"/>
      <c r="O49" s="210" t="s">
        <v>648</v>
      </c>
      <c r="T49" s="36"/>
      <c r="U49" s="36"/>
      <c r="V49" s="36"/>
    </row>
    <row r="50" spans="1:22" ht="15.75" x14ac:dyDescent="0.3">
      <c r="E50" s="54"/>
      <c r="L50" s="222"/>
      <c r="M50" s="264"/>
      <c r="O50" s="142"/>
      <c r="T50" s="51"/>
      <c r="U50" s="51"/>
      <c r="V50" s="50"/>
    </row>
    <row r="51" spans="1:22" ht="15" x14ac:dyDescent="0.3">
      <c r="A51" s="61" t="s">
        <v>36</v>
      </c>
      <c r="B51" s="62"/>
      <c r="C51" s="63"/>
      <c r="D51" s="63"/>
      <c r="E51" s="63"/>
      <c r="F51" s="62"/>
      <c r="G51" s="62"/>
      <c r="H51" s="62"/>
      <c r="I51" s="62"/>
      <c r="J51" s="62"/>
      <c r="K51" s="62"/>
      <c r="L51" s="277">
        <f>L46+L49</f>
        <v>6629696.5431976048</v>
      </c>
      <c r="M51" s="278">
        <f>L51/$H$11</f>
        <v>404.57048533579086</v>
      </c>
      <c r="O51" s="142"/>
    </row>
    <row r="52" spans="1:22" s="51" customFormat="1" ht="15.75" x14ac:dyDescent="0.3">
      <c r="A52" s="56" t="s">
        <v>577</v>
      </c>
      <c r="B52" s="58"/>
      <c r="C52" s="59"/>
      <c r="D52" s="59"/>
      <c r="E52" s="59"/>
      <c r="F52" s="58"/>
      <c r="G52" s="58"/>
      <c r="H52" s="58"/>
      <c r="I52" s="58"/>
      <c r="J52" s="58"/>
      <c r="K52" s="58"/>
      <c r="L52" s="279">
        <f>L47+L49</f>
        <v>3881090.9111976046</v>
      </c>
      <c r="M52" s="280">
        <f>L52/$H$11</f>
        <v>236.83962355511105</v>
      </c>
      <c r="N52" s="36"/>
      <c r="O52" s="142"/>
      <c r="T52" s="50"/>
      <c r="U52" s="50"/>
      <c r="V52" s="36"/>
    </row>
    <row r="53" spans="1:22" ht="15" x14ac:dyDescent="0.3">
      <c r="A53" s="41"/>
      <c r="C53" s="41"/>
      <c r="D53" s="41"/>
      <c r="E53" s="41"/>
      <c r="L53" s="251"/>
      <c r="M53" s="267"/>
      <c r="O53" s="142"/>
      <c r="V53" s="51"/>
    </row>
    <row r="54" spans="1:22" s="60" customFormat="1" ht="15.75" x14ac:dyDescent="0.3">
      <c r="A54" s="36"/>
      <c r="B54" s="41" t="s">
        <v>579</v>
      </c>
      <c r="C54" s="41"/>
      <c r="D54" s="36"/>
      <c r="E54" s="41"/>
      <c r="F54" s="36"/>
      <c r="G54" s="36"/>
      <c r="H54" s="36"/>
      <c r="I54" s="36"/>
      <c r="J54" s="36"/>
      <c r="K54" s="36"/>
      <c r="L54" s="251">
        <f>INDEX(kotikuntakorvaus,MATCH($G$10,kunta,0),1,1)</f>
        <v>-358561.91249999998</v>
      </c>
      <c r="M54" s="267">
        <f>L54/$H$11</f>
        <v>-21.880875846707756</v>
      </c>
      <c r="N54" s="36"/>
      <c r="O54" s="37" t="s">
        <v>581</v>
      </c>
      <c r="T54" s="36"/>
      <c r="U54" s="36"/>
      <c r="V54" s="36"/>
    </row>
    <row r="55" spans="1:22" ht="15" hidden="1" x14ac:dyDescent="0.25">
      <c r="F55" s="36" t="s">
        <v>37</v>
      </c>
      <c r="L55" s="281">
        <v>17647640.245003492</v>
      </c>
      <c r="M55" s="264"/>
      <c r="T55" s="51"/>
      <c r="U55" s="51"/>
      <c r="V55" s="60"/>
    </row>
    <row r="56" spans="1:22" ht="13.5" hidden="1" thickBot="1" x14ac:dyDescent="0.25">
      <c r="F56" s="48" t="s">
        <v>38</v>
      </c>
      <c r="G56" s="48"/>
      <c r="H56" s="48"/>
      <c r="I56" s="48"/>
      <c r="J56" s="48"/>
      <c r="K56" s="48"/>
      <c r="L56" s="282">
        <v>0</v>
      </c>
      <c r="M56" s="264"/>
      <c r="Q56" s="99"/>
    </row>
    <row r="57" spans="1:22" ht="15" x14ac:dyDescent="0.25">
      <c r="L57" s="264"/>
      <c r="M57" s="264"/>
      <c r="T57" s="60"/>
      <c r="U57" s="60"/>
    </row>
    <row r="58" spans="1:22" ht="15" x14ac:dyDescent="0.3">
      <c r="A58" s="57" t="s">
        <v>39</v>
      </c>
      <c r="B58" s="58"/>
      <c r="C58" s="59"/>
      <c r="D58" s="59"/>
      <c r="E58" s="59"/>
      <c r="F58" s="58"/>
      <c r="G58" s="58"/>
      <c r="H58" s="58"/>
      <c r="I58" s="58"/>
      <c r="J58" s="58"/>
      <c r="K58" s="58"/>
      <c r="L58" s="269">
        <f>L51+L54</f>
        <v>6271134.6306976052</v>
      </c>
      <c r="M58" s="280">
        <f>L58/$H$11</f>
        <v>382.68960948908313</v>
      </c>
      <c r="O58" s="142"/>
      <c r="Q58" s="99"/>
    </row>
    <row r="59" spans="1:22" ht="15" x14ac:dyDescent="0.3">
      <c r="K59" s="40" t="s">
        <v>40</v>
      </c>
      <c r="L59" s="264">
        <f>L58/12</f>
        <v>522594.55255813379</v>
      </c>
      <c r="M59" s="264" t="s">
        <v>41</v>
      </c>
    </row>
    <row r="60" spans="1:22" ht="15" hidden="1" x14ac:dyDescent="0.3">
      <c r="E60" s="54"/>
      <c r="L60" s="222"/>
      <c r="M60" s="264"/>
      <c r="O60" s="142"/>
    </row>
    <row r="61" spans="1:22" s="51" customFormat="1" hidden="1" x14ac:dyDescent="0.2">
      <c r="A61" s="212" t="s">
        <v>42</v>
      </c>
      <c r="B61" s="213"/>
      <c r="C61" s="214"/>
      <c r="D61" s="214"/>
      <c r="E61" s="214"/>
      <c r="F61" s="213"/>
      <c r="G61" s="213"/>
      <c r="H61" s="213"/>
      <c r="I61" s="213"/>
      <c r="J61" s="213"/>
      <c r="K61" s="213"/>
      <c r="L61" s="283" t="s">
        <v>15</v>
      </c>
      <c r="M61" s="284" t="s">
        <v>16</v>
      </c>
      <c r="N61" s="36"/>
      <c r="O61" s="119"/>
      <c r="T61" s="36"/>
      <c r="U61" s="36"/>
      <c r="V61" s="36"/>
    </row>
    <row r="62" spans="1:22" s="51" customFormat="1" hidden="1" x14ac:dyDescent="0.2">
      <c r="A62" s="215"/>
      <c r="B62" s="36" t="s">
        <v>43</v>
      </c>
      <c r="C62" s="41"/>
      <c r="D62" s="41"/>
      <c r="E62" s="41"/>
      <c r="F62" s="36"/>
      <c r="G62" s="36"/>
      <c r="H62" s="36"/>
      <c r="I62" s="36"/>
      <c r="J62" s="36"/>
      <c r="K62" s="36"/>
      <c r="L62" s="222">
        <f>INDEX(vos_maksatus,MATCH($G$10,kunta,0),1,1)</f>
        <v>-1928333.1933880118</v>
      </c>
      <c r="M62" s="285">
        <f>L62/H11</f>
        <v>-117.67457090303361</v>
      </c>
      <c r="N62" s="36"/>
      <c r="O62" s="119"/>
      <c r="T62" s="36"/>
      <c r="U62" s="36"/>
    </row>
    <row r="63" spans="1:22" s="51" customFormat="1" hidden="1" x14ac:dyDescent="0.2">
      <c r="A63" s="216"/>
      <c r="B63" s="191" t="s">
        <v>44</v>
      </c>
      <c r="C63" s="191"/>
      <c r="D63" s="191"/>
      <c r="E63" s="191"/>
      <c r="F63" s="191"/>
      <c r="G63" s="191"/>
      <c r="H63" s="191"/>
      <c r="I63" s="191"/>
      <c r="J63" s="191"/>
      <c r="K63" s="191"/>
      <c r="L63" s="223">
        <f>L62/12</f>
        <v>-160694.4327823343</v>
      </c>
      <c r="M63" s="286">
        <f>L63/H11</f>
        <v>-9.8062142419194664</v>
      </c>
      <c r="N63" s="36"/>
      <c r="O63" s="119"/>
      <c r="T63" s="36"/>
      <c r="U63" s="36"/>
    </row>
    <row r="64" spans="1:22" s="51" customFormat="1" hidden="1" x14ac:dyDescent="0.2">
      <c r="A64" s="36"/>
      <c r="B64" s="36"/>
      <c r="C64" s="36"/>
      <c r="D64" s="36"/>
      <c r="E64" s="36"/>
      <c r="F64" s="36"/>
      <c r="G64" s="36"/>
      <c r="H64" s="36"/>
      <c r="I64" s="36"/>
      <c r="J64" s="36"/>
      <c r="K64" s="36"/>
      <c r="L64" s="222"/>
      <c r="M64" s="222"/>
      <c r="N64" s="36"/>
      <c r="O64" s="119"/>
    </row>
    <row r="65" spans="1:37" hidden="1" x14ac:dyDescent="0.2">
      <c r="L65" s="222"/>
      <c r="M65" s="222"/>
      <c r="T65" s="51"/>
      <c r="U65" s="51"/>
      <c r="V65" s="51"/>
    </row>
    <row r="66" spans="1:37" x14ac:dyDescent="0.2">
      <c r="L66" s="222"/>
      <c r="M66" s="222"/>
      <c r="R66" s="99"/>
      <c r="T66" s="51"/>
      <c r="U66" s="51"/>
    </row>
    <row r="67" spans="1:37" s="51" customFormat="1" ht="15" x14ac:dyDescent="0.3">
      <c r="A67" s="56" t="s">
        <v>601</v>
      </c>
      <c r="B67" s="58"/>
      <c r="C67" s="59"/>
      <c r="D67" s="59"/>
      <c r="E67" s="59"/>
      <c r="F67" s="58"/>
      <c r="G67" s="58"/>
      <c r="H67" s="58"/>
      <c r="I67" s="58"/>
      <c r="J67" s="58"/>
      <c r="K67" s="58"/>
      <c r="L67" s="269">
        <f>L52+L54</f>
        <v>3522528.9986976045</v>
      </c>
      <c r="M67" s="280">
        <f>L67/$H$11</f>
        <v>214.95874770840328</v>
      </c>
      <c r="N67" s="36"/>
      <c r="O67" s="142"/>
      <c r="Q67" s="146"/>
      <c r="V67" s="36"/>
    </row>
    <row r="68" spans="1:37" s="51" customFormat="1" ht="15" x14ac:dyDescent="0.3">
      <c r="A68" s="36"/>
      <c r="B68" s="36"/>
      <c r="C68" s="36"/>
      <c r="D68" s="36"/>
      <c r="E68" s="36"/>
      <c r="F68" s="36"/>
      <c r="G68" s="36"/>
      <c r="H68" s="36"/>
      <c r="I68" s="36"/>
      <c r="J68" s="36"/>
      <c r="K68" s="40" t="s">
        <v>40</v>
      </c>
      <c r="L68" s="264">
        <f>L67/12</f>
        <v>293544.08322480036</v>
      </c>
      <c r="M68" s="264" t="s">
        <v>41</v>
      </c>
      <c r="N68" s="36"/>
      <c r="O68" s="119"/>
      <c r="T68" s="36"/>
      <c r="U68" s="36"/>
    </row>
    <row r="69" spans="1:37" x14ac:dyDescent="0.2">
      <c r="V69" s="51"/>
    </row>
    <row r="70" spans="1:37" x14ac:dyDescent="0.2">
      <c r="T70" s="51"/>
      <c r="U70" s="51"/>
    </row>
    <row r="71" spans="1:37" x14ac:dyDescent="0.2">
      <c r="T71" s="51"/>
      <c r="U71" s="51"/>
    </row>
    <row r="74" spans="1:37" x14ac:dyDescent="0.2">
      <c r="AK74" s="147"/>
    </row>
    <row r="75" spans="1:37" x14ac:dyDescent="0.2">
      <c r="AK75" s="147"/>
    </row>
    <row r="76" spans="1:37" x14ac:dyDescent="0.2">
      <c r="AK76" s="147"/>
    </row>
    <row r="77" spans="1:37" x14ac:dyDescent="0.2">
      <c r="AK77" s="147"/>
    </row>
    <row r="78" spans="1:37" x14ac:dyDescent="0.2">
      <c r="AK78" s="147"/>
    </row>
    <row r="79" spans="1:37" x14ac:dyDescent="0.2">
      <c r="AK79" s="147"/>
    </row>
    <row r="80" spans="1:37" x14ac:dyDescent="0.2">
      <c r="AK80" s="147"/>
    </row>
    <row r="81" spans="37:37" x14ac:dyDescent="0.2">
      <c r="AK81" s="147"/>
    </row>
    <row r="82" spans="37:37" x14ac:dyDescent="0.2">
      <c r="AK82" s="147"/>
    </row>
    <row r="83" spans="37:37" x14ac:dyDescent="0.2">
      <c r="AK83" s="147"/>
    </row>
    <row r="84" spans="37:37" x14ac:dyDescent="0.2">
      <c r="AK84" s="147"/>
    </row>
    <row r="85" spans="37:37" x14ac:dyDescent="0.2">
      <c r="AK85" s="147"/>
    </row>
    <row r="86" spans="37:37" x14ac:dyDescent="0.2">
      <c r="AK86" s="147"/>
    </row>
    <row r="87" spans="37:37" x14ac:dyDescent="0.2">
      <c r="AK87" s="147"/>
    </row>
    <row r="88" spans="37:37" x14ac:dyDescent="0.2">
      <c r="AK88" s="147"/>
    </row>
    <row r="89" spans="37:37" x14ac:dyDescent="0.2">
      <c r="AK89" s="147"/>
    </row>
    <row r="90" spans="37:37" x14ac:dyDescent="0.2">
      <c r="AK90" s="147"/>
    </row>
    <row r="91" spans="37:37" x14ac:dyDescent="0.2">
      <c r="AK91" s="147"/>
    </row>
    <row r="92" spans="37:37" x14ac:dyDescent="0.2">
      <c r="AK92" s="147"/>
    </row>
    <row r="93" spans="37:37" x14ac:dyDescent="0.2">
      <c r="AK93" s="147"/>
    </row>
    <row r="94" spans="37:37" x14ac:dyDescent="0.2">
      <c r="AK94" s="147"/>
    </row>
    <row r="95" spans="37:37" x14ac:dyDescent="0.2">
      <c r="AK95" s="147"/>
    </row>
    <row r="96" spans="37:37" x14ac:dyDescent="0.2">
      <c r="AK96" s="147"/>
    </row>
    <row r="97" spans="37:37" x14ac:dyDescent="0.2">
      <c r="AK97" s="147"/>
    </row>
    <row r="98" spans="37:37" x14ac:dyDescent="0.2">
      <c r="AK98" s="147"/>
    </row>
    <row r="99" spans="37:37" x14ac:dyDescent="0.2">
      <c r="AK99" s="147"/>
    </row>
    <row r="100" spans="37:37" x14ac:dyDescent="0.2">
      <c r="AK100" s="147"/>
    </row>
    <row r="101" spans="37:37" x14ac:dyDescent="0.2">
      <c r="AK101" s="147"/>
    </row>
    <row r="102" spans="37:37" x14ac:dyDescent="0.2">
      <c r="AK102" s="147"/>
    </row>
    <row r="103" spans="37:37" x14ac:dyDescent="0.2">
      <c r="AK103" s="147"/>
    </row>
    <row r="104" spans="37:37" x14ac:dyDescent="0.2">
      <c r="AK104" s="147"/>
    </row>
    <row r="105" spans="37:37" x14ac:dyDescent="0.2">
      <c r="AK105" s="147"/>
    </row>
  </sheetData>
  <protectedRanges>
    <protectedRange sqref="G10:H10" name="Alue1"/>
    <protectedRange sqref="J20" name="Alue2"/>
    <protectedRange sqref="L34 L54 L27:L31" name="Alue3"/>
    <protectedRange sqref="J42:J43" name="Alue2_1"/>
  </protectedRanges>
  <mergeCells count="2">
    <mergeCell ref="B3:M3"/>
    <mergeCell ref="G10:H10"/>
  </mergeCells>
  <phoneticPr fontId="49" type="noConversion"/>
  <conditionalFormatting sqref="Q21">
    <cfRule type="cellIs" dxfId="3" priority="1" operator="between">
      <formula>0.151</formula>
      <formula>0.299</formula>
    </cfRule>
    <cfRule type="cellIs" dxfId="2" priority="2" operator="between">
      <formula>15</formula>
      <formula>30</formula>
    </cfRule>
    <cfRule type="cellIs" dxfId="1" priority="3" operator="greaterThan">
      <formula>0.3</formula>
    </cfRule>
    <cfRule type="cellIs" dxfId="0" priority="4" operator="lessThan">
      <formula>0.15</formula>
    </cfRule>
  </conditionalFormatting>
  <dataValidations count="1">
    <dataValidation type="list" allowBlank="1" showInputMessage="1" showErrorMessage="1" sqref="G10:H10" xr:uid="{C0AE8624-A671-4682-9C29-1894F3950EB8}">
      <formula1>kunta</formula1>
    </dataValidation>
  </dataValidations>
  <hyperlinks>
    <hyperlink ref="B15" r:id="rId1" display="Valtionosuuslaskelma 2025" xr:uid="{BC1ED1C6-C1DE-4D36-AAE9-1FCAC7118B8D}"/>
  </hyperlinks>
  <pageMargins left="0.25" right="0.25" top="0.75" bottom="0.75" header="0.3" footer="0.3"/>
  <pageSetup paperSize="9" orientation="portrait" r:id="rId2"/>
  <headerFooter alignWithMargins="0"/>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0E2F6-BFE0-4BF3-8350-B4700530B493}">
  <sheetPr>
    <tabColor rgb="FF92D050"/>
    <pageSetUpPr fitToPage="1"/>
  </sheetPr>
  <dimension ref="A1:O22"/>
  <sheetViews>
    <sheetView zoomScaleNormal="100" workbookViewId="0"/>
  </sheetViews>
  <sheetFormatPr defaultColWidth="9.28515625" defaultRowHeight="12.75" x14ac:dyDescent="0.2"/>
  <cols>
    <col min="1" max="1" width="4" style="36" customWidth="1"/>
    <col min="2" max="4" width="2.28515625" style="36" customWidth="1"/>
    <col min="5" max="5" width="19.28515625" style="36" customWidth="1"/>
    <col min="6" max="6" width="17" style="36" customWidth="1"/>
    <col min="7" max="7" width="16.85546875" style="36" customWidth="1"/>
    <col min="8" max="8" width="20.28515625" style="36" customWidth="1"/>
    <col min="9" max="9" width="9.140625" style="36" customWidth="1"/>
    <col min="10" max="10" width="10.7109375" style="6" bestFit="1" customWidth="1"/>
    <col min="11" max="11" width="14.5703125" style="6" customWidth="1"/>
    <col min="12" max="12" width="11.85546875" style="6" bestFit="1" customWidth="1"/>
    <col min="13" max="13" width="15.5703125" style="6" bestFit="1" customWidth="1"/>
    <col min="14" max="16384" width="9.28515625" style="6"/>
  </cols>
  <sheetData>
    <row r="1" spans="1:15" ht="15" x14ac:dyDescent="0.3">
      <c r="A1" s="35" t="str">
        <f>'2.Yhteenveto'!A1</f>
        <v>2.12.2025, Kuntaliitto / Olli Riikonen</v>
      </c>
      <c r="E1" s="66"/>
    </row>
    <row r="2" spans="1:15" ht="15" x14ac:dyDescent="0.3">
      <c r="E2" s="66"/>
      <c r="H2" s="111"/>
    </row>
    <row r="3" spans="1:15" ht="18.75" x14ac:dyDescent="0.3">
      <c r="A3" s="375" t="s">
        <v>45</v>
      </c>
      <c r="B3" s="375"/>
      <c r="C3" s="375"/>
      <c r="D3" s="375"/>
      <c r="E3" s="375"/>
      <c r="F3" s="375"/>
      <c r="G3" s="375"/>
      <c r="H3" s="375"/>
    </row>
    <row r="4" spans="1:15" x14ac:dyDescent="0.2">
      <c r="F4" s="41"/>
    </row>
    <row r="5" spans="1:15" s="36" customFormat="1" ht="15" x14ac:dyDescent="0.3">
      <c r="B5" s="67" t="s">
        <v>46</v>
      </c>
      <c r="E5" s="224"/>
      <c r="F5" s="73" t="s">
        <v>47</v>
      </c>
      <c r="H5" s="39"/>
    </row>
    <row r="6" spans="1:15" s="36" customFormat="1" ht="15" x14ac:dyDescent="0.3">
      <c r="E6" s="38"/>
      <c r="F6" s="73" t="s">
        <v>48</v>
      </c>
      <c r="H6" s="39"/>
    </row>
    <row r="7" spans="1:15" s="36" customFormat="1" x14ac:dyDescent="0.2">
      <c r="F7" s="41"/>
    </row>
    <row r="8" spans="1:15" s="36" customFormat="1" x14ac:dyDescent="0.2">
      <c r="B8" s="68" t="s">
        <v>9</v>
      </c>
      <c r="F8" s="74" t="str">
        <f>'2.Yhteenveto'!G10</f>
        <v>Akaa</v>
      </c>
    </row>
    <row r="9" spans="1:15" s="36" customFormat="1" x14ac:dyDescent="0.2">
      <c r="B9" s="68" t="str">
        <f>'2.Yhteenveto'!B11</f>
        <v>Asukasluku 31.12.2024:</v>
      </c>
      <c r="F9" s="75">
        <f>'2.Yhteenveto'!$H$11</f>
        <v>16387</v>
      </c>
    </row>
    <row r="10" spans="1:15" s="36" customFormat="1" ht="15" x14ac:dyDescent="0.3">
      <c r="E10" s="41"/>
      <c r="H10" s="76" t="s">
        <v>49</v>
      </c>
    </row>
    <row r="11" spans="1:15" s="36" customFormat="1" ht="15" x14ac:dyDescent="0.3">
      <c r="B11" s="41"/>
      <c r="H11" s="76" t="s">
        <v>50</v>
      </c>
      <c r="I11" s="78" t="s">
        <v>67</v>
      </c>
    </row>
    <row r="12" spans="1:15" s="36" customFormat="1" ht="18" customHeight="1" x14ac:dyDescent="0.3">
      <c r="C12" s="41" t="s">
        <v>17</v>
      </c>
      <c r="D12" s="41"/>
      <c r="F12" s="77" t="s">
        <v>51</v>
      </c>
      <c r="G12" s="77" t="s">
        <v>52</v>
      </c>
      <c r="H12" s="78"/>
      <c r="I12" s="80"/>
      <c r="J12" s="79"/>
      <c r="K12" s="79"/>
      <c r="L12" s="79"/>
      <c r="M12" s="79"/>
      <c r="N12" s="79"/>
      <c r="O12" s="79"/>
    </row>
    <row r="13" spans="1:15" x14ac:dyDescent="0.2">
      <c r="E13" s="36" t="s">
        <v>53</v>
      </c>
      <c r="F13" s="226">
        <f>INDEX(ikar_0_5,MATCH($F$8,kunta,0),1,1)</f>
        <v>794</v>
      </c>
      <c r="G13" s="115">
        <v>8970.59</v>
      </c>
      <c r="H13" s="10">
        <f t="shared" ref="H13:H18" si="0">F13*G13</f>
        <v>7122648.46</v>
      </c>
      <c r="I13" s="90">
        <f>H13/$F$9</f>
        <v>434.65237444315613</v>
      </c>
    </row>
    <row r="14" spans="1:15" x14ac:dyDescent="0.2">
      <c r="E14" s="36" t="s">
        <v>54</v>
      </c>
      <c r="F14" s="226">
        <f>INDEX(ikar_2,MATCH($F$8,kunta,0),1,1)</f>
        <v>122</v>
      </c>
      <c r="G14" s="115">
        <v>9538.74</v>
      </c>
      <c r="H14" s="10">
        <f t="shared" si="0"/>
        <v>1163726.28</v>
      </c>
      <c r="I14" s="90">
        <f t="shared" ref="I14:I21" si="1">H14/$F$9</f>
        <v>71.015212058338932</v>
      </c>
    </row>
    <row r="15" spans="1:15" x14ac:dyDescent="0.2">
      <c r="E15" s="36" t="s">
        <v>55</v>
      </c>
      <c r="F15" s="226">
        <f>INDEX(ikar_3,MATCH($F$8,kunta,0),1,1)</f>
        <v>1101</v>
      </c>
      <c r="G15" s="115">
        <v>8172.1</v>
      </c>
      <c r="H15" s="10">
        <f t="shared" si="0"/>
        <v>8997482.0999999996</v>
      </c>
      <c r="I15" s="90">
        <f t="shared" si="1"/>
        <v>549.06218954048938</v>
      </c>
    </row>
    <row r="16" spans="1:15" x14ac:dyDescent="0.2">
      <c r="E16" s="36" t="s">
        <v>56</v>
      </c>
      <c r="F16" s="226">
        <f>INDEX(ikar_4,MATCH($F$8,kunta,0),1,1)</f>
        <v>661</v>
      </c>
      <c r="G16" s="115">
        <v>13849.15</v>
      </c>
      <c r="H16" s="10">
        <f t="shared" si="0"/>
        <v>9154288.1500000004</v>
      </c>
      <c r="I16" s="90">
        <f t="shared" si="1"/>
        <v>558.6311191798377</v>
      </c>
      <c r="J16" s="15"/>
    </row>
    <row r="17" spans="1:11" x14ac:dyDescent="0.2">
      <c r="E17" s="36" t="s">
        <v>57</v>
      </c>
      <c r="F17" s="226">
        <f>INDEX(ikar_16,MATCH($F$8,kunta,0),1,1)</f>
        <v>13709</v>
      </c>
      <c r="G17" s="115">
        <v>70.22</v>
      </c>
      <c r="H17" s="10">
        <f t="shared" si="0"/>
        <v>962645.98</v>
      </c>
      <c r="I17" s="90">
        <f t="shared" si="1"/>
        <v>58.744491365106484</v>
      </c>
      <c r="J17" s="16"/>
    </row>
    <row r="18" spans="1:11" ht="15" x14ac:dyDescent="0.3">
      <c r="E18" s="36" t="s">
        <v>58</v>
      </c>
      <c r="F18" s="226">
        <f>INDEX(ikar_18_64,MATCH($F$8,kunta,0),1,1)</f>
        <v>9049</v>
      </c>
      <c r="G18" s="115">
        <v>86.07</v>
      </c>
      <c r="H18" s="116">
        <f t="shared" si="0"/>
        <v>778847.42999999993</v>
      </c>
      <c r="I18" s="90">
        <f t="shared" si="1"/>
        <v>47.528371880148896</v>
      </c>
      <c r="J18" s="118" t="s">
        <v>566</v>
      </c>
    </row>
    <row r="19" spans="1:11" x14ac:dyDescent="0.2">
      <c r="C19" s="70" t="s">
        <v>59</v>
      </c>
      <c r="D19" s="70"/>
      <c r="F19" s="10">
        <f>SUM(F13:F17)</f>
        <v>16387</v>
      </c>
      <c r="G19" s="117"/>
      <c r="H19" s="17">
        <f>SUM(H13:H18)</f>
        <v>28179638.400000002</v>
      </c>
      <c r="I19" s="242">
        <f t="shared" si="1"/>
        <v>1719.6337584670778</v>
      </c>
      <c r="K19" s="10"/>
    </row>
    <row r="20" spans="1:11" x14ac:dyDescent="0.2">
      <c r="G20" s="113"/>
      <c r="I20" s="90"/>
    </row>
    <row r="21" spans="1:11" x14ac:dyDescent="0.2">
      <c r="A21" s="71" t="s">
        <v>567</v>
      </c>
      <c r="B21" s="72"/>
      <c r="C21" s="72"/>
      <c r="D21" s="72"/>
      <c r="E21" s="72"/>
      <c r="F21" s="87"/>
      <c r="G21" s="114"/>
      <c r="H21" s="245">
        <f>H19</f>
        <v>28179638.400000002</v>
      </c>
      <c r="I21" s="246">
        <f t="shared" si="1"/>
        <v>1719.6337584670778</v>
      </c>
    </row>
    <row r="22" spans="1:11" ht="15" x14ac:dyDescent="0.3">
      <c r="H22" s="77" t="s">
        <v>60</v>
      </c>
    </row>
  </sheetData>
  <protectedRanges>
    <protectedRange sqref="F13:F18" name="Alue1"/>
    <protectedRange sqref="G13:G18" name="Alue6"/>
  </protectedRanges>
  <mergeCells count="1">
    <mergeCell ref="A3:H3"/>
  </mergeCells>
  <pageMargins left="0.75" right="0.75" top="1" bottom="1" header="0.4921259845" footer="0.4921259845"/>
  <pageSetup paperSize="9" scale="94" orientation="portrait" r:id="rId1"/>
  <headerFooter alignWithMargins="0"/>
  <ignoredErrors>
    <ignoredError sqref="A1"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A1264-A843-4B42-89AD-A1BA53A5E1A3}">
  <sheetPr>
    <tabColor rgb="FF92D050"/>
    <pageSetUpPr fitToPage="1"/>
  </sheetPr>
  <dimension ref="A1:M80"/>
  <sheetViews>
    <sheetView topLeftCell="A47" zoomScaleNormal="100" workbookViewId="0">
      <selection activeCell="K37" sqref="J37:K44"/>
    </sheetView>
  </sheetViews>
  <sheetFormatPr defaultColWidth="9.140625" defaultRowHeight="12.75" x14ac:dyDescent="0.2"/>
  <cols>
    <col min="1" max="2" width="2" style="36" customWidth="1"/>
    <col min="3" max="3" width="3.28515625" style="36" customWidth="1"/>
    <col min="4" max="4" width="3.7109375" style="36" customWidth="1"/>
    <col min="5" max="5" width="18.7109375" style="36" customWidth="1"/>
    <col min="6" max="6" width="14.28515625" style="36" customWidth="1"/>
    <col min="7" max="7" width="16" style="36" customWidth="1"/>
    <col min="8" max="8" width="11.28515625" style="36" customWidth="1"/>
    <col min="9" max="9" width="15.140625" style="36" customWidth="1"/>
    <col min="10" max="10" width="7.140625" style="80" customWidth="1"/>
    <col min="11" max="12" width="9.140625" style="36"/>
    <col min="13" max="13" width="12.85546875" style="36" customWidth="1"/>
    <col min="14" max="16384" width="9.140625" style="6"/>
  </cols>
  <sheetData>
    <row r="1" spans="1:11" s="36" customFormat="1" ht="15" x14ac:dyDescent="0.3">
      <c r="A1" s="35" t="str">
        <f>'2.Yhteenveto'!A1</f>
        <v>2.12.2025, Kuntaliitto / Olli Riikonen</v>
      </c>
      <c r="F1" s="66"/>
      <c r="J1" s="80"/>
    </row>
    <row r="2" spans="1:11" s="36" customFormat="1" ht="15" x14ac:dyDescent="0.3">
      <c r="F2" s="66"/>
      <c r="J2" s="80"/>
    </row>
    <row r="3" spans="1:11" s="82" customFormat="1" ht="18.75" x14ac:dyDescent="0.3">
      <c r="A3" s="375" t="s">
        <v>61</v>
      </c>
      <c r="B3" s="375"/>
      <c r="C3" s="375"/>
      <c r="D3" s="375"/>
      <c r="E3" s="375"/>
      <c r="F3" s="375"/>
      <c r="G3" s="375"/>
      <c r="H3" s="375"/>
      <c r="I3" s="375"/>
      <c r="J3" s="81"/>
    </row>
    <row r="4" spans="1:11" s="36" customFormat="1" x14ac:dyDescent="0.2">
      <c r="J4" s="80"/>
    </row>
    <row r="5" spans="1:11" s="36" customFormat="1" ht="14.25" x14ac:dyDescent="0.3">
      <c r="C5" s="67" t="s">
        <v>46</v>
      </c>
      <c r="E5" s="224"/>
      <c r="F5" s="73" t="s">
        <v>47</v>
      </c>
      <c r="J5" s="80"/>
    </row>
    <row r="6" spans="1:11" s="36" customFormat="1" ht="14.25" x14ac:dyDescent="0.3">
      <c r="E6" s="38"/>
      <c r="F6" s="73" t="s">
        <v>48</v>
      </c>
      <c r="J6" s="80"/>
    </row>
    <row r="7" spans="1:11" s="36" customFormat="1" x14ac:dyDescent="0.2">
      <c r="J7" s="80"/>
    </row>
    <row r="8" spans="1:11" s="36" customFormat="1" ht="15.75" customHeight="1" x14ac:dyDescent="0.2">
      <c r="B8" s="68" t="s">
        <v>9</v>
      </c>
      <c r="F8" s="75" t="str">
        <f>'2.Yhteenveto'!G10</f>
        <v>Akaa</v>
      </c>
      <c r="J8" s="80"/>
    </row>
    <row r="9" spans="1:11" s="36" customFormat="1" ht="15.75" customHeight="1" x14ac:dyDescent="0.2">
      <c r="B9" s="68" t="str">
        <f>'2.Yhteenveto'!B11</f>
        <v>Asukasluku 31.12.2024:</v>
      </c>
      <c r="F9" s="75">
        <f>'2.Yhteenveto'!$H$11</f>
        <v>16387</v>
      </c>
      <c r="J9" s="80"/>
    </row>
    <row r="10" spans="1:11" s="36" customFormat="1" ht="15.75" customHeight="1" x14ac:dyDescent="0.3">
      <c r="B10" s="68"/>
      <c r="H10" s="77"/>
      <c r="J10" s="80"/>
    </row>
    <row r="11" spans="1:11" s="36" customFormat="1" ht="15.75" customHeight="1" x14ac:dyDescent="0.2">
      <c r="B11" s="41" t="s">
        <v>62</v>
      </c>
      <c r="J11" s="80"/>
    </row>
    <row r="12" spans="1:11" s="36" customFormat="1" ht="15.75" customHeight="1" x14ac:dyDescent="0.2">
      <c r="B12" s="41"/>
      <c r="J12" s="80"/>
    </row>
    <row r="13" spans="1:11" s="36" customFormat="1" ht="15.75" customHeight="1" x14ac:dyDescent="0.3">
      <c r="B13" s="41"/>
      <c r="C13" s="41" t="s">
        <v>63</v>
      </c>
      <c r="G13" s="83" t="str">
        <f>$F$8</f>
        <v>Akaa</v>
      </c>
      <c r="J13" s="80"/>
      <c r="K13" s="40" t="s">
        <v>65</v>
      </c>
    </row>
    <row r="14" spans="1:11" ht="15.75" customHeight="1" x14ac:dyDescent="0.2">
      <c r="B14" s="41"/>
      <c r="C14" s="41"/>
      <c r="D14" s="36" t="s">
        <v>64</v>
      </c>
      <c r="G14" s="224">
        <f>INDEX(muutla_työttömät_ja_palveluissa,MATCH($F$8,kunta,0),1,1)</f>
        <v>1058.3333333333335</v>
      </c>
      <c r="H14" s="88"/>
      <c r="I14" s="89"/>
      <c r="J14" s="90"/>
    </row>
    <row r="15" spans="1:11" ht="15.75" customHeight="1" thickBot="1" x14ac:dyDescent="0.35">
      <c r="B15" s="41"/>
      <c r="C15" s="48"/>
      <c r="D15" s="48" t="s">
        <v>66</v>
      </c>
      <c r="E15" s="48"/>
      <c r="F15" s="48"/>
      <c r="G15" s="91"/>
      <c r="H15" s="92">
        <v>754.59</v>
      </c>
      <c r="I15" s="94" t="s">
        <v>15</v>
      </c>
      <c r="J15" s="237" t="s">
        <v>67</v>
      </c>
    </row>
    <row r="16" spans="1:11" ht="15.75" customHeight="1" thickTop="1" x14ac:dyDescent="0.3">
      <c r="B16" s="41"/>
      <c r="C16" s="40" t="s">
        <v>68</v>
      </c>
      <c r="H16" s="80"/>
      <c r="I16" s="70">
        <f>H15*G14</f>
        <v>798607.75000000012</v>
      </c>
      <c r="J16" s="96">
        <f>I16/$F$9</f>
        <v>48.734225300543123</v>
      </c>
    </row>
    <row r="17" spans="3:13" ht="15.75" customHeight="1" x14ac:dyDescent="0.3">
      <c r="C17" s="41"/>
      <c r="G17" s="83"/>
    </row>
    <row r="18" spans="3:13" ht="15.75" customHeight="1" x14ac:dyDescent="0.3">
      <c r="C18" s="41" t="s">
        <v>69</v>
      </c>
      <c r="F18" s="83" t="str">
        <f>$F$8</f>
        <v>Akaa</v>
      </c>
      <c r="G18" s="77" t="s">
        <v>70</v>
      </c>
      <c r="H18" s="97"/>
      <c r="I18" s="98"/>
    </row>
    <row r="19" spans="3:13" ht="15.75" customHeight="1" x14ac:dyDescent="0.25">
      <c r="D19" s="36" t="s">
        <v>71</v>
      </c>
      <c r="F19" s="224">
        <f>INDEX(muutla_työttömät,MATCH($F$8,kunta,0),1,1)</f>
        <v>731.08333333333337</v>
      </c>
      <c r="G19" s="99">
        <f>SUM(muutla_työttömät)</f>
        <v>287857.91666666674</v>
      </c>
      <c r="H19" s="80"/>
      <c r="I19" s="99"/>
      <c r="L19" s="79"/>
      <c r="M19" s="79"/>
    </row>
    <row r="20" spans="3:13" ht="15.75" customHeight="1" thickBot="1" x14ac:dyDescent="0.25">
      <c r="D20" s="48" t="s">
        <v>72</v>
      </c>
      <c r="E20" s="84"/>
      <c r="F20" s="227">
        <f>INDEX(muutla_työvoima,MATCH($F$8,kunta,0),1,1)</f>
        <v>7617</v>
      </c>
      <c r="G20" s="100">
        <v>2666017</v>
      </c>
      <c r="H20" s="80"/>
      <c r="I20" s="99"/>
    </row>
    <row r="21" spans="3:13" ht="15.75" customHeight="1" thickTop="1" x14ac:dyDescent="0.2">
      <c r="D21" s="36" t="s">
        <v>69</v>
      </c>
      <c r="F21" s="101">
        <f>F19/F20</f>
        <v>9.5980482254605926E-2</v>
      </c>
      <c r="G21" s="102">
        <f>G19/G20</f>
        <v>0.10797302367789356</v>
      </c>
      <c r="H21" s="228">
        <f>F21/G21</f>
        <v>0.88893020668695977</v>
      </c>
    </row>
    <row r="22" spans="3:13" ht="15.75" customHeight="1" thickBot="1" x14ac:dyDescent="0.35">
      <c r="C22" s="48"/>
      <c r="D22" s="48" t="s">
        <v>66</v>
      </c>
      <c r="E22" s="48"/>
      <c r="F22" s="91"/>
      <c r="G22" s="48"/>
      <c r="H22" s="92">
        <v>75.930000000000007</v>
      </c>
      <c r="I22" s="94" t="s">
        <v>15</v>
      </c>
      <c r="J22" s="237" t="s">
        <v>67</v>
      </c>
    </row>
    <row r="23" spans="3:13" ht="15.75" customHeight="1" thickTop="1" x14ac:dyDescent="0.3">
      <c r="C23" s="40" t="s">
        <v>73</v>
      </c>
      <c r="H23" s="80"/>
      <c r="I23" s="70">
        <f>H22*$F$9*H21</f>
        <v>1106064.6636196314</v>
      </c>
      <c r="J23" s="103">
        <f>I23/$F$9</f>
        <v>67.496470593740852</v>
      </c>
    </row>
    <row r="24" spans="3:13" ht="15.75" customHeight="1" x14ac:dyDescent="0.2">
      <c r="H24" s="80"/>
      <c r="I24" s="99"/>
    </row>
    <row r="25" spans="3:13" ht="15.75" customHeight="1" x14ac:dyDescent="0.3">
      <c r="C25" s="41" t="s">
        <v>74</v>
      </c>
      <c r="F25" s="83" t="str">
        <f>$F$8</f>
        <v>Akaa</v>
      </c>
      <c r="G25" s="77"/>
      <c r="H25" s="97"/>
      <c r="I25" s="98"/>
    </row>
    <row r="26" spans="3:13" ht="15.75" customHeight="1" x14ac:dyDescent="0.2">
      <c r="D26" s="36" t="s">
        <v>75</v>
      </c>
      <c r="F26" s="224">
        <f>INDEX(muutla_vieraskieliset,MATCH($F$8,kunta,0),1,1)</f>
        <v>518</v>
      </c>
      <c r="G26" s="88"/>
      <c r="H26" s="80"/>
      <c r="I26" s="99"/>
    </row>
    <row r="27" spans="3:13" ht="15.75" customHeight="1" thickBot="1" x14ac:dyDescent="0.35">
      <c r="C27" s="48"/>
      <c r="D27" s="48" t="s">
        <v>66</v>
      </c>
      <c r="E27" s="48"/>
      <c r="F27" s="91"/>
      <c r="G27" s="48"/>
      <c r="H27" s="92">
        <v>2003.77</v>
      </c>
      <c r="I27" s="94" t="s">
        <v>15</v>
      </c>
      <c r="J27" s="237" t="s">
        <v>67</v>
      </c>
    </row>
    <row r="28" spans="3:13" ht="15.75" customHeight="1" thickTop="1" x14ac:dyDescent="0.3">
      <c r="C28" s="40" t="s">
        <v>76</v>
      </c>
      <c r="H28" s="80"/>
      <c r="I28" s="70">
        <f>H27*F26</f>
        <v>1037952.86</v>
      </c>
      <c r="J28" s="103">
        <f>I28/$F$9</f>
        <v>63.340017086715079</v>
      </c>
    </row>
    <row r="29" spans="3:13" ht="15.75" customHeight="1" x14ac:dyDescent="0.2">
      <c r="H29" s="80"/>
    </row>
    <row r="30" spans="3:13" ht="15.75" customHeight="1" x14ac:dyDescent="0.2">
      <c r="C30" s="41" t="s">
        <v>77</v>
      </c>
      <c r="F30" s="90"/>
      <c r="G30" s="80"/>
      <c r="H30" s="97"/>
      <c r="I30" s="98"/>
    </row>
    <row r="31" spans="3:13" ht="15.75" customHeight="1" x14ac:dyDescent="0.2">
      <c r="D31" s="36" t="s">
        <v>78</v>
      </c>
      <c r="G31" s="224">
        <f>INDEX(muutla_kaksikielisyys,MATCH($F$8,kunta,0),1,1)</f>
        <v>0</v>
      </c>
      <c r="H31" s="80"/>
      <c r="I31" s="99"/>
    </row>
    <row r="32" spans="3:13" ht="15.75" customHeight="1" x14ac:dyDescent="0.3">
      <c r="E32" s="40" t="s">
        <v>79</v>
      </c>
      <c r="G32" s="80"/>
      <c r="H32" s="80"/>
      <c r="I32" s="99"/>
    </row>
    <row r="33" spans="3:11" ht="15.75" customHeight="1" x14ac:dyDescent="0.3">
      <c r="E33" s="40" t="s">
        <v>80</v>
      </c>
      <c r="G33" s="80"/>
      <c r="H33" s="80"/>
      <c r="I33" s="99"/>
    </row>
    <row r="34" spans="3:11" ht="15.75" customHeight="1" x14ac:dyDescent="0.3">
      <c r="E34" s="40" t="s">
        <v>81</v>
      </c>
      <c r="G34" s="80"/>
      <c r="H34" s="80"/>
      <c r="I34" s="99"/>
    </row>
    <row r="35" spans="3:11" ht="15.75" customHeight="1" x14ac:dyDescent="0.3">
      <c r="E35" s="40" t="s">
        <v>82</v>
      </c>
      <c r="G35" s="80"/>
      <c r="H35" s="80"/>
      <c r="I35" s="99"/>
    </row>
    <row r="36" spans="3:11" ht="15.75" customHeight="1" x14ac:dyDescent="0.3">
      <c r="E36" s="40"/>
      <c r="F36" s="83" t="str">
        <f>$F$8</f>
        <v>Akaa</v>
      </c>
      <c r="G36" s="77" t="s">
        <v>70</v>
      </c>
      <c r="H36" s="80"/>
      <c r="I36" s="99"/>
    </row>
    <row r="37" spans="3:11" ht="15.75" customHeight="1" x14ac:dyDescent="0.3">
      <c r="D37" s="36" t="s">
        <v>83</v>
      </c>
      <c r="E37" s="40"/>
      <c r="F37" s="224">
        <f>INDEX(muutla_ruotsinkieliset,MATCH($F$8,kunta,0),1,1)</f>
        <v>27</v>
      </c>
      <c r="G37" s="99">
        <f>SUM(muutla_ruotsinkieliset)</f>
        <v>259243</v>
      </c>
      <c r="H37" s="80"/>
      <c r="I37" s="99"/>
    </row>
    <row r="38" spans="3:11" ht="15.75" customHeight="1" x14ac:dyDescent="0.3">
      <c r="D38" s="36" t="s">
        <v>66</v>
      </c>
      <c r="F38" s="101"/>
      <c r="H38" s="38">
        <v>322.26</v>
      </c>
      <c r="I38" s="83" t="s">
        <v>15</v>
      </c>
      <c r="J38" s="77" t="s">
        <v>67</v>
      </c>
    </row>
    <row r="39" spans="3:11" ht="15.75" customHeight="1" x14ac:dyDescent="0.3">
      <c r="D39" s="36" t="s">
        <v>84</v>
      </c>
      <c r="E39" s="40"/>
      <c r="G39" s="80"/>
      <c r="H39" s="80"/>
      <c r="I39" s="10">
        <f>IF(OR($G$31=1,$G$31=3),$F$9*$H$38*0.07,0)</f>
        <v>0</v>
      </c>
      <c r="J39" s="301"/>
    </row>
    <row r="40" spans="3:11" ht="15.75" customHeight="1" thickBot="1" x14ac:dyDescent="0.35">
      <c r="C40" s="48"/>
      <c r="D40" s="48" t="s">
        <v>85</v>
      </c>
      <c r="E40" s="85"/>
      <c r="F40" s="48"/>
      <c r="G40" s="95"/>
      <c r="H40" s="95"/>
      <c r="I40" s="303">
        <f>IF(OR($G$31=1,$G$31=3),$H$38*F37*0.93,0)</f>
        <v>0</v>
      </c>
      <c r="J40" s="304"/>
    </row>
    <row r="41" spans="3:11" ht="15.75" customHeight="1" thickTop="1" x14ac:dyDescent="0.3">
      <c r="C41" s="40" t="s">
        <v>86</v>
      </c>
      <c r="E41" s="40"/>
      <c r="G41" s="80"/>
      <c r="H41" s="80"/>
      <c r="I41" s="17">
        <f>SUM(I39:I40)</f>
        <v>0</v>
      </c>
      <c r="J41" s="300">
        <f>I41/$F$9</f>
        <v>0</v>
      </c>
    </row>
    <row r="42" spans="3:11" ht="15.75" customHeight="1" x14ac:dyDescent="0.3">
      <c r="D42" s="40"/>
      <c r="E42" s="40"/>
      <c r="G42" s="80"/>
      <c r="H42" s="80"/>
      <c r="I42" s="99"/>
    </row>
    <row r="43" spans="3:11" ht="15.75" customHeight="1" x14ac:dyDescent="0.2">
      <c r="C43" s="41" t="s">
        <v>87</v>
      </c>
      <c r="F43" s="90"/>
      <c r="G43" s="80"/>
      <c r="H43" s="97"/>
      <c r="I43" s="98"/>
      <c r="K43" s="69"/>
    </row>
    <row r="44" spans="3:11" ht="15.75" customHeight="1" x14ac:dyDescent="0.2">
      <c r="D44" s="36" t="s">
        <v>88</v>
      </c>
      <c r="G44" s="224">
        <f>INDEX(muutla_saaristoasema,MATCH($F$8,kunta,0),1,1)</f>
        <v>0</v>
      </c>
      <c r="H44" s="80"/>
      <c r="I44" s="99"/>
    </row>
    <row r="45" spans="3:11" ht="15.75" customHeight="1" x14ac:dyDescent="0.3">
      <c r="E45" s="40" t="s">
        <v>89</v>
      </c>
      <c r="G45" s="80"/>
      <c r="H45" s="80"/>
      <c r="I45" s="99"/>
    </row>
    <row r="46" spans="3:11" ht="15.75" customHeight="1" x14ac:dyDescent="0.3">
      <c r="E46" s="40" t="s">
        <v>90</v>
      </c>
      <c r="G46" s="80"/>
      <c r="H46" s="80"/>
      <c r="I46" s="99"/>
    </row>
    <row r="47" spans="3:11" ht="15.75" customHeight="1" x14ac:dyDescent="0.3">
      <c r="E47" s="40" t="s">
        <v>91</v>
      </c>
      <c r="G47" s="80"/>
      <c r="H47" s="80"/>
      <c r="I47" s="99"/>
    </row>
    <row r="48" spans="3:11" ht="15.75" customHeight="1" x14ac:dyDescent="0.3">
      <c r="E48" s="40" t="s">
        <v>92</v>
      </c>
      <c r="G48" s="80"/>
      <c r="H48" s="80"/>
      <c r="I48" s="83"/>
    </row>
    <row r="49" spans="3:11" ht="15.75" customHeight="1" thickBot="1" x14ac:dyDescent="0.35">
      <c r="C49" s="48"/>
      <c r="D49" s="48" t="s">
        <v>66</v>
      </c>
      <c r="E49" s="48"/>
      <c r="F49" s="91"/>
      <c r="G49" s="48"/>
      <c r="H49" s="92">
        <v>443.57</v>
      </c>
      <c r="I49" s="94" t="s">
        <v>15</v>
      </c>
      <c r="J49" s="237" t="s">
        <v>67</v>
      </c>
    </row>
    <row r="50" spans="3:11" ht="15.75" customHeight="1" thickTop="1" x14ac:dyDescent="0.3">
      <c r="C50" s="40" t="s">
        <v>93</v>
      </c>
      <c r="H50" s="80"/>
      <c r="I50" s="17">
        <f>IF($G$44=2,3*$H$49*$F$9,IF($G$44=1,$H$49*$F$9,0))</f>
        <v>0</v>
      </c>
      <c r="J50" s="300">
        <f>I50/$F$9</f>
        <v>0</v>
      </c>
    </row>
    <row r="51" spans="3:11" ht="15.75" customHeight="1" x14ac:dyDescent="0.3">
      <c r="D51" s="40"/>
      <c r="E51" s="40"/>
      <c r="G51" s="80"/>
      <c r="H51" s="80"/>
      <c r="I51" s="99"/>
    </row>
    <row r="52" spans="3:11" ht="15.75" customHeight="1" x14ac:dyDescent="0.2">
      <c r="C52" s="41" t="s">
        <v>94</v>
      </c>
      <c r="F52" s="90"/>
      <c r="G52" s="104">
        <f>G44</f>
        <v>0</v>
      </c>
      <c r="H52" s="97"/>
      <c r="I52" s="98"/>
      <c r="K52" s="69"/>
    </row>
    <row r="53" spans="3:11" ht="15.75" customHeight="1" x14ac:dyDescent="0.2">
      <c r="D53" s="36" t="s">
        <v>95</v>
      </c>
      <c r="G53" s="224">
        <f>INDEX(muutla_saaristolaiset,MATCH($F$8,kunta,0),1,1)</f>
        <v>0</v>
      </c>
      <c r="H53" s="80"/>
      <c r="I53" s="99"/>
    </row>
    <row r="54" spans="3:11" ht="15.75" customHeight="1" thickBot="1" x14ac:dyDescent="0.35">
      <c r="C54" s="48"/>
      <c r="D54" s="48" t="s">
        <v>66</v>
      </c>
      <c r="E54" s="48"/>
      <c r="F54" s="91"/>
      <c r="G54" s="48"/>
      <c r="H54" s="92">
        <v>324.47000000000003</v>
      </c>
      <c r="I54" s="94" t="s">
        <v>15</v>
      </c>
      <c r="J54" s="237" t="s">
        <v>67</v>
      </c>
    </row>
    <row r="55" spans="3:11" ht="15.75" customHeight="1" thickTop="1" x14ac:dyDescent="0.3">
      <c r="C55" s="40" t="s">
        <v>96</v>
      </c>
      <c r="H55" s="80"/>
      <c r="I55" s="17">
        <f>IF($G$44=3,$H$54*$G$53,0)</f>
        <v>0</v>
      </c>
      <c r="J55" s="300">
        <f>I55/$F$9</f>
        <v>0</v>
      </c>
    </row>
    <row r="56" spans="3:11" ht="15.75" customHeight="1" x14ac:dyDescent="0.3">
      <c r="D56" s="40"/>
      <c r="E56" s="40"/>
      <c r="G56" s="80"/>
      <c r="H56" s="80"/>
      <c r="I56" s="99"/>
    </row>
    <row r="57" spans="3:11" ht="15.75" customHeight="1" x14ac:dyDescent="0.3">
      <c r="C57" s="41" t="s">
        <v>97</v>
      </c>
      <c r="F57" s="83" t="str">
        <f>$F$8</f>
        <v>Akaa</v>
      </c>
      <c r="G57" s="77" t="s">
        <v>70</v>
      </c>
      <c r="H57" s="97"/>
      <c r="I57" s="98"/>
    </row>
    <row r="58" spans="3:11" ht="15.75" customHeight="1" x14ac:dyDescent="0.2">
      <c r="D58" s="36" t="s">
        <v>98</v>
      </c>
      <c r="F58" s="224">
        <f>INDEX(muutla_maapinta_ala,MATCH($F$8,kunta,0),1,1)</f>
        <v>293.29000000000002</v>
      </c>
      <c r="G58" s="99">
        <f>SUM(muutla_maapinta_ala)</f>
        <v>302444.37000000023</v>
      </c>
      <c r="H58" s="80"/>
      <c r="I58" s="99"/>
    </row>
    <row r="59" spans="3:11" ht="15.75" customHeight="1" x14ac:dyDescent="0.2">
      <c r="D59" s="36" t="s">
        <v>97</v>
      </c>
      <c r="E59" s="86"/>
      <c r="F59" s="229">
        <f>$F$9/F58</f>
        <v>55.873026697125709</v>
      </c>
      <c r="G59" s="105">
        <v>18.533381857959519</v>
      </c>
      <c r="H59" s="80"/>
      <c r="I59" s="99"/>
    </row>
    <row r="60" spans="3:11" ht="15.75" customHeight="1" x14ac:dyDescent="0.2">
      <c r="D60" s="36" t="s">
        <v>99</v>
      </c>
      <c r="F60" s="101"/>
      <c r="G60" s="102"/>
      <c r="H60" s="229">
        <f>$G$59/$F$59</f>
        <v>0.33170534967479998</v>
      </c>
    </row>
    <row r="61" spans="3:11" ht="15.75" customHeight="1" thickBot="1" x14ac:dyDescent="0.35">
      <c r="C61" s="48"/>
      <c r="D61" s="48" t="s">
        <v>66</v>
      </c>
      <c r="E61" s="48"/>
      <c r="F61" s="91"/>
      <c r="G61" s="48"/>
      <c r="H61" s="92">
        <v>45.52</v>
      </c>
      <c r="I61" s="94" t="s">
        <v>15</v>
      </c>
      <c r="J61" s="237" t="s">
        <v>67</v>
      </c>
    </row>
    <row r="62" spans="3:11" ht="15.75" customHeight="1" thickTop="1" x14ac:dyDescent="0.3">
      <c r="C62" s="40" t="s">
        <v>100</v>
      </c>
      <c r="H62" s="80"/>
      <c r="I62" s="17">
        <f>$H$61*$F$9*MIN(20,H60)</f>
        <v>247431.04132430555</v>
      </c>
      <c r="J62" s="300">
        <f>I62/$F$9</f>
        <v>15.099227517196898</v>
      </c>
    </row>
    <row r="63" spans="3:11" ht="15.75" customHeight="1" x14ac:dyDescent="0.3">
      <c r="D63" s="40"/>
      <c r="E63" s="40"/>
      <c r="G63" s="80"/>
      <c r="H63" s="80"/>
      <c r="I63" s="99"/>
    </row>
    <row r="64" spans="3:11" ht="15.75" customHeight="1" x14ac:dyDescent="0.3">
      <c r="C64" s="41" t="s">
        <v>101</v>
      </c>
      <c r="F64" s="83" t="str">
        <f>$F$8</f>
        <v>Akaa</v>
      </c>
      <c r="G64" s="77" t="s">
        <v>70</v>
      </c>
      <c r="H64" s="97"/>
      <c r="I64" s="98"/>
    </row>
    <row r="65" spans="2:11" ht="15.75" customHeight="1" x14ac:dyDescent="0.3">
      <c r="C65" s="41"/>
      <c r="D65" s="36" t="s">
        <v>102</v>
      </c>
      <c r="F65" s="83"/>
      <c r="G65" s="77"/>
      <c r="H65" s="97"/>
      <c r="I65" s="98"/>
    </row>
    <row r="66" spans="2:11" ht="15.75" customHeight="1" x14ac:dyDescent="0.2">
      <c r="F66" s="224">
        <f>INDEX(muutla_ilman_tutkintoa,MATCH($F$8,kunta,0),1,1)</f>
        <v>615</v>
      </c>
      <c r="G66" s="99">
        <f>SUM(muutla_ilman_tutkintoa)</f>
        <v>268633</v>
      </c>
      <c r="H66" s="80"/>
      <c r="I66" s="99"/>
    </row>
    <row r="67" spans="2:11" ht="15.75" customHeight="1" x14ac:dyDescent="0.2">
      <c r="D67" s="36" t="s">
        <v>103</v>
      </c>
      <c r="E67" s="86"/>
      <c r="F67" s="224">
        <f>INDEX(muutla_30_54_v,MATCH($F$8,kunta,0),1,1)</f>
        <v>5285</v>
      </c>
      <c r="G67" s="99">
        <v>1791905</v>
      </c>
      <c r="H67" s="80"/>
      <c r="I67" s="99"/>
    </row>
    <row r="68" spans="2:11" ht="15.75" customHeight="1" x14ac:dyDescent="0.2">
      <c r="D68" s="36" t="s">
        <v>104</v>
      </c>
      <c r="F68" s="230">
        <f>F66/F67</f>
        <v>0.11636707663197729</v>
      </c>
      <c r="G68" s="106">
        <f>G66/G67</f>
        <v>0.14991475552554404</v>
      </c>
      <c r="H68" s="80"/>
      <c r="I68" s="99"/>
    </row>
    <row r="69" spans="2:11" ht="15.75" customHeight="1" x14ac:dyDescent="0.2">
      <c r="D69" s="36" t="s">
        <v>105</v>
      </c>
      <c r="F69" s="101"/>
      <c r="G69" s="102"/>
      <c r="H69" s="231">
        <f>F68/G68</f>
        <v>0.77622163491537999</v>
      </c>
      <c r="K69" s="107"/>
    </row>
    <row r="70" spans="2:11" ht="15.75" customHeight="1" thickBot="1" x14ac:dyDescent="0.35">
      <c r="C70" s="48"/>
      <c r="D70" s="48" t="s">
        <v>66</v>
      </c>
      <c r="E70" s="48"/>
      <c r="F70" s="91"/>
      <c r="G70" s="48"/>
      <c r="H70" s="92">
        <v>31.16</v>
      </c>
      <c r="I70" s="94" t="s">
        <v>15</v>
      </c>
      <c r="J70" s="237" t="s">
        <v>67</v>
      </c>
    </row>
    <row r="71" spans="2:11" ht="15.75" customHeight="1" thickTop="1" x14ac:dyDescent="0.3">
      <c r="C71" s="40" t="s">
        <v>106</v>
      </c>
      <c r="H71" s="80"/>
      <c r="I71" s="17">
        <f>$H$70*$F$9*H69</f>
        <v>396353.45290112559</v>
      </c>
      <c r="J71" s="300">
        <f>I71/$F$9</f>
        <v>24.187066143963239</v>
      </c>
    </row>
    <row r="72" spans="2:11" ht="15.75" customHeight="1" x14ac:dyDescent="0.3">
      <c r="D72" s="40"/>
      <c r="E72" s="40"/>
      <c r="G72" s="80"/>
      <c r="H72" s="80"/>
      <c r="I72" s="17"/>
      <c r="J72" s="301"/>
    </row>
    <row r="73" spans="2:11" ht="12.75" customHeight="1" x14ac:dyDescent="0.2">
      <c r="C73" s="41"/>
      <c r="H73" s="108"/>
      <c r="I73" s="17"/>
      <c r="J73" s="301"/>
    </row>
    <row r="74" spans="2:11" ht="15.75" customHeight="1" x14ac:dyDescent="0.2">
      <c r="B74" s="71" t="s">
        <v>107</v>
      </c>
      <c r="C74" s="72"/>
      <c r="D74" s="72"/>
      <c r="E74" s="87"/>
      <c r="F74" s="72"/>
      <c r="G74" s="72"/>
      <c r="H74" s="109"/>
      <c r="I74" s="245">
        <f>I16+I23+I28+I41+I50+I55+I62+I71</f>
        <v>3586409.7678450621</v>
      </c>
      <c r="J74" s="302">
        <f>I74/$F$9</f>
        <v>218.85700664215915</v>
      </c>
    </row>
    <row r="75" spans="2:11" ht="15" x14ac:dyDescent="0.3">
      <c r="E75" s="54"/>
      <c r="I75" s="77" t="s">
        <v>60</v>
      </c>
    </row>
    <row r="76" spans="2:11" ht="12" customHeight="1" x14ac:dyDescent="0.2">
      <c r="F76" s="6"/>
      <c r="G76" s="41"/>
      <c r="H76" s="41"/>
      <c r="I76" s="6"/>
    </row>
    <row r="77" spans="2:11" ht="15.75" customHeight="1" x14ac:dyDescent="0.2">
      <c r="F77" s="41"/>
      <c r="H77" s="41"/>
    </row>
    <row r="78" spans="2:11" ht="15.75" customHeight="1" x14ac:dyDescent="0.2"/>
    <row r="79" spans="2:11" ht="15.75" customHeight="1" x14ac:dyDescent="0.2"/>
    <row r="80" spans="2:11" ht="15.75" customHeight="1" x14ac:dyDescent="0.2"/>
  </sheetData>
  <protectedRanges>
    <protectedRange sqref="H70 H27 H22 H38 H49 H61 H54 H15" name="Alue5"/>
    <protectedRange sqref="G39:G42 G23:G24 F19:F22 F37:F38 G28:G29 F49 G62:G63 F58:F61 G71:G72 G55:G56 F54 F26:F27 F66:F70 G44:G48 G31:G35 G50:G53 G14:G15 G68" name="Alue3"/>
  </protectedRanges>
  <mergeCells count="1">
    <mergeCell ref="A3:I3"/>
  </mergeCells>
  <pageMargins left="0.75" right="0.75" top="1" bottom="1" header="0.4921259845" footer="0.4921259845"/>
  <pageSetup paperSize="9" scale="96" orientation="portrait" r:id="rId1"/>
  <headerFooter alignWithMargins="0"/>
  <ignoredErrors>
    <ignoredError sqref="A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CD83B-5556-477B-87FF-97E7E4FBAD89}">
  <sheetPr>
    <tabColor rgb="FF92D050"/>
    <pageSetUpPr fitToPage="1"/>
  </sheetPr>
  <dimension ref="A1:R48"/>
  <sheetViews>
    <sheetView zoomScaleNormal="100" workbookViewId="0">
      <selection activeCell="H19" sqref="H19"/>
    </sheetView>
  </sheetViews>
  <sheetFormatPr defaultColWidth="9.28515625" defaultRowHeight="12.75" x14ac:dyDescent="0.2"/>
  <cols>
    <col min="1" max="2" width="2.28515625" style="36" customWidth="1"/>
    <col min="3" max="4" width="3.7109375" style="36" customWidth="1"/>
    <col min="5" max="5" width="23.7109375" style="36" customWidth="1"/>
    <col min="6" max="6" width="13.5703125" style="36" customWidth="1"/>
    <col min="7" max="7" width="10.7109375" style="36" bestFit="1" customWidth="1"/>
    <col min="8" max="8" width="10.42578125" style="36" customWidth="1"/>
    <col min="9" max="9" width="7" style="108" customWidth="1"/>
    <col min="10" max="10" width="12.28515625" style="99" customWidth="1"/>
    <col min="11" max="11" width="9.28515625" style="36"/>
    <col min="12" max="12" width="11.28515625" style="36" customWidth="1"/>
    <col min="13" max="14" width="9.28515625" style="36"/>
    <col min="15" max="16384" width="9.28515625" style="6"/>
  </cols>
  <sheetData>
    <row r="1" spans="1:11" ht="16.5" x14ac:dyDescent="0.3">
      <c r="A1" s="35" t="str">
        <f>'2.Yhteenveto'!A1</f>
        <v>2.12.2025, Kuntaliitto / Olli Riikonen</v>
      </c>
      <c r="E1" s="151"/>
      <c r="F1" s="151"/>
    </row>
    <row r="2" spans="1:11" ht="15.75" x14ac:dyDescent="0.25">
      <c r="E2" s="151"/>
      <c r="F2" s="151"/>
    </row>
    <row r="3" spans="1:11" ht="18.75" x14ac:dyDescent="0.3">
      <c r="A3" s="375" t="s">
        <v>108</v>
      </c>
      <c r="B3" s="375"/>
      <c r="C3" s="375"/>
      <c r="D3" s="375"/>
      <c r="E3" s="375"/>
      <c r="F3" s="375"/>
      <c r="G3" s="375"/>
      <c r="H3" s="375"/>
      <c r="I3" s="375"/>
      <c r="J3" s="375"/>
    </row>
    <row r="4" spans="1:11" ht="15" x14ac:dyDescent="0.3">
      <c r="E4" s="40"/>
      <c r="F4" s="40"/>
    </row>
    <row r="5" spans="1:11" ht="14.25" x14ac:dyDescent="0.3">
      <c r="C5" s="67" t="s">
        <v>46</v>
      </c>
      <c r="E5" s="224"/>
      <c r="F5" s="73" t="s">
        <v>47</v>
      </c>
    </row>
    <row r="6" spans="1:11" ht="14.25" x14ac:dyDescent="0.3">
      <c r="E6" s="38"/>
      <c r="F6" s="73" t="s">
        <v>109</v>
      </c>
    </row>
    <row r="7" spans="1:11" ht="15" x14ac:dyDescent="0.3">
      <c r="E7" s="40"/>
      <c r="F7" s="40"/>
    </row>
    <row r="8" spans="1:11" x14ac:dyDescent="0.2">
      <c r="B8" s="68" t="s">
        <v>9</v>
      </c>
      <c r="E8" s="41"/>
      <c r="F8" s="74" t="str">
        <f>'2.Yhteenveto'!G10</f>
        <v>Akaa</v>
      </c>
    </row>
    <row r="9" spans="1:11" ht="15" x14ac:dyDescent="0.3">
      <c r="B9" s="68" t="str">
        <f>'2.Yhteenveto'!B11</f>
        <v>Asukasluku 31.12.2024:</v>
      </c>
      <c r="E9" s="40"/>
      <c r="F9" s="75">
        <f>'2.Yhteenveto'!$H$11</f>
        <v>16387</v>
      </c>
    </row>
    <row r="10" spans="1:11" ht="15" x14ac:dyDescent="0.3">
      <c r="B10" s="68"/>
      <c r="E10" s="40"/>
      <c r="F10" s="75"/>
    </row>
    <row r="11" spans="1:11" ht="15" x14ac:dyDescent="0.3">
      <c r="B11" s="68"/>
      <c r="C11" s="41" t="s">
        <v>110</v>
      </c>
      <c r="E11" s="40"/>
      <c r="F11" s="75"/>
    </row>
    <row r="12" spans="1:11" ht="15" x14ac:dyDescent="0.3">
      <c r="B12" s="68"/>
      <c r="D12" s="36" t="s">
        <v>66</v>
      </c>
      <c r="E12" s="40"/>
      <c r="F12" s="75"/>
      <c r="H12" s="38">
        <v>20.67</v>
      </c>
    </row>
    <row r="13" spans="1:11" ht="15" x14ac:dyDescent="0.3">
      <c r="B13" s="68"/>
      <c r="D13" s="36" t="s">
        <v>111</v>
      </c>
      <c r="E13" s="40"/>
      <c r="F13" s="75"/>
      <c r="H13" s="229">
        <f>INDEX(lo4_hyte,MATCH($F$8,kunta,0),1,1)</f>
        <v>0.94740045480515234</v>
      </c>
    </row>
    <row r="14" spans="1:11" ht="15.75" thickBot="1" x14ac:dyDescent="0.35">
      <c r="B14" s="68"/>
      <c r="C14" s="48"/>
      <c r="D14" s="48"/>
      <c r="E14" s="152"/>
      <c r="F14" s="48"/>
      <c r="G14" s="48"/>
      <c r="H14" s="153"/>
      <c r="I14" s="149"/>
      <c r="J14" s="94" t="s">
        <v>15</v>
      </c>
      <c r="K14" s="126" t="s">
        <v>67</v>
      </c>
    </row>
    <row r="15" spans="1:11" ht="15.75" thickTop="1" x14ac:dyDescent="0.3">
      <c r="B15" s="68"/>
      <c r="C15" s="36" t="s">
        <v>112</v>
      </c>
      <c r="D15" s="40"/>
      <c r="E15" s="54"/>
      <c r="I15" s="148"/>
      <c r="J15" s="70">
        <f>H12*F9*H13</f>
        <v>320902.8093972783</v>
      </c>
      <c r="K15" s="170">
        <f>J15/$F$9</f>
        <v>19.582767400822501</v>
      </c>
    </row>
    <row r="16" spans="1:11" ht="15" x14ac:dyDescent="0.3">
      <c r="B16" s="68"/>
      <c r="D16" s="40"/>
      <c r="E16" s="54"/>
      <c r="I16" s="148"/>
      <c r="J16" s="70"/>
      <c r="K16" s="170"/>
    </row>
    <row r="17" spans="1:18" ht="15" x14ac:dyDescent="0.3">
      <c r="B17" s="68"/>
      <c r="C17" s="41" t="s">
        <v>113</v>
      </c>
      <c r="D17" s="40"/>
      <c r="E17" s="54"/>
      <c r="H17" s="42">
        <v>1.6174615048132299</v>
      </c>
      <c r="I17" s="148"/>
      <c r="J17" s="70"/>
      <c r="K17" s="170"/>
    </row>
    <row r="18" spans="1:18" ht="15.75" x14ac:dyDescent="0.3">
      <c r="B18" s="68"/>
      <c r="D18" s="36" t="s">
        <v>66</v>
      </c>
      <c r="E18" s="40"/>
      <c r="F18" s="75"/>
      <c r="H18" s="154">
        <v>10.96</v>
      </c>
      <c r="K18" s="170"/>
      <c r="N18" s="155"/>
      <c r="O18" s="19"/>
      <c r="P18" s="19"/>
      <c r="Q18" s="19"/>
      <c r="R18" s="19"/>
    </row>
    <row r="19" spans="1:18" ht="15.75" x14ac:dyDescent="0.3">
      <c r="B19" s="68"/>
      <c r="D19" s="36" t="s">
        <v>114</v>
      </c>
      <c r="E19" s="40"/>
      <c r="F19" s="75"/>
      <c r="H19" s="229">
        <f>INDEX(lo5_asukasmäärän_kasvu,MATCH($F$8,kunta,0),1,1)</f>
        <v>0</v>
      </c>
      <c r="K19" s="170"/>
      <c r="N19" s="156"/>
      <c r="O19" s="20"/>
      <c r="P19" s="20"/>
      <c r="Q19" s="20"/>
      <c r="R19" s="20"/>
    </row>
    <row r="20" spans="1:18" ht="16.5" thickBot="1" x14ac:dyDescent="0.35">
      <c r="B20" s="68"/>
      <c r="C20" s="48"/>
      <c r="D20" s="48"/>
      <c r="E20" s="152"/>
      <c r="F20" s="48"/>
      <c r="G20" s="48"/>
      <c r="H20" s="153"/>
      <c r="I20" s="149"/>
      <c r="J20" s="94" t="s">
        <v>15</v>
      </c>
      <c r="K20" s="239" t="s">
        <v>67</v>
      </c>
      <c r="N20" s="157"/>
      <c r="O20" s="21"/>
      <c r="P20" s="21"/>
      <c r="Q20" s="21"/>
      <c r="R20" s="21"/>
    </row>
    <row r="21" spans="1:18" s="9" customFormat="1" ht="15.75" thickTop="1" x14ac:dyDescent="0.3">
      <c r="A21" s="40"/>
      <c r="B21" s="243"/>
      <c r="C21" s="40" t="s">
        <v>115</v>
      </c>
      <c r="D21" s="40"/>
      <c r="E21" s="39"/>
      <c r="F21" s="40"/>
      <c r="G21" s="40"/>
      <c r="H21" s="40"/>
      <c r="I21" s="148"/>
      <c r="J21" s="150">
        <f>IF(H19&gt;0,F9*H18*H19,0)</f>
        <v>0</v>
      </c>
      <c r="K21" s="244">
        <f>J21/$F$9</f>
        <v>0</v>
      </c>
      <c r="L21" s="40"/>
      <c r="M21" s="40"/>
      <c r="N21" s="40"/>
    </row>
    <row r="22" spans="1:18" x14ac:dyDescent="0.2">
      <c r="K22" s="170"/>
    </row>
    <row r="23" spans="1:18" x14ac:dyDescent="0.2">
      <c r="C23" s="41" t="s">
        <v>116</v>
      </c>
      <c r="G23" s="74"/>
      <c r="H23" s="74"/>
      <c r="I23" s="158"/>
      <c r="J23" s="75"/>
      <c r="K23" s="170"/>
    </row>
    <row r="24" spans="1:18" x14ac:dyDescent="0.2">
      <c r="D24" s="36" t="s">
        <v>66</v>
      </c>
      <c r="F24" s="101"/>
      <c r="H24" s="154">
        <v>66.989999999999995</v>
      </c>
      <c r="I24" s="158"/>
      <c r="J24" s="75"/>
      <c r="K24" s="170"/>
    </row>
    <row r="25" spans="1:18" x14ac:dyDescent="0.2">
      <c r="D25" s="36" t="s">
        <v>117</v>
      </c>
      <c r="G25" s="231">
        <f>INDEX(lo1_syrjäisyysluku,MATCH($F$8,kunta,0),1,1)</f>
        <v>0</v>
      </c>
      <c r="H25" s="74"/>
      <c r="I25" s="158"/>
      <c r="J25" s="75"/>
      <c r="K25" s="170"/>
    </row>
    <row r="26" spans="1:18" ht="15" x14ac:dyDescent="0.3">
      <c r="D26" s="36" t="s">
        <v>118</v>
      </c>
      <c r="G26" s="232"/>
      <c r="H26" s="148" t="s">
        <v>119</v>
      </c>
      <c r="I26" s="159">
        <v>1</v>
      </c>
      <c r="K26" s="170"/>
    </row>
    <row r="27" spans="1:18" ht="15" x14ac:dyDescent="0.3">
      <c r="D27" s="36" t="s">
        <v>120</v>
      </c>
      <c r="G27" s="232"/>
      <c r="H27" s="148" t="s">
        <v>119</v>
      </c>
      <c r="I27" s="160">
        <v>1.5</v>
      </c>
      <c r="K27" s="170"/>
    </row>
    <row r="28" spans="1:18" ht="15.75" thickBot="1" x14ac:dyDescent="0.35">
      <c r="C28" s="48"/>
      <c r="D28" s="152" t="s">
        <v>121</v>
      </c>
      <c r="E28" s="48"/>
      <c r="F28" s="48"/>
      <c r="G28" s="233"/>
      <c r="H28" s="149" t="s">
        <v>119</v>
      </c>
      <c r="I28" s="161">
        <v>3</v>
      </c>
      <c r="J28" s="94" t="s">
        <v>15</v>
      </c>
      <c r="K28" s="239" t="s">
        <v>67</v>
      </c>
    </row>
    <row r="29" spans="1:18" ht="15.75" thickTop="1" x14ac:dyDescent="0.3">
      <c r="C29" s="40" t="s">
        <v>122</v>
      </c>
      <c r="D29" s="54"/>
      <c r="H29" s="148"/>
      <c r="I29" s="159"/>
      <c r="J29" s="70">
        <f>IF(G25&gt;=1.5,3*($H$24*$F$9*G25),IF(G25&gt;=1,1.5*($H$24*$F$9*G25),($H$24*$F$9*G25)))</f>
        <v>0</v>
      </c>
      <c r="K29" s="170">
        <f>J29/$F$9</f>
        <v>0</v>
      </c>
      <c r="M29" s="320"/>
    </row>
    <row r="30" spans="1:18" ht="15" x14ac:dyDescent="0.3">
      <c r="D30" s="54"/>
      <c r="H30" s="148"/>
      <c r="I30" s="159"/>
      <c r="K30" s="170"/>
    </row>
    <row r="31" spans="1:18" ht="15" x14ac:dyDescent="0.3">
      <c r="C31" s="41" t="s">
        <v>123</v>
      </c>
      <c r="F31" s="83" t="str">
        <f>$F$8</f>
        <v>Akaa</v>
      </c>
      <c r="G31" s="77" t="s">
        <v>70</v>
      </c>
      <c r="H31" s="148"/>
      <c r="I31" s="159"/>
      <c r="K31" s="170"/>
    </row>
    <row r="32" spans="1:18" ht="15.75" customHeight="1" x14ac:dyDescent="0.2">
      <c r="D32" s="36" t="s">
        <v>124</v>
      </c>
      <c r="F32" s="224">
        <f>INDEX(lo2_työpaikat,MATCH($F$8,kunta,0),1,1)</f>
        <v>4451</v>
      </c>
      <c r="G32" s="99">
        <f>SUM(lo2_työpaikat)</f>
        <v>2401869</v>
      </c>
      <c r="H32" s="80"/>
      <c r="I32" s="89"/>
      <c r="K32" s="170"/>
    </row>
    <row r="33" spans="2:12" ht="15.75" customHeight="1" x14ac:dyDescent="0.2">
      <c r="D33" s="36" t="s">
        <v>125</v>
      </c>
      <c r="E33" s="86"/>
      <c r="F33" s="224">
        <f>INDEX(lo3_työlliset,MATCH($F$8,kunta,0),1,1)</f>
        <v>6856</v>
      </c>
      <c r="G33" s="99">
        <f>SUM(lo3_työlliset)</f>
        <v>2402942</v>
      </c>
      <c r="H33" s="80"/>
      <c r="I33" s="89"/>
      <c r="K33" s="170"/>
    </row>
    <row r="34" spans="2:12" ht="15.75" customHeight="1" x14ac:dyDescent="0.2">
      <c r="D34" s="36" t="s">
        <v>126</v>
      </c>
      <c r="F34" s="101">
        <f>F32/F33</f>
        <v>0.64921236872812138</v>
      </c>
      <c r="G34" s="102">
        <f>G32/G33</f>
        <v>0.99955346404532441</v>
      </c>
      <c r="I34" s="89"/>
      <c r="J34" s="36"/>
      <c r="K34" s="170"/>
    </row>
    <row r="35" spans="2:12" ht="15.75" customHeight="1" x14ac:dyDescent="0.2">
      <c r="D35" s="36" t="s">
        <v>127</v>
      </c>
      <c r="F35" s="101"/>
      <c r="G35" s="102"/>
      <c r="H35" s="234">
        <f>F34/G34</f>
        <v>0.64950239490009221</v>
      </c>
      <c r="I35" s="89"/>
      <c r="J35" s="36"/>
      <c r="K35" s="170"/>
    </row>
    <row r="36" spans="2:12" ht="15.75" customHeight="1" thickBot="1" x14ac:dyDescent="0.35">
      <c r="C36" s="48"/>
      <c r="D36" s="48" t="s">
        <v>66</v>
      </c>
      <c r="E36" s="48"/>
      <c r="F36" s="91"/>
      <c r="G36" s="48"/>
      <c r="H36" s="92">
        <v>14.02</v>
      </c>
      <c r="I36" s="93"/>
      <c r="J36" s="94" t="s">
        <v>15</v>
      </c>
      <c r="K36" s="239" t="s">
        <v>67</v>
      </c>
    </row>
    <row r="37" spans="2:12" ht="15.75" customHeight="1" thickTop="1" x14ac:dyDescent="0.3">
      <c r="C37" s="40" t="s">
        <v>128</v>
      </c>
      <c r="H37" s="80"/>
      <c r="I37" s="89"/>
      <c r="J37" s="70">
        <f>$F$9*$H$36*H35</f>
        <v>149220.40834809392</v>
      </c>
      <c r="K37" s="170">
        <f t="shared" ref="K37:K47" si="0">J37/$F$9</f>
        <v>9.1060235764992932</v>
      </c>
    </row>
    <row r="38" spans="2:12" ht="15" x14ac:dyDescent="0.3">
      <c r="H38" s="148"/>
      <c r="K38" s="170"/>
    </row>
    <row r="39" spans="2:12" ht="15" x14ac:dyDescent="0.3">
      <c r="C39" s="41" t="s">
        <v>129</v>
      </c>
      <c r="H39" s="148"/>
      <c r="K39" s="170"/>
    </row>
    <row r="40" spans="2:12" ht="15" x14ac:dyDescent="0.3">
      <c r="C40" s="41"/>
      <c r="D40" s="36" t="s">
        <v>130</v>
      </c>
      <c r="G40" s="224">
        <f>INDEX(lo6_saamelaiskunta,MATCH($F$8,kunta,0),1,1)</f>
        <v>0</v>
      </c>
      <c r="H40" s="148"/>
      <c r="K40" s="170"/>
    </row>
    <row r="41" spans="2:12" ht="15" x14ac:dyDescent="0.3">
      <c r="C41" s="41"/>
      <c r="G41" s="162"/>
      <c r="H41" s="148"/>
      <c r="K41" s="170"/>
    </row>
    <row r="42" spans="2:12" ht="15.75" customHeight="1" x14ac:dyDescent="0.2">
      <c r="C42" s="41" t="s">
        <v>131</v>
      </c>
      <c r="F42" s="224">
        <f>INDEX(lo7_saamenkieliset,MATCH($F$8,kunta,0),1,1)</f>
        <v>0</v>
      </c>
      <c r="G42" s="99">
        <f>SUM(lo7_saamenkieliset)</f>
        <v>2077</v>
      </c>
      <c r="H42" s="80"/>
      <c r="I42" s="89"/>
      <c r="K42" s="170"/>
    </row>
    <row r="43" spans="2:12" ht="15.75" customHeight="1" thickBot="1" x14ac:dyDescent="0.35">
      <c r="C43" s="48"/>
      <c r="D43" s="48" t="s">
        <v>66</v>
      </c>
      <c r="E43" s="48"/>
      <c r="F43" s="91"/>
      <c r="G43" s="48"/>
      <c r="H43" s="92">
        <v>979.36</v>
      </c>
      <c r="I43" s="93"/>
      <c r="J43" s="94" t="s">
        <v>15</v>
      </c>
      <c r="K43" s="239" t="s">
        <v>67</v>
      </c>
    </row>
    <row r="44" spans="2:12" ht="15.75" thickTop="1" x14ac:dyDescent="0.3">
      <c r="C44" s="41"/>
      <c r="G44" s="108"/>
      <c r="H44" s="148"/>
      <c r="J44" s="70">
        <f>IF(G40=1,$H$43*$F$9*(F42/F9),0)</f>
        <v>0</v>
      </c>
      <c r="K44" s="170">
        <f>J44/$F$9</f>
        <v>0</v>
      </c>
    </row>
    <row r="45" spans="2:12" ht="15" x14ac:dyDescent="0.3">
      <c r="C45" s="41"/>
      <c r="G45" s="108"/>
      <c r="H45" s="148"/>
      <c r="K45" s="170"/>
    </row>
    <row r="46" spans="2:12" ht="15" x14ac:dyDescent="0.3">
      <c r="J46" s="90" t="s">
        <v>15</v>
      </c>
      <c r="K46" s="76" t="s">
        <v>67</v>
      </c>
    </row>
    <row r="47" spans="2:12" ht="15.75" customHeight="1" x14ac:dyDescent="0.2">
      <c r="B47" s="71" t="s">
        <v>132</v>
      </c>
      <c r="C47" s="72"/>
      <c r="D47" s="72"/>
      <c r="E47" s="72"/>
      <c r="F47" s="87"/>
      <c r="G47" s="72"/>
      <c r="H47" s="72"/>
      <c r="I47" s="109"/>
      <c r="J47" s="238">
        <f>SUM(J14:J45)</f>
        <v>470123.21774537221</v>
      </c>
      <c r="K47" s="240">
        <f t="shared" si="0"/>
        <v>28.688790977321791</v>
      </c>
      <c r="L47" s="99"/>
    </row>
    <row r="48" spans="2:12" ht="15" x14ac:dyDescent="0.3">
      <c r="J48" s="77" t="s">
        <v>60</v>
      </c>
    </row>
  </sheetData>
  <protectedRanges>
    <protectedRange sqref="G26:G30 G38:G39 G44:G45" name="Alue2"/>
    <protectedRange sqref="G25" name="Alue3"/>
    <protectedRange sqref="H24" name="Alue5"/>
    <protectedRange sqref="F24" name="Alue3_1"/>
    <protectedRange sqref="H36 H43" name="Alue5_1"/>
    <protectedRange sqref="G37 F42:F43 F32:F36 G40:G41" name="Alue3_2"/>
  </protectedRanges>
  <mergeCells count="1">
    <mergeCell ref="A3:J3"/>
  </mergeCells>
  <pageMargins left="0.75" right="0.75" top="1" bottom="1" header="0.4921259845" footer="0.4921259845"/>
  <pageSetup paperSize="9" scale="93" orientation="portrait" r:id="rId1"/>
  <headerFooter alignWithMargins="0"/>
  <ignoredErrors>
    <ignoredError sqref="A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1F29A-1BAE-41A5-AB16-C058A63EA981}">
  <sheetPr>
    <tabColor rgb="FF92D050"/>
    <pageSetUpPr fitToPage="1"/>
  </sheetPr>
  <dimension ref="A1:U70"/>
  <sheetViews>
    <sheetView zoomScaleNormal="100" workbookViewId="0">
      <pane ySplit="9" topLeftCell="A10" activePane="bottomLeft" state="frozen"/>
      <selection pane="bottomLeft"/>
    </sheetView>
  </sheetViews>
  <sheetFormatPr defaultColWidth="9.140625" defaultRowHeight="14.25" customHeight="1" x14ac:dyDescent="0.2"/>
  <cols>
    <col min="1" max="1" width="2.5703125" style="36" customWidth="1"/>
    <col min="2" max="2" width="2.7109375" style="36" customWidth="1"/>
    <col min="3" max="3" width="31.42578125" style="36" customWidth="1"/>
    <col min="4" max="4" width="14.42578125" style="36" customWidth="1"/>
    <col min="5" max="5" width="24.28515625" style="36" customWidth="1"/>
    <col min="6" max="6" width="19.7109375" style="36" customWidth="1"/>
    <col min="7" max="7" width="10" style="36" bestFit="1" customWidth="1"/>
    <col min="8" max="8" width="14.42578125" style="36" customWidth="1"/>
    <col min="9" max="9" width="10.28515625" style="78" bestFit="1" customWidth="1"/>
    <col min="10" max="10" width="14.42578125" style="36" customWidth="1"/>
    <col min="11" max="11" width="21.42578125" style="36" customWidth="1"/>
    <col min="12" max="12" width="9.140625" style="36"/>
    <col min="13" max="13" width="9.28515625" style="36" bestFit="1" customWidth="1"/>
    <col min="14" max="16" width="10" style="36" bestFit="1" customWidth="1"/>
    <col min="17" max="18" width="9.28515625" style="36" bestFit="1" customWidth="1"/>
    <col min="19" max="19" width="10" style="36" bestFit="1" customWidth="1"/>
    <col min="20" max="20" width="9.140625" style="36"/>
    <col min="21" max="21" width="10" style="36" bestFit="1" customWidth="1"/>
    <col min="22" max="16384" width="9.140625" style="36"/>
  </cols>
  <sheetData>
    <row r="1" spans="1:10" s="78" customFormat="1" ht="14.25" customHeight="1" x14ac:dyDescent="0.3">
      <c r="A1" s="35" t="str">
        <f>'2.Yhteenveto'!A1</f>
        <v>2.12.2025, Kuntaliitto / Olli Riikonen</v>
      </c>
      <c r="B1" s="36"/>
      <c r="C1" s="36"/>
      <c r="D1" s="36"/>
      <c r="E1" s="151"/>
      <c r="F1" s="151"/>
      <c r="G1" s="108"/>
      <c r="H1" s="99"/>
    </row>
    <row r="2" spans="1:10" s="78" customFormat="1" ht="14.25" customHeight="1" x14ac:dyDescent="0.3">
      <c r="A2" s="36"/>
      <c r="B2" s="36"/>
      <c r="C2" s="36"/>
      <c r="D2" s="36"/>
      <c r="E2" s="67"/>
      <c r="F2" s="67"/>
      <c r="G2" s="108"/>
      <c r="H2" s="99"/>
    </row>
    <row r="3" spans="1:10" s="78" customFormat="1" ht="17.649999999999999" customHeight="1" x14ac:dyDescent="0.3">
      <c r="A3" s="375" t="s">
        <v>133</v>
      </c>
      <c r="B3" s="375"/>
      <c r="C3" s="375"/>
      <c r="D3" s="375"/>
      <c r="E3" s="375"/>
      <c r="F3" s="375"/>
      <c r="G3" s="375"/>
      <c r="H3" s="375"/>
    </row>
    <row r="4" spans="1:10" s="78" customFormat="1" ht="14.25" customHeight="1" x14ac:dyDescent="0.2">
      <c r="A4" s="36"/>
      <c r="B4" s="36"/>
      <c r="C4" s="36"/>
      <c r="D4" s="36"/>
      <c r="E4" s="36"/>
      <c r="F4" s="36"/>
      <c r="G4" s="108"/>
      <c r="H4" s="99"/>
    </row>
    <row r="5" spans="1:10" s="78" customFormat="1" ht="14.25" customHeight="1" x14ac:dyDescent="0.3">
      <c r="A5" s="36"/>
      <c r="B5" s="67" t="s">
        <v>46</v>
      </c>
      <c r="C5" s="36"/>
      <c r="D5" s="224"/>
      <c r="E5" s="73" t="s">
        <v>47</v>
      </c>
      <c r="F5" s="73"/>
      <c r="G5" s="36"/>
      <c r="H5" s="99"/>
    </row>
    <row r="6" spans="1:10" s="78" customFormat="1" ht="14.25" customHeight="1" x14ac:dyDescent="0.3">
      <c r="A6" s="36"/>
      <c r="B6" s="36"/>
      <c r="C6" s="36"/>
      <c r="D6" s="38"/>
      <c r="E6" s="73" t="s">
        <v>48</v>
      </c>
      <c r="F6" s="73"/>
      <c r="G6" s="36"/>
      <c r="H6" s="99"/>
    </row>
    <row r="7" spans="1:10" s="78" customFormat="1" ht="14.25" customHeight="1" x14ac:dyDescent="0.2">
      <c r="A7" s="36"/>
      <c r="B7" s="36"/>
      <c r="C7" s="36"/>
      <c r="D7" s="36"/>
      <c r="E7" s="36"/>
      <c r="F7" s="36"/>
      <c r="G7" s="108"/>
      <c r="H7" s="99"/>
    </row>
    <row r="8" spans="1:10" s="78" customFormat="1" ht="14.25" customHeight="1" x14ac:dyDescent="0.2">
      <c r="A8" s="36"/>
      <c r="B8" s="68" t="s">
        <v>9</v>
      </c>
      <c r="C8" s="36"/>
      <c r="D8" s="36"/>
      <c r="E8" s="163" t="str">
        <f>'2.Yhteenveto'!G10</f>
        <v>Akaa</v>
      </c>
      <c r="F8" s="36"/>
      <c r="G8" s="36"/>
      <c r="H8" s="99"/>
    </row>
    <row r="9" spans="1:10" s="78" customFormat="1" ht="14.25" customHeight="1" x14ac:dyDescent="0.3">
      <c r="A9" s="36"/>
      <c r="B9" s="68" t="str">
        <f>'2.Yhteenveto'!B11</f>
        <v>Asukasluku 31.12.2024:</v>
      </c>
      <c r="C9" s="36"/>
      <c r="D9" s="36"/>
      <c r="E9" s="164">
        <f>'2.Yhteenveto'!H11</f>
        <v>16387</v>
      </c>
      <c r="F9" s="36"/>
      <c r="G9" s="36"/>
      <c r="H9" s="241" t="s">
        <v>15</v>
      </c>
      <c r="I9" s="74" t="s">
        <v>67</v>
      </c>
    </row>
    <row r="10" spans="1:10" s="78" customFormat="1" ht="14.25" customHeight="1" x14ac:dyDescent="0.2">
      <c r="A10" s="36"/>
      <c r="B10" s="68"/>
      <c r="C10" s="36"/>
      <c r="D10" s="36"/>
      <c r="E10" s="164"/>
      <c r="F10" s="36"/>
      <c r="G10" s="36"/>
      <c r="H10" s="99"/>
    </row>
    <row r="11" spans="1:10" s="78" customFormat="1" ht="14.25" customHeight="1" x14ac:dyDescent="0.2">
      <c r="A11" s="36"/>
      <c r="B11" s="41" t="s">
        <v>134</v>
      </c>
      <c r="C11" s="36"/>
      <c r="D11" s="36"/>
      <c r="E11" s="164"/>
      <c r="F11" s="36"/>
      <c r="G11" s="36"/>
    </row>
    <row r="12" spans="1:10" s="78" customFormat="1" ht="14.25" customHeight="1" x14ac:dyDescent="0.2">
      <c r="A12" s="36"/>
      <c r="B12" s="36"/>
      <c r="C12" s="36" t="s">
        <v>135</v>
      </c>
      <c r="D12" s="36"/>
      <c r="E12" s="36"/>
      <c r="F12" s="36"/>
      <c r="G12" s="15"/>
      <c r="H12" s="225">
        <f>(INDEX(vl_etuuskompensaatio,MATCH($E$8,kunta,0),1,1))</f>
        <v>1028469.863971878</v>
      </c>
      <c r="I12" s="220">
        <f>H12/$E$9</f>
        <v>62.761326903757734</v>
      </c>
    </row>
    <row r="13" spans="1:10" s="78" customFormat="1" ht="14.25" customHeight="1" x14ac:dyDescent="0.2">
      <c r="A13" s="36"/>
      <c r="B13" s="36"/>
      <c r="C13" s="36"/>
      <c r="D13" s="36"/>
      <c r="E13" s="36"/>
      <c r="F13" s="36"/>
      <c r="G13" s="15"/>
      <c r="H13" s="10"/>
      <c r="I13" s="220"/>
    </row>
    <row r="14" spans="1:10" s="78" customFormat="1" ht="14.25" customHeight="1" x14ac:dyDescent="0.2">
      <c r="A14" s="36"/>
      <c r="B14" s="41" t="s">
        <v>136</v>
      </c>
      <c r="C14" s="36"/>
      <c r="D14" s="36"/>
      <c r="E14" s="36"/>
      <c r="F14" s="36"/>
      <c r="G14" s="287" t="s">
        <v>23</v>
      </c>
      <c r="H14" s="18" t="s">
        <v>15</v>
      </c>
      <c r="I14" s="220"/>
    </row>
    <row r="15" spans="1:10" ht="18.75" customHeight="1" x14ac:dyDescent="0.3">
      <c r="C15" s="36" t="s">
        <v>137</v>
      </c>
      <c r="G15" s="298">
        <v>-0.98</v>
      </c>
      <c r="H15" s="222">
        <f>$E$9*G15</f>
        <v>-16059.26</v>
      </c>
      <c r="I15" s="220"/>
      <c r="J15" s="67"/>
    </row>
    <row r="16" spans="1:10" ht="18.75" customHeight="1" x14ac:dyDescent="0.2">
      <c r="C16" s="36" t="s">
        <v>138</v>
      </c>
      <c r="G16" s="298">
        <v>-1.78</v>
      </c>
      <c r="H16" s="222">
        <f>$E$9*G16</f>
        <v>-29168.86</v>
      </c>
      <c r="I16" s="220"/>
    </row>
    <row r="17" spans="2:10" ht="18.75" customHeight="1" x14ac:dyDescent="0.2">
      <c r="C17" s="36" t="s">
        <v>139</v>
      </c>
      <c r="G17" s="298">
        <v>-0.98</v>
      </c>
      <c r="H17" s="222">
        <f>$E$9*G17</f>
        <v>-16059.26</v>
      </c>
      <c r="I17" s="220"/>
    </row>
    <row r="18" spans="2:10" ht="18.75" customHeight="1" x14ac:dyDescent="0.2">
      <c r="C18" s="36" t="s">
        <v>140</v>
      </c>
      <c r="G18" s="298">
        <v>-0.01</v>
      </c>
      <c r="H18" s="222">
        <f>$E$9*G18</f>
        <v>-163.87</v>
      </c>
      <c r="I18" s="220"/>
    </row>
    <row r="19" spans="2:10" ht="18.75" customHeight="1" x14ac:dyDescent="0.2">
      <c r="C19" s="36" t="s">
        <v>141</v>
      </c>
      <c r="G19" s="298">
        <v>-17.579999999999998</v>
      </c>
      <c r="H19" s="222">
        <f>$E$9*G19</f>
        <v>-288083.45999999996</v>
      </c>
      <c r="I19" s="220"/>
    </row>
    <row r="20" spans="2:10" ht="18.75" customHeight="1" x14ac:dyDescent="0.3">
      <c r="C20" s="36" t="s">
        <v>142</v>
      </c>
      <c r="G20" s="299"/>
      <c r="H20" s="225">
        <f>(INDEX(vl_toimeentulotuki,MATCH($E$8,kunta,0),1,1))</f>
        <v>-919291.13399999996</v>
      </c>
      <c r="I20" s="220">
        <f t="shared" ref="I20:I62" si="0">H20/$E$9</f>
        <v>-56.098806004759865</v>
      </c>
      <c r="J20" s="40" t="s">
        <v>622</v>
      </c>
    </row>
    <row r="21" spans="2:10" ht="18.75" customHeight="1" x14ac:dyDescent="0.2">
      <c r="C21" s="36" t="s">
        <v>143</v>
      </c>
      <c r="G21" s="298">
        <v>-3.89</v>
      </c>
      <c r="H21" s="222">
        <f t="shared" ref="H21" si="1">$E$9*G21</f>
        <v>-63745.43</v>
      </c>
      <c r="I21" s="220"/>
    </row>
    <row r="22" spans="2:10" ht="18.75" customHeight="1" x14ac:dyDescent="0.3">
      <c r="C22" s="311" t="s">
        <v>144</v>
      </c>
      <c r="G22" s="288"/>
      <c r="H22" s="225">
        <f>(INDEX(vl_vos_kehysriihisäästö,MATCH($E$8,kunta,0),1,1))</f>
        <v>-164605.34527675566</v>
      </c>
      <c r="I22" s="220">
        <f t="shared" si="0"/>
        <v>-10.044873697245112</v>
      </c>
      <c r="J22" s="40" t="s">
        <v>621</v>
      </c>
    </row>
    <row r="23" spans="2:10" ht="14.25" customHeight="1" x14ac:dyDescent="0.2">
      <c r="G23" s="15"/>
      <c r="H23" s="222"/>
      <c r="I23" s="220"/>
    </row>
    <row r="24" spans="2:10" ht="14.25" customHeight="1" x14ac:dyDescent="0.2">
      <c r="B24" s="41" t="s">
        <v>145</v>
      </c>
      <c r="G24" s="287"/>
      <c r="H24" s="6"/>
      <c r="I24" s="220"/>
    </row>
    <row r="25" spans="2:10" ht="14.25" customHeight="1" x14ac:dyDescent="0.2">
      <c r="B25" s="41"/>
      <c r="C25" s="41" t="s">
        <v>606</v>
      </c>
      <c r="G25" s="287"/>
      <c r="H25" s="18"/>
      <c r="I25" s="220"/>
    </row>
    <row r="26" spans="2:10" ht="14.25" customHeight="1" x14ac:dyDescent="0.2">
      <c r="B26" s="41"/>
      <c r="C26" s="36" t="s">
        <v>146</v>
      </c>
      <c r="G26" s="15"/>
      <c r="H26" s="222">
        <f>INDEX(vl_TE_porrastus,MATCH($E$8,kunta,0),1,1)</f>
        <v>-40580.859242424951</v>
      </c>
      <c r="I26" s="220"/>
    </row>
    <row r="27" spans="2:10" ht="14.25" customHeight="1" x14ac:dyDescent="0.2">
      <c r="B27" s="41"/>
      <c r="C27" s="41" t="s">
        <v>605</v>
      </c>
      <c r="G27" s="287"/>
      <c r="H27" s="289"/>
      <c r="I27" s="220"/>
    </row>
    <row r="28" spans="2:10" ht="14.25" customHeight="1" x14ac:dyDescent="0.3">
      <c r="B28" s="41"/>
      <c r="C28" s="36" t="s">
        <v>147</v>
      </c>
      <c r="G28" s="15"/>
      <c r="H28" s="225">
        <f>(INDEX(vl_sote_muutosrajoitin,MATCH($E$8,kunta,0),1,1))</f>
        <v>-2785117.3322464745</v>
      </c>
      <c r="I28" s="220">
        <f t="shared" si="0"/>
        <v>-169.95895113483093</v>
      </c>
      <c r="J28" s="40" t="s">
        <v>570</v>
      </c>
    </row>
    <row r="29" spans="2:10" ht="14.25" customHeight="1" x14ac:dyDescent="0.3">
      <c r="B29" s="41"/>
      <c r="C29" s="36" t="s">
        <v>617</v>
      </c>
      <c r="G29" s="15"/>
      <c r="H29" s="225">
        <f>(INDEX(vl_sote_järjestelmämuutoksen_tasaus,MATCH($E$8,kunta,0),1,1))</f>
        <v>-1928333.1933880118</v>
      </c>
      <c r="I29" s="220">
        <f t="shared" si="0"/>
        <v>-117.67457090303361</v>
      </c>
      <c r="J29" s="141" t="s">
        <v>572</v>
      </c>
    </row>
    <row r="30" spans="2:10" ht="14.25" customHeight="1" x14ac:dyDescent="0.3">
      <c r="B30" s="41"/>
      <c r="C30" s="165" t="s">
        <v>148</v>
      </c>
      <c r="D30" s="166"/>
      <c r="E30" s="166"/>
      <c r="F30" s="166"/>
      <c r="G30" s="290"/>
      <c r="H30" s="225">
        <f>(INDEX(vl_sote_lisäsiirto2023,MATCH($E$8,kunta,0),1,1))</f>
        <v>-488332.60000000003</v>
      </c>
      <c r="I30" s="220">
        <f t="shared" si="0"/>
        <v>-29.8</v>
      </c>
      <c r="J30" s="40" t="s">
        <v>149</v>
      </c>
    </row>
    <row r="31" spans="2:10" ht="14.25" customHeight="1" x14ac:dyDescent="0.3">
      <c r="C31" s="165" t="s">
        <v>150</v>
      </c>
      <c r="G31" s="15"/>
      <c r="H31" s="225">
        <f>(INDEX(vl_sote_lisäsiirto2024,MATCH($E$8,kunta,0),1,1))</f>
        <v>-187139.54</v>
      </c>
      <c r="I31" s="220">
        <f t="shared" si="0"/>
        <v>-11.42</v>
      </c>
      <c r="J31" s="40" t="s">
        <v>151</v>
      </c>
    </row>
    <row r="32" spans="2:10" ht="14.25" customHeight="1" x14ac:dyDescent="0.2">
      <c r="B32" s="167" t="s">
        <v>152</v>
      </c>
      <c r="C32" s="168"/>
      <c r="D32" s="168"/>
      <c r="E32" s="168"/>
      <c r="F32" s="168"/>
      <c r="G32" s="291"/>
      <c r="H32" s="292">
        <f>SUM(H28:H31)</f>
        <v>-5388922.6656344859</v>
      </c>
      <c r="I32" s="220">
        <f t="shared" si="0"/>
        <v>-328.85352203786454</v>
      </c>
    </row>
    <row r="33" spans="1:9" ht="14.25" customHeight="1" x14ac:dyDescent="0.2">
      <c r="G33" s="15"/>
      <c r="H33" s="222"/>
      <c r="I33" s="220"/>
    </row>
    <row r="34" spans="1:9" ht="14.25" customHeight="1" x14ac:dyDescent="0.2">
      <c r="A34" s="71" t="s">
        <v>153</v>
      </c>
      <c r="B34" s="72"/>
      <c r="C34" s="72"/>
      <c r="D34" s="72"/>
      <c r="E34" s="72"/>
      <c r="F34" s="72"/>
      <c r="G34" s="293"/>
      <c r="H34" s="294">
        <f>SUM(H12:H31)</f>
        <v>-5898210.2801817888</v>
      </c>
      <c r="I34" s="220">
        <f t="shared" si="0"/>
        <v>-359.93228047731668</v>
      </c>
    </row>
    <row r="35" spans="1:9" ht="14.25" customHeight="1" x14ac:dyDescent="0.2">
      <c r="G35" s="6"/>
      <c r="H35" s="295" t="s">
        <v>60</v>
      </c>
      <c r="I35" s="220"/>
    </row>
    <row r="36" spans="1:9" ht="14.25" customHeight="1" x14ac:dyDescent="0.2">
      <c r="A36" s="41" t="s">
        <v>154</v>
      </c>
      <c r="G36" s="6"/>
      <c r="H36" s="6"/>
      <c r="I36" s="220"/>
    </row>
    <row r="37" spans="1:9" ht="14.25" hidden="1" customHeight="1" x14ac:dyDescent="0.2">
      <c r="C37" s="36" t="s">
        <v>155</v>
      </c>
      <c r="G37" s="296">
        <f>(INDEX(vl_9,MATCH($E$8,kunta,0),1,1))*0.3</f>
        <v>400283.7</v>
      </c>
      <c r="H37" s="6"/>
      <c r="I37" s="220"/>
    </row>
    <row r="38" spans="1:9" ht="14.25" hidden="1" customHeight="1" x14ac:dyDescent="0.2">
      <c r="G38" s="10"/>
      <c r="H38" s="6"/>
      <c r="I38" s="220"/>
    </row>
    <row r="39" spans="1:9" ht="14.25" hidden="1" customHeight="1" x14ac:dyDescent="0.2">
      <c r="C39" s="36" t="s">
        <v>156</v>
      </c>
      <c r="G39" s="296">
        <f>(INDEX(vl_10,MATCH($E$8,kunta,0),1,1))*0.3</f>
        <v>123162.9</v>
      </c>
      <c r="H39" s="6"/>
      <c r="I39" s="220"/>
    </row>
    <row r="40" spans="1:9" ht="14.25" hidden="1" customHeight="1" x14ac:dyDescent="0.2">
      <c r="G40" s="10"/>
      <c r="H40" s="6"/>
      <c r="I40" s="220"/>
    </row>
    <row r="41" spans="1:9" ht="14.25" hidden="1" customHeight="1" x14ac:dyDescent="0.2">
      <c r="C41" s="36" t="s">
        <v>157</v>
      </c>
      <c r="G41" s="296">
        <f>(INDEX(vl_11,MATCH($E$8,kunta,0),1,1))*0.3</f>
        <v>269218.48274478747</v>
      </c>
      <c r="H41" s="6"/>
      <c r="I41" s="220"/>
    </row>
    <row r="42" spans="1:9" ht="14.25" hidden="1" customHeight="1" x14ac:dyDescent="0.2">
      <c r="G42" s="10"/>
      <c r="H42" s="6"/>
      <c r="I42" s="220"/>
    </row>
    <row r="43" spans="1:9" ht="14.25" hidden="1" customHeight="1" x14ac:dyDescent="0.2">
      <c r="C43" s="36" t="s">
        <v>158</v>
      </c>
      <c r="G43" s="296">
        <f>(INDEX(vl_12,MATCH($E$8,kunta,0),1,1))*0.3</f>
        <v>8228.6063684951059</v>
      </c>
      <c r="H43" s="6"/>
      <c r="I43" s="220"/>
    </row>
    <row r="44" spans="1:9" ht="14.25" hidden="1" customHeight="1" x14ac:dyDescent="0.2">
      <c r="G44" s="10"/>
      <c r="H44" s="6"/>
      <c r="I44" s="220"/>
    </row>
    <row r="45" spans="1:9" ht="14.25" hidden="1" customHeight="1" x14ac:dyDescent="0.2">
      <c r="C45" s="36" t="s">
        <v>159</v>
      </c>
      <c r="G45" s="296">
        <f>(INDEX(vl_13,MATCH($E$8,kunta,0),1,1))*0.3</f>
        <v>37784.501939051901</v>
      </c>
      <c r="H45" s="6"/>
      <c r="I45" s="220"/>
    </row>
    <row r="46" spans="1:9" ht="14.25" hidden="1" customHeight="1" x14ac:dyDescent="0.2">
      <c r="G46" s="10"/>
      <c r="H46" s="6"/>
      <c r="I46" s="220"/>
    </row>
    <row r="47" spans="1:9" ht="14.25" hidden="1" customHeight="1" x14ac:dyDescent="0.2">
      <c r="C47" s="36" t="s">
        <v>160</v>
      </c>
      <c r="G47" s="296">
        <f>(INDEX(vl_14,MATCH($E$8,kunta,0),1,1))*0.3</f>
        <v>124057.86701494157</v>
      </c>
      <c r="H47" s="6"/>
      <c r="I47" s="220"/>
    </row>
    <row r="48" spans="1:9" ht="14.25" hidden="1" customHeight="1" x14ac:dyDescent="0.2">
      <c r="G48" s="6"/>
      <c r="H48" s="6"/>
      <c r="I48" s="220"/>
    </row>
    <row r="49" spans="1:10" ht="14.25" hidden="1" customHeight="1" x14ac:dyDescent="0.2">
      <c r="C49" s="36" t="s">
        <v>161</v>
      </c>
      <c r="G49" s="296">
        <f>(INDEX(vl_19,MATCH($E$8,kunta,0),1,1))*0.3</f>
        <v>250133.10468227489</v>
      </c>
      <c r="H49" s="6"/>
      <c r="I49" s="220"/>
    </row>
    <row r="50" spans="1:10" ht="14.25" hidden="1" customHeight="1" x14ac:dyDescent="0.2">
      <c r="G50" s="6"/>
      <c r="H50" s="6"/>
      <c r="I50" s="220"/>
    </row>
    <row r="51" spans="1:10" ht="14.25" hidden="1" customHeight="1" x14ac:dyDescent="0.2">
      <c r="C51" s="36" t="s">
        <v>162</v>
      </c>
      <c r="G51" s="296">
        <f>(INDEX(vl_22,MATCH($E$8,kunta,0),1,1))*0.3</f>
        <v>404003.86593503691</v>
      </c>
      <c r="H51" s="6"/>
      <c r="I51" s="220"/>
    </row>
    <row r="52" spans="1:10" ht="14.25" hidden="1" customHeight="1" x14ac:dyDescent="0.2">
      <c r="G52" s="6"/>
      <c r="H52" s="6"/>
      <c r="I52" s="220"/>
    </row>
    <row r="53" spans="1:10" ht="14.25" hidden="1" customHeight="1" x14ac:dyDescent="0.2">
      <c r="C53" s="36" t="s">
        <v>163</v>
      </c>
      <c r="G53" s="296">
        <f>(INDEX(vl_23,MATCH($E$8,kunta,0),1,1))*0.3</f>
        <v>106767.67417128831</v>
      </c>
      <c r="H53" s="6"/>
      <c r="I53" s="220"/>
    </row>
    <row r="54" spans="1:10" ht="14.25" hidden="1" customHeight="1" x14ac:dyDescent="0.2">
      <c r="G54" s="6"/>
      <c r="H54" s="6"/>
      <c r="I54" s="220"/>
    </row>
    <row r="55" spans="1:10" ht="14.25" hidden="1" customHeight="1" x14ac:dyDescent="0.2">
      <c r="C55" s="36" t="s">
        <v>164</v>
      </c>
      <c r="G55" s="296">
        <f>(INDEX(vl_24,MATCH($E$8,kunta,0),1,1))*0.3</f>
        <v>209124.46724270171</v>
      </c>
      <c r="H55" s="6"/>
      <c r="I55" s="220"/>
    </row>
    <row r="56" spans="1:10" ht="14.25" hidden="1" customHeight="1" x14ac:dyDescent="0.2">
      <c r="G56" s="6"/>
      <c r="H56" s="6"/>
      <c r="I56" s="220"/>
    </row>
    <row r="57" spans="1:10" ht="14.25" hidden="1" customHeight="1" x14ac:dyDescent="0.2">
      <c r="C57" s="36" t="s">
        <v>165</v>
      </c>
      <c r="G57" s="296">
        <f>(INDEX(vl_26,MATCH($E$8,kunta,0),1,1))*0.3</f>
        <v>264379.17077709531</v>
      </c>
      <c r="H57" s="6"/>
      <c r="I57" s="220"/>
    </row>
    <row r="58" spans="1:10" ht="14.25" hidden="1" customHeight="1" x14ac:dyDescent="0.2">
      <c r="G58" s="6"/>
      <c r="H58" s="6"/>
      <c r="I58" s="220"/>
    </row>
    <row r="59" spans="1:10" ht="14.25" hidden="1" customHeight="1" x14ac:dyDescent="0.2">
      <c r="C59" s="36" t="s">
        <v>166</v>
      </c>
      <c r="G59" s="296">
        <f>(INDEX(vl_27,MATCH($E$8,kunta,0),1,1))*0.3</f>
        <v>165759.55459647183</v>
      </c>
      <c r="H59" s="6"/>
      <c r="I59" s="220"/>
      <c r="J59" s="159"/>
    </row>
    <row r="60" spans="1:10" ht="14.25" hidden="1" customHeight="1" x14ac:dyDescent="0.2">
      <c r="G60" s="6"/>
      <c r="H60" s="6"/>
      <c r="I60" s="220"/>
    </row>
    <row r="61" spans="1:10" ht="14.25" hidden="1" customHeight="1" x14ac:dyDescent="0.2">
      <c r="C61" s="36" t="s">
        <v>167</v>
      </c>
      <c r="G61" s="296">
        <f>(INDEX(vl_28,MATCH($E$8,kunta,0),1,1))*0.3</f>
        <v>159157.53087737496</v>
      </c>
      <c r="H61" s="6"/>
      <c r="I61" s="220"/>
    </row>
    <row r="62" spans="1:10" ht="14.25" customHeight="1" x14ac:dyDescent="0.3">
      <c r="C62" s="36" t="s">
        <v>168</v>
      </c>
      <c r="G62" s="6"/>
      <c r="H62" s="226">
        <f>INDEX(verotulomenetysten_korvaus,MATCH($E$8,kunta,0),1,1)</f>
        <v>1162956.2738746025</v>
      </c>
      <c r="I62" s="220">
        <f t="shared" si="0"/>
        <v>70.968223218075451</v>
      </c>
      <c r="J62" s="40"/>
    </row>
    <row r="63" spans="1:10" ht="14.25" customHeight="1" x14ac:dyDescent="0.2">
      <c r="A63" s="71" t="s">
        <v>169</v>
      </c>
      <c r="B63" s="72"/>
      <c r="C63" s="72"/>
      <c r="D63" s="72"/>
      <c r="E63" s="72"/>
      <c r="F63" s="72"/>
      <c r="G63" s="293"/>
      <c r="H63" s="297">
        <f>SUM(H37:H61)+H62</f>
        <v>1162956.2738746025</v>
      </c>
      <c r="I63" s="220">
        <f t="shared" ref="I63" si="2">H63/$E$9</f>
        <v>70.968223218075451</v>
      </c>
    </row>
    <row r="65" spans="4:21" ht="14.25" customHeight="1" x14ac:dyDescent="0.2">
      <c r="H65" s="78"/>
    </row>
    <row r="70" spans="4:21" ht="14.25" customHeight="1" x14ac:dyDescent="0.2">
      <c r="D70" s="169"/>
      <c r="E70" s="169"/>
      <c r="F70" s="169"/>
      <c r="G70" s="169"/>
      <c r="H70" s="169"/>
      <c r="I70" s="171"/>
      <c r="J70" s="169"/>
      <c r="K70" s="169"/>
      <c r="L70" s="169"/>
      <c r="M70" s="169"/>
      <c r="N70" s="169"/>
      <c r="O70" s="169"/>
      <c r="P70" s="169"/>
      <c r="Q70" s="169"/>
      <c r="R70" s="169"/>
      <c r="S70" s="169"/>
      <c r="T70" s="169"/>
      <c r="U70" s="169"/>
    </row>
  </sheetData>
  <protectedRanges>
    <protectedRange sqref="G19:G22 G28:G30 G12 G26 G17" name="Alue1"/>
    <protectedRange sqref="H62 H20 G57:H57 G37:H55 H28:H32 H12 H22 H26 G59:H61" name="Alue2"/>
    <protectedRange sqref="G18 G16" name="Alue1_2"/>
  </protectedRanges>
  <mergeCells count="1">
    <mergeCell ref="A3:H3"/>
  </mergeCells>
  <pageMargins left="0.75" right="0.75" top="1" bottom="1" header="0.4921259845" footer="0.4921259845"/>
  <pageSetup paperSize="9" scale="97" orientation="portrait" r:id="rId1"/>
  <headerFooter alignWithMargins="0"/>
  <ignoredErrors>
    <ignoredError sqref="A1" unlockedFormula="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CDFD4-7E0F-47C9-B740-3C5D800D290A}">
  <sheetPr>
    <tabColor theme="4" tint="0.39997558519241921"/>
    <pageSetUpPr fitToPage="1"/>
  </sheetPr>
  <dimension ref="A1:O97"/>
  <sheetViews>
    <sheetView zoomScaleNormal="100" workbookViewId="0"/>
  </sheetViews>
  <sheetFormatPr defaultColWidth="9.140625" defaultRowHeight="12.75" x14ac:dyDescent="0.2"/>
  <cols>
    <col min="1" max="4" width="2.7109375" style="36" customWidth="1"/>
    <col min="5" max="5" width="27.7109375" style="36" customWidth="1"/>
    <col min="6" max="6" width="14" style="36" customWidth="1"/>
    <col min="7" max="7" width="17.42578125" style="36" customWidth="1"/>
    <col min="8" max="8" width="13.7109375" style="36" customWidth="1"/>
    <col min="9" max="9" width="15.42578125" style="36" customWidth="1"/>
    <col min="10" max="10" width="8.7109375" style="36" customWidth="1"/>
    <col min="11" max="11" width="12.7109375" style="36" customWidth="1"/>
    <col min="12" max="12" width="9.140625" style="36"/>
    <col min="13" max="13" width="12.5703125" style="173" customWidth="1"/>
    <col min="14" max="14" width="47.7109375" style="36" customWidth="1"/>
    <col min="15" max="15" width="14.28515625" style="36" bestFit="1" customWidth="1"/>
    <col min="16" max="16384" width="9.140625" style="36"/>
  </cols>
  <sheetData>
    <row r="1" spans="1:12" ht="16.5" x14ac:dyDescent="0.3">
      <c r="A1" s="172" t="str">
        <f>'2.Yhteenveto'!A1</f>
        <v>2.12.2025, Kuntaliitto / Olli Riikonen</v>
      </c>
      <c r="E1" s="151"/>
      <c r="K1" s="77"/>
    </row>
    <row r="2" spans="1:12" ht="15" x14ac:dyDescent="0.3">
      <c r="A2" s="40" t="s">
        <v>662</v>
      </c>
      <c r="E2" s="67"/>
      <c r="L2" s="174"/>
    </row>
    <row r="3" spans="1:12" ht="18.75" x14ac:dyDescent="0.3">
      <c r="B3" s="376" t="s">
        <v>170</v>
      </c>
      <c r="C3" s="376"/>
      <c r="D3" s="376"/>
      <c r="E3" s="376"/>
      <c r="F3" s="376"/>
      <c r="G3" s="376"/>
      <c r="H3" s="376"/>
      <c r="I3" s="376"/>
      <c r="J3" s="376"/>
      <c r="K3" s="376"/>
      <c r="L3" s="174"/>
    </row>
    <row r="4" spans="1:12" ht="25.9" customHeight="1" x14ac:dyDescent="0.2">
      <c r="B4" s="175"/>
      <c r="K4" s="174"/>
    </row>
    <row r="5" spans="1:12" ht="15" x14ac:dyDescent="0.3">
      <c r="B5" s="40" t="s">
        <v>46</v>
      </c>
      <c r="E5" s="224"/>
      <c r="F5" s="39" t="s">
        <v>171</v>
      </c>
    </row>
    <row r="6" spans="1:12" ht="15" x14ac:dyDescent="0.3">
      <c r="E6" s="38"/>
      <c r="F6" s="39" t="s">
        <v>172</v>
      </c>
    </row>
    <row r="7" spans="1:12" ht="15" x14ac:dyDescent="0.3">
      <c r="F7" s="39"/>
    </row>
    <row r="8" spans="1:12" ht="15" x14ac:dyDescent="0.3">
      <c r="E8" s="37" t="s">
        <v>663</v>
      </c>
      <c r="F8" s="73"/>
    </row>
    <row r="9" spans="1:12" ht="15" x14ac:dyDescent="0.3">
      <c r="B9" s="40"/>
      <c r="E9" s="248" t="s">
        <v>632</v>
      </c>
      <c r="F9" s="73"/>
    </row>
    <row r="10" spans="1:12" ht="15" x14ac:dyDescent="0.3">
      <c r="B10" s="40"/>
      <c r="E10" s="306" t="s">
        <v>634</v>
      </c>
      <c r="F10" s="73"/>
    </row>
    <row r="11" spans="1:12" ht="15" x14ac:dyDescent="0.3">
      <c r="B11" s="40"/>
      <c r="E11" s="305" t="s">
        <v>633</v>
      </c>
      <c r="F11" s="39"/>
    </row>
    <row r="12" spans="1:12" ht="15" x14ac:dyDescent="0.3">
      <c r="B12" s="40"/>
      <c r="E12" s="248"/>
      <c r="F12" s="73"/>
    </row>
    <row r="13" spans="1:12" x14ac:dyDescent="0.2">
      <c r="B13" s="68" t="s">
        <v>9</v>
      </c>
      <c r="F13" s="74" t="str">
        <f>'2.Yhteenveto'!G10</f>
        <v>Akaa</v>
      </c>
    </row>
    <row r="14" spans="1:12" x14ac:dyDescent="0.2">
      <c r="B14" s="68" t="str">
        <f>'2.Yhteenveto'!B11</f>
        <v>Asukasluku 31.12.2024:</v>
      </c>
      <c r="F14" s="75">
        <f>'2.Yhteenveto'!$H$11</f>
        <v>16387</v>
      </c>
    </row>
    <row r="15" spans="1:12" ht="15" x14ac:dyDescent="0.3">
      <c r="C15" s="54"/>
      <c r="G15" s="40"/>
      <c r="K15" s="41"/>
    </row>
    <row r="16" spans="1:12" x14ac:dyDescent="0.2">
      <c r="B16" s="41" t="s">
        <v>173</v>
      </c>
      <c r="K16" s="99"/>
    </row>
    <row r="17" spans="2:15" x14ac:dyDescent="0.2">
      <c r="E17" s="54"/>
      <c r="F17" s="113"/>
      <c r="H17" s="176"/>
      <c r="I17" s="176"/>
      <c r="K17" s="99"/>
    </row>
    <row r="18" spans="2:15" ht="14.25" x14ac:dyDescent="0.3">
      <c r="C18" s="36" t="s">
        <v>174</v>
      </c>
      <c r="G18" s="67" t="s">
        <v>175</v>
      </c>
      <c r="K18" s="221">
        <f>'8.Lukio'!J55</f>
        <v>0</v>
      </c>
    </row>
    <row r="19" spans="2:15" ht="14.25" x14ac:dyDescent="0.3">
      <c r="C19" s="36" t="s">
        <v>176</v>
      </c>
      <c r="G19" s="67" t="s">
        <v>177</v>
      </c>
      <c r="K19" s="225"/>
    </row>
    <row r="20" spans="2:15" x14ac:dyDescent="0.2">
      <c r="K20" s="222"/>
    </row>
    <row r="21" spans="2:15" x14ac:dyDescent="0.2">
      <c r="B21" s="167" t="s">
        <v>178</v>
      </c>
      <c r="C21" s="168"/>
      <c r="D21" s="168"/>
      <c r="E21" s="168"/>
      <c r="F21" s="177"/>
      <c r="G21" s="168"/>
      <c r="H21" s="178"/>
      <c r="I21" s="178"/>
      <c r="J21" s="168"/>
      <c r="K21" s="22">
        <f>SUM(K18:K19)</f>
        <v>0</v>
      </c>
    </row>
    <row r="22" spans="2:15" x14ac:dyDescent="0.2">
      <c r="K22" s="222"/>
    </row>
    <row r="23" spans="2:15" x14ac:dyDescent="0.2">
      <c r="B23" s="41" t="s">
        <v>179</v>
      </c>
      <c r="K23" s="222"/>
    </row>
    <row r="24" spans="2:15" x14ac:dyDescent="0.2">
      <c r="B24" s="41"/>
      <c r="K24" s="222"/>
    </row>
    <row r="25" spans="2:15" x14ac:dyDescent="0.2">
      <c r="C25" s="36" t="s">
        <v>180</v>
      </c>
      <c r="F25" s="130"/>
      <c r="G25" s="321">
        <v>-108.33</v>
      </c>
      <c r="H25" s="36" t="s">
        <v>23</v>
      </c>
      <c r="J25" s="99"/>
      <c r="K25" s="222">
        <f>G25*$F$14</f>
        <v>-1775203.71</v>
      </c>
      <c r="O25" s="180"/>
    </row>
    <row r="26" spans="2:15" x14ac:dyDescent="0.2">
      <c r="C26" s="36" t="s">
        <v>181</v>
      </c>
      <c r="F26" s="130"/>
      <c r="G26" s="321">
        <v>-200.8</v>
      </c>
      <c r="H26" s="36" t="s">
        <v>23</v>
      </c>
      <c r="J26" s="99"/>
      <c r="K26" s="222">
        <f>G26*$F$14</f>
        <v>-3290509.6</v>
      </c>
      <c r="O26" s="180"/>
    </row>
    <row r="27" spans="2:15" ht="15" x14ac:dyDescent="0.3">
      <c r="C27" s="40"/>
      <c r="F27" s="130"/>
      <c r="G27" s="130"/>
      <c r="J27" s="99"/>
      <c r="K27" s="222"/>
      <c r="O27" s="180"/>
    </row>
    <row r="28" spans="2:15" x14ac:dyDescent="0.2">
      <c r="B28" s="167" t="s">
        <v>182</v>
      </c>
      <c r="C28" s="168"/>
      <c r="D28" s="168"/>
      <c r="E28" s="168"/>
      <c r="F28" s="181"/>
      <c r="G28" s="181"/>
      <c r="H28" s="322">
        <f>SUM(G25:G26)</f>
        <v>-309.13</v>
      </c>
      <c r="I28" s="178" t="s">
        <v>23</v>
      </c>
      <c r="J28" s="168"/>
      <c r="K28" s="22">
        <f>SUM(K25:K26)</f>
        <v>-5065713.3100000005</v>
      </c>
    </row>
    <row r="29" spans="2:15" ht="14.25" x14ac:dyDescent="0.2">
      <c r="E29" s="45"/>
      <c r="F29" s="130"/>
      <c r="G29" s="130"/>
      <c r="K29" s="6"/>
    </row>
    <row r="30" spans="2:15" x14ac:dyDescent="0.2">
      <c r="B30" s="41" t="s">
        <v>667</v>
      </c>
      <c r="F30" s="130"/>
      <c r="G30" s="130"/>
      <c r="K30" s="10"/>
    </row>
    <row r="31" spans="2:15" x14ac:dyDescent="0.2">
      <c r="B31" s="36" t="s">
        <v>666</v>
      </c>
      <c r="F31" s="130"/>
      <c r="G31" s="130"/>
      <c r="H31" s="182"/>
      <c r="I31" s="113"/>
      <c r="K31" s="10"/>
    </row>
    <row r="32" spans="2:15" ht="15" x14ac:dyDescent="0.3">
      <c r="G32" s="247"/>
      <c r="H32" s="183"/>
      <c r="K32" s="10"/>
    </row>
    <row r="33" spans="2:15" x14ac:dyDescent="0.2">
      <c r="B33" s="36" t="s">
        <v>183</v>
      </c>
      <c r="F33" s="179">
        <v>8833.75</v>
      </c>
      <c r="G33" s="130"/>
      <c r="K33" s="10"/>
    </row>
    <row r="34" spans="2:15" ht="13.5" thickBot="1" x14ac:dyDescent="0.25">
      <c r="B34" s="48" t="s">
        <v>184</v>
      </c>
      <c r="C34" s="48"/>
      <c r="D34" s="48"/>
      <c r="E34" s="48"/>
      <c r="F34" s="218">
        <f>-160.78-33.3-41.99-84.7</f>
        <v>-320.77</v>
      </c>
      <c r="G34" s="130"/>
      <c r="I34" s="113"/>
      <c r="K34" s="10"/>
    </row>
    <row r="35" spans="2:15" ht="13.5" thickTop="1" x14ac:dyDescent="0.2">
      <c r="B35" s="36" t="s">
        <v>664</v>
      </c>
      <c r="F35" s="217">
        <f>F33+F34</f>
        <v>8512.98</v>
      </c>
      <c r="H35" s="69"/>
      <c r="K35" s="10"/>
    </row>
    <row r="36" spans="2:15" x14ac:dyDescent="0.2">
      <c r="B36" s="36" t="s">
        <v>185</v>
      </c>
      <c r="F36" s="184">
        <v>1</v>
      </c>
      <c r="K36" s="10"/>
    </row>
    <row r="37" spans="2:15" ht="15" x14ac:dyDescent="0.3">
      <c r="F37" s="76"/>
      <c r="G37" s="77"/>
      <c r="H37" s="77"/>
      <c r="I37" s="76"/>
      <c r="J37" s="77"/>
      <c r="K37" s="23"/>
    </row>
    <row r="38" spans="2:15" ht="15" x14ac:dyDescent="0.2">
      <c r="F38" s="249" t="s">
        <v>626</v>
      </c>
      <c r="G38" s="249" t="s">
        <v>186</v>
      </c>
      <c r="H38" s="249"/>
      <c r="I38" s="249" t="s">
        <v>187</v>
      </c>
      <c r="K38" s="250" t="s">
        <v>15</v>
      </c>
    </row>
    <row r="39" spans="2:15" x14ac:dyDescent="0.2">
      <c r="B39" s="41" t="s">
        <v>188</v>
      </c>
      <c r="K39" s="10"/>
      <c r="L39" s="248" t="s">
        <v>665</v>
      </c>
    </row>
    <row r="40" spans="2:15" ht="15" x14ac:dyDescent="0.3">
      <c r="C40" s="36" t="s">
        <v>623</v>
      </c>
      <c r="F40" s="113">
        <f>F35</f>
        <v>8512.98</v>
      </c>
      <c r="G40" s="40" t="s">
        <v>657</v>
      </c>
      <c r="H40" s="224"/>
      <c r="I40" s="108">
        <v>4.76</v>
      </c>
      <c r="K40" s="222">
        <f>F40*H40*I40*$F$36</f>
        <v>0</v>
      </c>
      <c r="N40" s="248"/>
    </row>
    <row r="41" spans="2:15" ht="15" x14ac:dyDescent="0.3">
      <c r="C41" s="36" t="s">
        <v>624</v>
      </c>
      <c r="F41" s="113">
        <f>F35</f>
        <v>8512.98</v>
      </c>
      <c r="G41" s="40" t="s">
        <v>657</v>
      </c>
      <c r="H41" s="224"/>
      <c r="I41" s="108">
        <v>2.97</v>
      </c>
      <c r="K41" s="222">
        <f>F41*H41*I41*$F$36</f>
        <v>0</v>
      </c>
    </row>
    <row r="42" spans="2:15" ht="15" x14ac:dyDescent="0.3">
      <c r="C42" s="36" t="s">
        <v>625</v>
      </c>
      <c r="F42" s="113">
        <f>F35</f>
        <v>8512.98</v>
      </c>
      <c r="G42" s="40" t="s">
        <v>657</v>
      </c>
      <c r="H42" s="224"/>
      <c r="I42" s="108">
        <v>1.41</v>
      </c>
      <c r="K42" s="222">
        <f>F42*H42*I42*$F$36</f>
        <v>0</v>
      </c>
    </row>
    <row r="43" spans="2:15" ht="15" x14ac:dyDescent="0.3">
      <c r="F43" s="113"/>
      <c r="G43" s="40"/>
      <c r="H43" s="162"/>
      <c r="I43" s="108"/>
      <c r="K43" s="222"/>
    </row>
    <row r="44" spans="2:15" ht="15" x14ac:dyDescent="0.3">
      <c r="B44" s="41" t="s">
        <v>191</v>
      </c>
      <c r="F44" s="113"/>
      <c r="G44" s="40"/>
      <c r="I44" s="108"/>
      <c r="K44" s="222"/>
    </row>
    <row r="45" spans="2:15" ht="15" x14ac:dyDescent="0.3">
      <c r="C45" s="36" t="s">
        <v>627</v>
      </c>
      <c r="F45" s="113">
        <f>F35</f>
        <v>8512.98</v>
      </c>
      <c r="G45" s="40" t="s">
        <v>658</v>
      </c>
      <c r="H45" s="224"/>
      <c r="I45" s="197">
        <v>4.5999999999999999E-2</v>
      </c>
      <c r="K45" s="222">
        <f>ROUND(F45*I45*$F$36,2)*H45</f>
        <v>0</v>
      </c>
      <c r="L45" s="36" t="s">
        <v>671</v>
      </c>
    </row>
    <row r="46" spans="2:15" ht="15.75" x14ac:dyDescent="0.3">
      <c r="C46" s="36" t="s">
        <v>628</v>
      </c>
      <c r="F46" s="113">
        <v>205.82</v>
      </c>
      <c r="G46" s="40" t="s">
        <v>658</v>
      </c>
      <c r="H46" s="224"/>
      <c r="I46" s="319"/>
      <c r="K46" s="222">
        <f>F46*H46</f>
        <v>0</v>
      </c>
      <c r="L46" s="36" t="s">
        <v>670</v>
      </c>
      <c r="N46" s="69"/>
      <c r="O46" s="69"/>
    </row>
    <row r="47" spans="2:15" x14ac:dyDescent="0.2">
      <c r="I47" s="108"/>
      <c r="K47" s="222"/>
    </row>
    <row r="48" spans="2:15" ht="15" x14ac:dyDescent="0.3">
      <c r="B48" s="41" t="s">
        <v>583</v>
      </c>
      <c r="F48" s="113">
        <v>3100</v>
      </c>
      <c r="G48" s="40" t="s">
        <v>657</v>
      </c>
      <c r="H48" s="224"/>
      <c r="I48" s="108"/>
      <c r="K48" s="222">
        <f>F48*H48</f>
        <v>0</v>
      </c>
      <c r="L48" s="247"/>
    </row>
    <row r="49" spans="2:14" ht="15" x14ac:dyDescent="0.3">
      <c r="C49" s="41"/>
      <c r="G49" s="40"/>
      <c r="H49" s="40"/>
      <c r="I49" s="108"/>
      <c r="K49" s="222"/>
    </row>
    <row r="50" spans="2:14" ht="15" x14ac:dyDescent="0.3">
      <c r="B50" s="41" t="s">
        <v>584</v>
      </c>
      <c r="F50" s="113">
        <f>F35</f>
        <v>8512.98</v>
      </c>
      <c r="G50" s="40" t="s">
        <v>659</v>
      </c>
      <c r="H50" s="224"/>
      <c r="I50" s="108">
        <v>0.186</v>
      </c>
      <c r="K50" s="222">
        <f>ROUND(F50*I50*$F$36,2)*H50</f>
        <v>0</v>
      </c>
      <c r="L50" s="36" t="s">
        <v>669</v>
      </c>
    </row>
    <row r="51" spans="2:14" x14ac:dyDescent="0.2">
      <c r="D51" s="219"/>
      <c r="I51" s="108"/>
      <c r="K51" s="222"/>
      <c r="L51" s="99"/>
    </row>
    <row r="52" spans="2:14" ht="15" x14ac:dyDescent="0.3">
      <c r="B52" s="41" t="s">
        <v>189</v>
      </c>
      <c r="F52" s="113">
        <f>F35</f>
        <v>8512.98</v>
      </c>
      <c r="G52" s="40"/>
      <c r="H52" s="224"/>
      <c r="I52" s="108">
        <v>0.46</v>
      </c>
      <c r="K52" s="222">
        <f>F52*H52*I52*$F$36</f>
        <v>0</v>
      </c>
      <c r="N52" s="248"/>
    </row>
    <row r="53" spans="2:14" ht="15" x14ac:dyDescent="0.3">
      <c r="B53" s="41" t="s">
        <v>190</v>
      </c>
      <c r="F53" s="113">
        <f>F35</f>
        <v>8512.98</v>
      </c>
      <c r="G53" s="40"/>
      <c r="H53" s="224"/>
      <c r="I53" s="108">
        <v>1.86</v>
      </c>
      <c r="K53" s="222">
        <f>F53*H53*I53*$F$36</f>
        <v>0</v>
      </c>
    </row>
    <row r="54" spans="2:14" x14ac:dyDescent="0.2">
      <c r="D54" s="219"/>
      <c r="J54" s="130"/>
      <c r="K54" s="222"/>
      <c r="L54" s="99"/>
    </row>
    <row r="55" spans="2:14" ht="13.5" thickBot="1" x14ac:dyDescent="0.25">
      <c r="B55" s="252" t="s">
        <v>192</v>
      </c>
      <c r="C55" s="253"/>
      <c r="D55" s="254"/>
      <c r="E55" s="252"/>
      <c r="F55" s="253"/>
      <c r="G55" s="253"/>
      <c r="H55" s="253"/>
      <c r="I55" s="253"/>
      <c r="J55" s="255"/>
      <c r="K55" s="256">
        <f>SUM(K39:K50)</f>
        <v>0</v>
      </c>
    </row>
    <row r="56" spans="2:14" x14ac:dyDescent="0.2">
      <c r="B56" s="41"/>
      <c r="E56" s="41"/>
      <c r="J56" s="130"/>
      <c r="K56" s="251"/>
    </row>
    <row r="57" spans="2:14" x14ac:dyDescent="0.2">
      <c r="K57" s="10"/>
    </row>
    <row r="58" spans="2:14" x14ac:dyDescent="0.2">
      <c r="B58" s="41" t="s">
        <v>193</v>
      </c>
      <c r="E58" s="41"/>
      <c r="F58" s="41"/>
      <c r="H58" s="41"/>
      <c r="I58" s="41"/>
      <c r="J58" s="41"/>
      <c r="K58" s="10"/>
    </row>
    <row r="59" spans="2:14" ht="15" x14ac:dyDescent="0.3">
      <c r="F59" s="76"/>
      <c r="G59" s="76"/>
      <c r="H59" s="76"/>
      <c r="I59" s="76"/>
      <c r="J59" s="76"/>
      <c r="K59" s="18"/>
    </row>
    <row r="60" spans="2:14" ht="15" x14ac:dyDescent="0.3">
      <c r="F60" s="76" t="s">
        <v>626</v>
      </c>
      <c r="G60" s="76" t="s">
        <v>186</v>
      </c>
      <c r="H60" s="76" t="s">
        <v>629</v>
      </c>
      <c r="I60" s="76" t="s">
        <v>630</v>
      </c>
      <c r="J60" s="76"/>
      <c r="K60" s="18" t="s">
        <v>15</v>
      </c>
    </row>
    <row r="61" spans="2:14" x14ac:dyDescent="0.2">
      <c r="F61" s="41"/>
      <c r="H61" s="41"/>
      <c r="I61" s="41"/>
      <c r="J61" s="41"/>
      <c r="K61" s="10"/>
    </row>
    <row r="62" spans="2:14" ht="15" x14ac:dyDescent="0.3">
      <c r="C62" s="41" t="s">
        <v>194</v>
      </c>
      <c r="F62" s="185">
        <v>22.37</v>
      </c>
      <c r="G62" s="40" t="s">
        <v>195</v>
      </c>
      <c r="H62" s="224"/>
      <c r="I62" s="186">
        <v>0.56999999999999995</v>
      </c>
      <c r="J62" s="41"/>
      <c r="K62" s="222">
        <f>F62*H62*I62</f>
        <v>0</v>
      </c>
      <c r="L62" s="36" t="s">
        <v>668</v>
      </c>
    </row>
    <row r="63" spans="2:14" ht="15" x14ac:dyDescent="0.3">
      <c r="F63" s="185"/>
      <c r="G63" s="40"/>
      <c r="K63" s="222"/>
    </row>
    <row r="64" spans="2:14" ht="15" x14ac:dyDescent="0.3">
      <c r="C64" s="41" t="s">
        <v>196</v>
      </c>
      <c r="F64" s="185">
        <v>96.41</v>
      </c>
      <c r="G64" s="40" t="s">
        <v>197</v>
      </c>
      <c r="H64" s="224"/>
      <c r="I64" s="186">
        <v>0.56999999999999995</v>
      </c>
      <c r="J64" s="108"/>
      <c r="K64" s="222">
        <f>F64*H64*I64</f>
        <v>0</v>
      </c>
      <c r="L64" s="36" t="s">
        <v>672</v>
      </c>
    </row>
    <row r="65" spans="3:13" ht="15" x14ac:dyDescent="0.3">
      <c r="F65" s="185"/>
      <c r="G65" s="40"/>
      <c r="H65" s="40"/>
      <c r="I65" s="186"/>
      <c r="J65" s="108"/>
      <c r="K65" s="222"/>
    </row>
    <row r="66" spans="3:13" ht="15" x14ac:dyDescent="0.3">
      <c r="C66" s="41" t="s">
        <v>198</v>
      </c>
      <c r="F66" s="185">
        <v>103.69</v>
      </c>
      <c r="G66" s="40" t="s">
        <v>197</v>
      </c>
      <c r="H66" s="224"/>
      <c r="I66" s="186">
        <v>0.56999999999999995</v>
      </c>
      <c r="K66" s="222">
        <f>F66*H66*I66</f>
        <v>0</v>
      </c>
      <c r="L66" s="36" t="s">
        <v>672</v>
      </c>
    </row>
    <row r="67" spans="3:13" ht="15" x14ac:dyDescent="0.3">
      <c r="C67" s="41"/>
      <c r="F67" s="185">
        <v>103.69</v>
      </c>
      <c r="G67" s="40" t="s">
        <v>197</v>
      </c>
      <c r="H67" s="224"/>
      <c r="I67" s="186">
        <v>1</v>
      </c>
      <c r="K67" s="222">
        <f>F67*H67*I67</f>
        <v>0</v>
      </c>
      <c r="L67" s="187"/>
    </row>
    <row r="68" spans="3:13" x14ac:dyDescent="0.2">
      <c r="F68" s="185"/>
      <c r="K68" s="222"/>
      <c r="M68" s="188"/>
    </row>
    <row r="69" spans="3:13" ht="14.25" x14ac:dyDescent="0.3">
      <c r="C69" s="41" t="s">
        <v>199</v>
      </c>
      <c r="F69" s="185">
        <v>321.20999999999998</v>
      </c>
      <c r="G69" s="52" t="s">
        <v>200</v>
      </c>
      <c r="H69" s="224"/>
      <c r="I69" s="186">
        <v>0.56999999999999995</v>
      </c>
      <c r="K69" s="222">
        <f>F69*H69*I69</f>
        <v>0</v>
      </c>
      <c r="L69" s="187"/>
    </row>
    <row r="70" spans="3:13" ht="14.25" x14ac:dyDescent="0.3">
      <c r="C70" s="41"/>
      <c r="F70" s="185">
        <v>321.20999999999998</v>
      </c>
      <c r="G70" s="52" t="s">
        <v>200</v>
      </c>
      <c r="H70" s="224"/>
      <c r="I70" s="186">
        <v>1</v>
      </c>
      <c r="K70" s="222">
        <f>F70*H70*I70</f>
        <v>0</v>
      </c>
      <c r="L70" s="187"/>
    </row>
    <row r="71" spans="3:13" ht="14.25" x14ac:dyDescent="0.3">
      <c r="C71" s="41"/>
      <c r="F71" s="185">
        <v>321.20999999999998</v>
      </c>
      <c r="G71" s="52" t="s">
        <v>200</v>
      </c>
      <c r="H71" s="224"/>
      <c r="I71" s="186">
        <v>1</v>
      </c>
      <c r="K71" s="222"/>
      <c r="L71" s="187"/>
    </row>
    <row r="72" spans="3:13" ht="14.25" x14ac:dyDescent="0.3">
      <c r="C72" s="41"/>
      <c r="F72" s="185"/>
      <c r="G72" s="52"/>
      <c r="H72" s="186"/>
      <c r="I72" s="186"/>
      <c r="K72" s="222"/>
    </row>
    <row r="73" spans="3:13" ht="15" x14ac:dyDescent="0.3">
      <c r="C73" s="41" t="s">
        <v>201</v>
      </c>
      <c r="F73" s="185">
        <v>156.94</v>
      </c>
      <c r="G73" s="40" t="s">
        <v>197</v>
      </c>
      <c r="H73" s="224"/>
      <c r="I73" s="186">
        <v>0.56999999999999995</v>
      </c>
      <c r="K73" s="222">
        <f>F73*H73*I73</f>
        <v>0</v>
      </c>
    </row>
    <row r="74" spans="3:13" ht="15" x14ac:dyDescent="0.3">
      <c r="C74" s="41"/>
      <c r="F74" s="185">
        <v>156.93</v>
      </c>
      <c r="G74" s="40" t="s">
        <v>197</v>
      </c>
      <c r="H74" s="224"/>
      <c r="I74" s="186">
        <v>1</v>
      </c>
      <c r="K74" s="222">
        <f>F74*H74*I74</f>
        <v>0</v>
      </c>
      <c r="L74" s="187"/>
    </row>
    <row r="75" spans="3:13" ht="15" x14ac:dyDescent="0.3">
      <c r="F75" s="185"/>
      <c r="G75" s="40"/>
      <c r="K75" s="222"/>
    </row>
    <row r="76" spans="3:13" ht="15" x14ac:dyDescent="0.3">
      <c r="C76" s="41" t="s">
        <v>202</v>
      </c>
      <c r="F76" s="185">
        <v>123.12</v>
      </c>
      <c r="G76" s="40" t="s">
        <v>203</v>
      </c>
      <c r="H76" s="224"/>
      <c r="I76" s="186">
        <v>0.65</v>
      </c>
      <c r="K76" s="222">
        <f>F76*H76*I76</f>
        <v>0</v>
      </c>
    </row>
    <row r="77" spans="3:13" ht="15" x14ac:dyDescent="0.3">
      <c r="F77" s="185"/>
      <c r="G77" s="40"/>
      <c r="K77" s="222"/>
    </row>
    <row r="78" spans="3:13" ht="15" x14ac:dyDescent="0.3">
      <c r="C78" s="41" t="s">
        <v>204</v>
      </c>
      <c r="F78" s="185">
        <v>12</v>
      </c>
      <c r="G78" s="40" t="s">
        <v>23</v>
      </c>
      <c r="H78" s="99">
        <f>F14</f>
        <v>16387</v>
      </c>
      <c r="I78" s="107">
        <v>0.29699999999999999</v>
      </c>
      <c r="J78" s="108"/>
      <c r="K78" s="222">
        <f>F78*H78*I78</f>
        <v>58403.267999999996</v>
      </c>
    </row>
    <row r="79" spans="3:13" ht="15" x14ac:dyDescent="0.3">
      <c r="F79" s="185"/>
      <c r="G79" s="40"/>
      <c r="J79" s="108"/>
      <c r="K79" s="222"/>
      <c r="M79" s="182"/>
    </row>
    <row r="80" spans="3:13" ht="15" x14ac:dyDescent="0.3">
      <c r="C80" s="41" t="s">
        <v>205</v>
      </c>
      <c r="F80" s="185">
        <v>15</v>
      </c>
      <c r="G80" s="40" t="s">
        <v>206</v>
      </c>
      <c r="H80" s="99">
        <f>INDEX(OKMvos_alle29v,MATCH($F$13,kunta,0),1,1)</f>
        <v>4502</v>
      </c>
      <c r="I80" s="107">
        <v>0.29699999999999999</v>
      </c>
      <c r="J80" s="108"/>
      <c r="K80" s="222">
        <f>F80*H80*I80</f>
        <v>20056.41</v>
      </c>
    </row>
    <row r="81" spans="2:13" ht="15" x14ac:dyDescent="0.3">
      <c r="F81" s="185"/>
      <c r="G81" s="40"/>
      <c r="J81" s="108"/>
      <c r="K81" s="222"/>
      <c r="M81" s="182"/>
    </row>
    <row r="82" spans="2:13" ht="15" x14ac:dyDescent="0.3">
      <c r="C82" s="41" t="s">
        <v>207</v>
      </c>
      <c r="F82" s="189">
        <v>93394</v>
      </c>
      <c r="G82" s="40" t="s">
        <v>607</v>
      </c>
      <c r="H82" s="224"/>
      <c r="I82" s="186">
        <v>0.37</v>
      </c>
      <c r="J82" s="108"/>
      <c r="K82" s="222">
        <f>F82*H82*I82</f>
        <v>0</v>
      </c>
    </row>
    <row r="83" spans="2:13" ht="15" x14ac:dyDescent="0.3">
      <c r="F83" s="189"/>
      <c r="G83" s="40"/>
      <c r="H83" s="99"/>
      <c r="J83" s="108"/>
      <c r="K83" s="222"/>
    </row>
    <row r="84" spans="2:13" ht="15" x14ac:dyDescent="0.3">
      <c r="C84" s="41" t="s">
        <v>208</v>
      </c>
      <c r="F84" s="189">
        <v>68199</v>
      </c>
      <c r="G84" s="40" t="s">
        <v>607</v>
      </c>
      <c r="H84" s="224"/>
      <c r="I84" s="186">
        <v>0.37</v>
      </c>
      <c r="J84" s="108"/>
      <c r="K84" s="222">
        <f>F84*H84*I84</f>
        <v>0</v>
      </c>
    </row>
    <row r="85" spans="2:13" ht="15" x14ac:dyDescent="0.3">
      <c r="F85" s="189"/>
      <c r="G85" s="40"/>
      <c r="H85" s="99"/>
      <c r="J85" s="108"/>
      <c r="K85" s="222"/>
    </row>
    <row r="86" spans="2:13" ht="15" x14ac:dyDescent="0.3">
      <c r="C86" s="41" t="s">
        <v>209</v>
      </c>
      <c r="F86" s="189">
        <v>61018</v>
      </c>
      <c r="G86" s="40" t="s">
        <v>607</v>
      </c>
      <c r="H86" s="224"/>
      <c r="I86" s="186">
        <v>0.37</v>
      </c>
      <c r="J86" s="108"/>
      <c r="K86" s="222">
        <f>F86*H86*I86</f>
        <v>0</v>
      </c>
    </row>
    <row r="87" spans="2:13" ht="15" x14ac:dyDescent="0.3">
      <c r="D87" s="219"/>
      <c r="G87" s="40"/>
      <c r="K87" s="222"/>
    </row>
    <row r="88" spans="2:13" ht="13.5" thickBot="1" x14ac:dyDescent="0.25">
      <c r="B88" s="257" t="s">
        <v>210</v>
      </c>
      <c r="C88" s="253"/>
      <c r="D88" s="254"/>
      <c r="E88" s="252"/>
      <c r="F88" s="253"/>
      <c r="G88" s="253"/>
      <c r="H88" s="253"/>
      <c r="I88" s="253"/>
      <c r="J88" s="253"/>
      <c r="K88" s="258">
        <f>SUM(K62:K87)</f>
        <v>78459.678</v>
      </c>
    </row>
    <row r="89" spans="2:13" x14ac:dyDescent="0.2">
      <c r="K89" s="222"/>
    </row>
    <row r="90" spans="2:13" x14ac:dyDescent="0.2">
      <c r="K90" s="222"/>
    </row>
    <row r="91" spans="2:13" ht="15.75" x14ac:dyDescent="0.25">
      <c r="B91" s="259" t="s">
        <v>211</v>
      </c>
      <c r="C91" s="260"/>
      <c r="D91" s="260"/>
      <c r="E91" s="261"/>
      <c r="F91" s="260"/>
      <c r="G91" s="260"/>
      <c r="H91" s="260"/>
      <c r="I91" s="260"/>
      <c r="J91" s="260"/>
      <c r="K91" s="262">
        <f>K21+K28+K55+K88</f>
        <v>-4987253.6320000002</v>
      </c>
    </row>
    <row r="92" spans="2:13" x14ac:dyDescent="0.2">
      <c r="B92" s="54" t="s">
        <v>212</v>
      </c>
      <c r="K92" s="222">
        <f>K21</f>
        <v>0</v>
      </c>
    </row>
    <row r="93" spans="2:13" x14ac:dyDescent="0.2">
      <c r="B93" s="54" t="s">
        <v>213</v>
      </c>
      <c r="K93" s="222">
        <f>K55</f>
        <v>0</v>
      </c>
    </row>
    <row r="94" spans="2:13" x14ac:dyDescent="0.2">
      <c r="B94" s="190" t="s">
        <v>214</v>
      </c>
      <c r="C94" s="191"/>
      <c r="D94" s="191"/>
      <c r="E94" s="191"/>
      <c r="F94" s="191"/>
      <c r="G94" s="191"/>
      <c r="H94" s="191"/>
      <c r="I94" s="191"/>
      <c r="J94" s="191"/>
      <c r="K94" s="223">
        <f>K88</f>
        <v>78459.678</v>
      </c>
    </row>
    <row r="95" spans="2:13" x14ac:dyDescent="0.2">
      <c r="B95" s="54" t="s">
        <v>215</v>
      </c>
      <c r="K95" s="222">
        <f>SUM(K92:K94)</f>
        <v>78459.678</v>
      </c>
    </row>
    <row r="96" spans="2:13" x14ac:dyDescent="0.2">
      <c r="B96" s="54" t="s">
        <v>216</v>
      </c>
      <c r="K96" s="220">
        <f>K25</f>
        <v>-1775203.71</v>
      </c>
    </row>
    <row r="97" spans="2:11" x14ac:dyDescent="0.2">
      <c r="B97" s="54" t="s">
        <v>217</v>
      </c>
      <c r="K97" s="220">
        <f>K26</f>
        <v>-3290509.6</v>
      </c>
    </row>
  </sheetData>
  <protectedRanges>
    <protectedRange sqref="K19" name="Alue5_1"/>
    <protectedRange sqref="F15" name="Alue1_1"/>
    <protectedRange sqref="J76 J69:J74 J66:J67" name="Alue9_1_2"/>
    <protectedRange sqref="H62:H64 H73:H86 H69:H71 H66:H67" name="Alue8_1_2"/>
    <protectedRange sqref="L69 F62:F63" name="Alue7_1_2"/>
    <protectedRange sqref="H48 H50 H52:H53 H40:H46" name="Alue5_1_2"/>
    <protectedRange sqref="F33:F36" name="Alue4_1_2"/>
    <protectedRange sqref="G25:G26" name="Alue3_1_3"/>
    <protectedRange sqref="F64 F66:F67 F73:F86 F69:F71" name="Alue7_1_2_2"/>
  </protectedRanges>
  <mergeCells count="1">
    <mergeCell ref="B3:K3"/>
  </mergeCells>
  <phoneticPr fontId="49" type="noConversion"/>
  <hyperlinks>
    <hyperlink ref="E9" r:id="rId1" display="https://vos.oph.fi/rap/vos/v25/vop6os25.html" xr:uid="{41CACEDF-C78C-43CD-84D8-9D0903B70E10}"/>
    <hyperlink ref="E11" r:id="rId2" display="https://www.oph.fi/fi/tilastot-ja-julkaisut/julkaisut/opetus-ja-kulttuuritoimen-rahoitus-yksikkohintojen-ja-rahoituksen-9" xr:uid="{235DEFA2-394D-4C40-BF62-7406D6B4DE4E}"/>
    <hyperlink ref="L39" r:id="rId3" display="https://www.oph.fi/fi/koulutus-ja-tutkinnot/pidennetty-oppivelvollisuus" xr:uid="{3A321AFB-F292-46B9-8CF8-94E77363CF2B}"/>
  </hyperlinks>
  <pageMargins left="0.75" right="0.75" top="1" bottom="1" header="0.4921259845" footer="0.4921259845"/>
  <pageSetup paperSize="9" scale="81" fitToHeight="0" orientation="portrait" r:id="rId4"/>
  <headerFooter alignWithMargins="0"/>
  <rowBreaks count="1" manualBreakCount="1">
    <brk id="57" max="10" man="1"/>
  </rowBreaks>
  <ignoredErrors>
    <ignoredError sqref="A1" unlockedFormula="1"/>
  </ignoredErrors>
  <drawing r:id="rId5"/>
  <legacyDrawing r:id="rId6"/>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BA1D1-F973-4E15-B9F2-A815F5CB0D22}">
  <sheetPr>
    <tabColor theme="4" tint="0.39997558519241921"/>
    <pageSetUpPr fitToPage="1"/>
  </sheetPr>
  <dimension ref="A1:U56"/>
  <sheetViews>
    <sheetView zoomScale="110" zoomScaleNormal="110" workbookViewId="0"/>
  </sheetViews>
  <sheetFormatPr defaultColWidth="9.140625" defaultRowHeight="12.75" x14ac:dyDescent="0.2"/>
  <cols>
    <col min="1" max="4" width="3" style="36" customWidth="1"/>
    <col min="5" max="5" width="14.140625" style="36" customWidth="1"/>
    <col min="6" max="7" width="10" style="36" customWidth="1"/>
    <col min="8" max="8" width="11.5703125" style="36" customWidth="1"/>
    <col min="9" max="9" width="17.85546875" style="36" bestFit="1" customWidth="1"/>
    <col min="10" max="10" width="22.85546875" style="36" customWidth="1"/>
    <col min="11" max="11" width="26.42578125" style="36" customWidth="1"/>
    <col min="12" max="12" width="21.42578125" style="36" customWidth="1"/>
    <col min="13" max="16" width="9.140625" style="36"/>
    <col min="17" max="17" width="9.7109375" style="36" bestFit="1" customWidth="1"/>
    <col min="18" max="16384" width="9.140625" style="36"/>
  </cols>
  <sheetData>
    <row r="1" spans="1:21" s="51" customFormat="1" ht="14.25" x14ac:dyDescent="0.3">
      <c r="A1" s="35" t="str">
        <f>'2.Yhteenveto'!A1</f>
        <v>2.12.2025, Kuntaliitto / Olli Riikonen</v>
      </c>
      <c r="E1" s="316"/>
      <c r="L1" s="317"/>
      <c r="M1" s="318"/>
    </row>
    <row r="2" spans="1:21" ht="14.25" x14ac:dyDescent="0.3">
      <c r="E2" s="67"/>
    </row>
    <row r="3" spans="1:21" ht="18.75" x14ac:dyDescent="0.3">
      <c r="B3" s="376" t="s">
        <v>218</v>
      </c>
      <c r="C3" s="376"/>
      <c r="D3" s="376"/>
      <c r="E3" s="376"/>
      <c r="F3" s="376"/>
      <c r="G3" s="376"/>
      <c r="H3" s="376"/>
      <c r="I3" s="376"/>
      <c r="J3" s="376"/>
      <c r="K3" s="236"/>
      <c r="L3" s="174"/>
    </row>
    <row r="4" spans="1:21" x14ac:dyDescent="0.2">
      <c r="B4" s="192"/>
    </row>
    <row r="5" spans="1:21" ht="14.25" x14ac:dyDescent="0.3">
      <c r="B5" s="67" t="s">
        <v>46</v>
      </c>
      <c r="E5" s="235"/>
      <c r="F5" s="73" t="s">
        <v>219</v>
      </c>
      <c r="L5" s="174"/>
      <c r="U5" s="42" t="s">
        <v>652</v>
      </c>
    </row>
    <row r="6" spans="1:21" ht="14.25" x14ac:dyDescent="0.3">
      <c r="E6" s="38"/>
      <c r="F6" s="73" t="s">
        <v>220</v>
      </c>
      <c r="U6" s="42" t="s">
        <v>653</v>
      </c>
    </row>
    <row r="7" spans="1:21" x14ac:dyDescent="0.2">
      <c r="H7" s="69"/>
    </row>
    <row r="8" spans="1:21" x14ac:dyDescent="0.2">
      <c r="B8" s="68" t="s">
        <v>9</v>
      </c>
      <c r="F8" s="74" t="str">
        <f>'2.Yhteenveto'!G10</f>
        <v>Akaa</v>
      </c>
      <c r="H8" s="69"/>
    </row>
    <row r="9" spans="1:21" x14ac:dyDescent="0.2">
      <c r="B9" s="68" t="str">
        <f>'2.Yhteenveto'!B11</f>
        <v>Asukasluku 31.12.2024:</v>
      </c>
      <c r="F9" s="75">
        <f>'2.Yhteenveto'!$H$11</f>
        <v>16387</v>
      </c>
      <c r="H9" s="69"/>
    </row>
    <row r="10" spans="1:21" x14ac:dyDescent="0.2">
      <c r="B10" s="68"/>
      <c r="F10" s="75"/>
      <c r="H10" s="69"/>
    </row>
    <row r="11" spans="1:21" ht="15" x14ac:dyDescent="0.3">
      <c r="B11" s="308" t="s">
        <v>636</v>
      </c>
      <c r="F11" s="75"/>
      <c r="H11" s="69"/>
    </row>
    <row r="12" spans="1:21" x14ac:dyDescent="0.2">
      <c r="B12" s="307" t="s">
        <v>635</v>
      </c>
      <c r="H12" s="193"/>
    </row>
    <row r="13" spans="1:21" x14ac:dyDescent="0.2">
      <c r="B13" s="248"/>
      <c r="H13" s="193"/>
    </row>
    <row r="14" spans="1:21" ht="15.75" x14ac:dyDescent="0.25">
      <c r="B14" s="41" t="s">
        <v>221</v>
      </c>
      <c r="E14" s="151"/>
    </row>
    <row r="15" spans="1:21" x14ac:dyDescent="0.2">
      <c r="F15" s="54"/>
    </row>
    <row r="16" spans="1:21" x14ac:dyDescent="0.2">
      <c r="C16" s="36" t="s">
        <v>222</v>
      </c>
      <c r="H16" s="112">
        <v>8953.4699999999993</v>
      </c>
    </row>
    <row r="17" spans="3:12" ht="15" x14ac:dyDescent="0.3">
      <c r="C17" s="36" t="s">
        <v>223</v>
      </c>
      <c r="H17" s="38">
        <v>0.9455654</v>
      </c>
      <c r="I17" s="43"/>
      <c r="K17" s="320"/>
      <c r="L17" s="194"/>
    </row>
    <row r="18" spans="3:12" ht="15" x14ac:dyDescent="0.3">
      <c r="I18" s="43"/>
      <c r="K18" s="36" t="s">
        <v>660</v>
      </c>
      <c r="L18" s="194"/>
    </row>
    <row r="19" spans="3:12" x14ac:dyDescent="0.2">
      <c r="H19" s="195"/>
      <c r="J19" s="80" t="s">
        <v>651</v>
      </c>
      <c r="K19" s="313" t="s">
        <v>653</v>
      </c>
    </row>
    <row r="20" spans="3:12" ht="15" x14ac:dyDescent="0.3">
      <c r="I20" s="196"/>
    </row>
    <row r="21" spans="3:12" ht="16.5" x14ac:dyDescent="0.3">
      <c r="I21" s="196" t="s">
        <v>637</v>
      </c>
      <c r="J21" s="76" t="s">
        <v>654</v>
      </c>
      <c r="K21" s="76" t="s">
        <v>655</v>
      </c>
      <c r="L21" s="76" t="s">
        <v>656</v>
      </c>
    </row>
    <row r="22" spans="3:12" ht="14.25" x14ac:dyDescent="0.2">
      <c r="C22" s="36" t="s">
        <v>638</v>
      </c>
      <c r="I22" s="235">
        <v>0</v>
      </c>
      <c r="J22" s="312">
        <f>IF(K19="Kyllä",IF(AND(I22&gt;59,I22&lt;201),100+(200-I22)*0.4,IF(AND(I22&gt;0,I22&lt;60),156+(60-I22)*2.5,IF(I22&gt;200,100,0))),IF(I22&gt;199,100,IF(AND(I22&lt;200,I22&gt;59),100+(200-I22)*0.2,IF(AND(I22&lt;60,I22&gt;39),128+(60-I22)*1.25,IF(AND(I22&lt;40,I22&gt;0),153,0)))))</f>
        <v>0</v>
      </c>
      <c r="K22" s="314">
        <f>IF(I22=0,0,IF(I22&lt;40,206,IF(I22&lt;60,100+0.4*(200-I22)+2.1*(60-I22),IF(I22&lt;200,100+0.4*(200-I22),IF(I22&gt;199,100)))))</f>
        <v>0</v>
      </c>
      <c r="L22" s="315">
        <f>J22*0.33+K22*0.67</f>
        <v>0</v>
      </c>
    </row>
    <row r="23" spans="3:12" ht="14.25" x14ac:dyDescent="0.2">
      <c r="C23" s="36" t="s">
        <v>639</v>
      </c>
      <c r="I23" s="235">
        <v>0</v>
      </c>
      <c r="J23" s="312">
        <f>IF(K19="Kyllä",IF(AND(I23&gt;59,I23&lt;201),100+(200-I23)*0.4,IF(AND(I23&gt;0,I23&lt;60),156+(60-I23)*2.5,IF(I23&gt;200,100,0))),IF(I23&gt;199,100,IF(AND(I23&lt;200,I23&gt;59),100+(200-I23)*0.2,IF(AND(I23&lt;60,I23&gt;39),128+(60-I23)*1.25,IF(AND(I23&lt;40,I23&gt;0),153,0)))))</f>
        <v>0</v>
      </c>
      <c r="K23" s="314">
        <f>IF(I23=0,0,IF(I23&lt;40,206,IF(I23&lt;60,100+0.4*(200-I23)+2.1*(60-I23),IF(I23&lt;200,100+0.4*(200-I23),IF(I23&gt;199,100)))))</f>
        <v>0</v>
      </c>
      <c r="L23" s="315">
        <f t="shared" ref="L23" si="0">J23*0.33+K23*0.67</f>
        <v>0</v>
      </c>
    </row>
    <row r="24" spans="3:12" x14ac:dyDescent="0.2">
      <c r="C24" s="36" t="s">
        <v>225</v>
      </c>
      <c r="I24" s="99">
        <f>I22+I23</f>
        <v>0</v>
      </c>
      <c r="L24" s="159"/>
    </row>
    <row r="25" spans="3:12" ht="15.75" x14ac:dyDescent="0.3">
      <c r="C25" s="52" t="s">
        <v>640</v>
      </c>
      <c r="H25" s="195"/>
    </row>
    <row r="26" spans="3:12" x14ac:dyDescent="0.2">
      <c r="H26" s="195"/>
    </row>
    <row r="27" spans="3:12" x14ac:dyDescent="0.2">
      <c r="C27" s="36" t="s">
        <v>226</v>
      </c>
      <c r="H27" s="195"/>
      <c r="J27" s="197">
        <f>IF(I24=0,100,((I22*L22+I23*L23)/I24))</f>
        <v>100</v>
      </c>
    </row>
    <row r="28" spans="3:12" x14ac:dyDescent="0.2">
      <c r="H28" s="195"/>
    </row>
    <row r="29" spans="3:12" x14ac:dyDescent="0.2">
      <c r="C29" s="36" t="s">
        <v>227</v>
      </c>
      <c r="H29" s="195"/>
      <c r="J29" s="113">
        <f>IF(I24=0,H16*H17,H16*H17*J27/100)</f>
        <v>8466.0914419379988</v>
      </c>
    </row>
    <row r="30" spans="3:12" x14ac:dyDescent="0.2">
      <c r="H30" s="195"/>
    </row>
    <row r="31" spans="3:12" ht="15" x14ac:dyDescent="0.3">
      <c r="C31" s="36" t="s">
        <v>228</v>
      </c>
      <c r="H31" s="195"/>
      <c r="J31" s="235">
        <v>0</v>
      </c>
      <c r="K31" s="198" t="s">
        <v>229</v>
      </c>
    </row>
    <row r="32" spans="3:12" x14ac:dyDescent="0.2">
      <c r="H32" s="195"/>
    </row>
    <row r="33" spans="2:10" x14ac:dyDescent="0.2">
      <c r="B33" s="199" t="s">
        <v>230</v>
      </c>
      <c r="C33" s="200"/>
      <c r="D33" s="200"/>
      <c r="E33" s="200"/>
      <c r="F33" s="200"/>
      <c r="G33" s="200"/>
      <c r="H33" s="201"/>
      <c r="I33" s="24">
        <f>ROUND(J29+(J29*J31/100),2)</f>
        <v>8466.09</v>
      </c>
      <c r="J33" s="202" t="s">
        <v>231</v>
      </c>
    </row>
    <row r="34" spans="2:10" x14ac:dyDescent="0.2">
      <c r="B34" s="137" t="s">
        <v>232</v>
      </c>
      <c r="C34" s="203"/>
      <c r="D34" s="203"/>
      <c r="E34" s="203"/>
      <c r="F34" s="203"/>
      <c r="G34" s="203"/>
      <c r="H34" s="204"/>
      <c r="I34" s="25">
        <f>ROUND(0.633*I33,2)</f>
        <v>5359.03</v>
      </c>
      <c r="J34" s="139" t="s">
        <v>231</v>
      </c>
    </row>
    <row r="35" spans="2:10" x14ac:dyDescent="0.2">
      <c r="H35" s="195"/>
    </row>
    <row r="36" spans="2:10" x14ac:dyDescent="0.2">
      <c r="H36" s="195"/>
    </row>
    <row r="37" spans="2:10" x14ac:dyDescent="0.2">
      <c r="H37" s="195"/>
    </row>
    <row r="38" spans="2:10" ht="15.75" x14ac:dyDescent="0.25">
      <c r="B38" s="41" t="s">
        <v>233</v>
      </c>
      <c r="E38" s="151"/>
      <c r="H38" s="195"/>
    </row>
    <row r="39" spans="2:10" x14ac:dyDescent="0.2">
      <c r="H39" s="195"/>
    </row>
    <row r="40" spans="2:10" ht="15" x14ac:dyDescent="0.3">
      <c r="H40" s="196" t="s">
        <v>224</v>
      </c>
      <c r="I40" s="76" t="s">
        <v>234</v>
      </c>
    </row>
    <row r="41" spans="2:10" ht="15" x14ac:dyDescent="0.3">
      <c r="H41" s="196" t="s">
        <v>51</v>
      </c>
      <c r="I41" s="76" t="s">
        <v>235</v>
      </c>
    </row>
    <row r="42" spans="2:10" x14ac:dyDescent="0.2">
      <c r="C42" s="36" t="s">
        <v>236</v>
      </c>
      <c r="H42" s="235"/>
      <c r="I42" s="235"/>
    </row>
    <row r="43" spans="2:10" x14ac:dyDescent="0.2">
      <c r="H43" s="195"/>
    </row>
    <row r="44" spans="2:10" x14ac:dyDescent="0.2">
      <c r="C44" s="36" t="s">
        <v>237</v>
      </c>
      <c r="H44" s="195"/>
      <c r="J44" s="235"/>
    </row>
    <row r="45" spans="2:10" x14ac:dyDescent="0.2">
      <c r="H45" s="195"/>
    </row>
    <row r="46" spans="2:10" x14ac:dyDescent="0.2">
      <c r="H46" s="195"/>
    </row>
    <row r="47" spans="2:10" x14ac:dyDescent="0.2">
      <c r="C47" s="36" t="s">
        <v>238</v>
      </c>
      <c r="H47" s="195"/>
      <c r="J47" s="99">
        <f>I33*H42</f>
        <v>0</v>
      </c>
    </row>
    <row r="48" spans="2:10" x14ac:dyDescent="0.2">
      <c r="C48" s="36" t="s">
        <v>239</v>
      </c>
      <c r="H48" s="195"/>
      <c r="J48" s="99">
        <f>I34*I42</f>
        <v>0</v>
      </c>
    </row>
    <row r="49" spans="2:11" x14ac:dyDescent="0.2">
      <c r="C49" s="36" t="s">
        <v>240</v>
      </c>
      <c r="H49" s="195"/>
      <c r="J49" s="99">
        <f>I34*J44</f>
        <v>0</v>
      </c>
    </row>
    <row r="50" spans="2:11" x14ac:dyDescent="0.2">
      <c r="H50" s="195"/>
      <c r="J50" s="99"/>
    </row>
    <row r="51" spans="2:11" ht="14.25" x14ac:dyDescent="0.3">
      <c r="B51" s="67" t="s">
        <v>241</v>
      </c>
    </row>
    <row r="52" spans="2:11" ht="14.25" x14ac:dyDescent="0.3">
      <c r="B52" s="67" t="s">
        <v>242</v>
      </c>
    </row>
    <row r="53" spans="2:11" ht="14.25" x14ac:dyDescent="0.3">
      <c r="B53" s="67" t="s">
        <v>243</v>
      </c>
    </row>
    <row r="54" spans="2:11" x14ac:dyDescent="0.2">
      <c r="H54" s="195"/>
      <c r="J54" s="99"/>
    </row>
    <row r="55" spans="2:11" ht="15" x14ac:dyDescent="0.2">
      <c r="B55" s="71" t="s">
        <v>244</v>
      </c>
      <c r="C55" s="72"/>
      <c r="D55" s="72"/>
      <c r="E55" s="87"/>
      <c r="F55" s="72"/>
      <c r="G55" s="72"/>
      <c r="H55" s="205"/>
      <c r="I55" s="72"/>
      <c r="J55" s="110">
        <f>SUM(J47:J50)</f>
        <v>0</v>
      </c>
      <c r="K55" s="206" t="s">
        <v>245</v>
      </c>
    </row>
    <row r="56" spans="2:11" x14ac:dyDescent="0.2">
      <c r="H56" s="195"/>
    </row>
  </sheetData>
  <protectedRanges>
    <protectedRange sqref="J44" name="Alue5_1"/>
    <protectedRange sqref="H42:I42" name="Alue4_1"/>
    <protectedRange sqref="J31" name="Alue3_1"/>
    <protectedRange sqref="I22:I23" name="Alue2_1"/>
    <protectedRange sqref="H16:H18" name="Alue1_1"/>
  </protectedRanges>
  <mergeCells count="1">
    <mergeCell ref="B3:J3"/>
  </mergeCells>
  <dataValidations count="1">
    <dataValidation type="list" allowBlank="1" showInputMessage="1" showErrorMessage="1" sqref="K19" xr:uid="{A8383868-9FA0-4BFA-9829-F2BA3FCD00A2}">
      <formula1>Syrjäkö?</formula1>
    </dataValidation>
  </dataValidations>
  <hyperlinks>
    <hyperlink ref="B12" r:id="rId1" display="https://www.kuntaliitto.fi/blogi/2025/lukiokoulutuksen-rahoitusjarjestelma-muuttuu" xr:uid="{5AED928F-33A5-456C-85FF-2354169F56B0}"/>
  </hyperlinks>
  <pageMargins left="0.75" right="0.75" top="1" bottom="1" header="0.4921259845" footer="0.4921259845"/>
  <pageSetup paperSize="9" fitToHeight="0" orientation="portrait" r:id="rId2"/>
  <headerFooter alignWithMargins="0"/>
  <ignoredErrors>
    <ignoredError sqref="A1" unlockedFormula="1"/>
  </ignoredError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Asiakirja" ma:contentTypeID="0x010100050E8C7C1423A147B0CFE2687E431904" ma:contentTypeVersion="5" ma:contentTypeDescription="Luo uusi asiakirja." ma:contentTypeScope="" ma:versionID="b0575af6e019d289b94d839d662db622">
  <xsd:schema xmlns:xsd="http://www.w3.org/2001/XMLSchema" xmlns:xs="http://www.w3.org/2001/XMLSchema" xmlns:p="http://schemas.microsoft.com/office/2006/metadata/properties" xmlns:ns2="455c1241-f20e-46f7-91d3-351e7d896d9a" xmlns:ns3="cc0ae28a-bf7a-4aeb-a26c-8012678ad371" targetNamespace="http://schemas.microsoft.com/office/2006/metadata/properties" ma:root="true" ma:fieldsID="326bfb6f963aaaff1566379a418be6a9" ns2:_="" ns3:_="">
    <xsd:import namespace="455c1241-f20e-46f7-91d3-351e7d896d9a"/>
    <xsd:import namespace="cc0ae28a-bf7a-4aeb-a26c-8012678ad37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5c1241-f20e-46f7-91d3-351e7d896d9a" elementFormDefault="qualified">
    <xsd:import namespace="http://schemas.microsoft.com/office/2006/documentManagement/types"/>
    <xsd:import namespace="http://schemas.microsoft.com/office/infopath/2007/PartnerControls"/>
    <xsd:element name="SharedWithUsers" ma:index="8"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Jakamisen tiedot"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0ae28a-bf7a-4aeb-a26c-8012678ad37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E1D6DA-792B-477A-BEB1-DFE13B20777B}">
  <ds:schemaRefs>
    <ds:schemaRef ds:uri="http://schemas.microsoft.com/sharepoint/v3/contenttype/forms"/>
  </ds:schemaRefs>
</ds:datastoreItem>
</file>

<file path=customXml/itemProps2.xml><?xml version="1.0" encoding="utf-8"?>
<ds:datastoreItem xmlns:ds="http://schemas.openxmlformats.org/officeDocument/2006/customXml" ds:itemID="{69D28DDB-56BA-4294-93FF-083D1E16236F}">
  <ds:schemaRefs>
    <ds:schemaRef ds:uri="http://www.w3.org/XML/1998/namespace"/>
    <ds:schemaRef ds:uri="http://schemas.microsoft.com/office/infopath/2007/PartnerControls"/>
    <ds:schemaRef ds:uri="http://purl.org/dc/dcmitype/"/>
    <ds:schemaRef ds:uri="http://purl.org/dc/elements/1.1/"/>
    <ds:schemaRef ds:uri="55a2cc34-794c-4dc7-898e-8fa2029c8187"/>
    <ds:schemaRef ds:uri="http://schemas.microsoft.com/office/2006/metadata/properties"/>
    <ds:schemaRef ds:uri="http://purl.org/dc/terms/"/>
    <ds:schemaRef ds:uri="http://schemas.microsoft.com/office/2006/documentManagement/types"/>
    <ds:schemaRef ds:uri="http://schemas.openxmlformats.org/package/2006/metadata/core-properties"/>
    <ds:schemaRef ds:uri="ab5ad7e9-ff32-4915-8f05-2a6d5c545421"/>
  </ds:schemaRefs>
</ds:datastoreItem>
</file>

<file path=customXml/itemProps3.xml><?xml version="1.0" encoding="utf-8"?>
<ds:datastoreItem xmlns:ds="http://schemas.openxmlformats.org/officeDocument/2006/customXml" ds:itemID="{0B697406-64FE-4096-AB5B-27597E5997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5c1241-f20e-46f7-91d3-351e7d896d9a"/>
    <ds:schemaRef ds:uri="cc0ae28a-bf7a-4aeb-a26c-8012678ad3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36e5d61-1ada-438e-901c-5e7398a51c1f}" enabled="0" method="" siteId="{436e5d61-1ada-438e-901c-5e7398a51c1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11</vt:i4>
      </vt:variant>
      <vt:variant>
        <vt:lpstr>Nimetyt alueet</vt:lpstr>
      </vt:variant>
      <vt:variant>
        <vt:i4>63</vt:i4>
      </vt:variant>
    </vt:vector>
  </HeadingPairs>
  <TitlesOfParts>
    <vt:vector size="74" baseType="lpstr">
      <vt:lpstr>Tietoa aineistosta</vt:lpstr>
      <vt:lpstr>1.Käyttöohjeet</vt:lpstr>
      <vt:lpstr>2.Yhteenveto</vt:lpstr>
      <vt:lpstr>3.Ikärakenne</vt:lpstr>
      <vt:lpstr>4.Muut lask. kustannukset</vt:lpstr>
      <vt:lpstr>5.Lisäosat</vt:lpstr>
      <vt:lpstr>6.Vähennykset ja lisäykset</vt:lpstr>
      <vt:lpstr>7.OKM-vos</vt:lpstr>
      <vt:lpstr>8.Lukio</vt:lpstr>
      <vt:lpstr>9. Kaaviot</vt:lpstr>
      <vt:lpstr>tiedot</vt:lpstr>
      <vt:lpstr>ikar_0_5</vt:lpstr>
      <vt:lpstr>ikar_16</vt:lpstr>
      <vt:lpstr>ikar_18_64</vt:lpstr>
      <vt:lpstr>ikar_2</vt:lpstr>
      <vt:lpstr>ikar_3</vt:lpstr>
      <vt:lpstr>ikar_4</vt:lpstr>
      <vt:lpstr>kotikuntakorvaus</vt:lpstr>
      <vt:lpstr>kunta</vt:lpstr>
      <vt:lpstr>kuntanumero</vt:lpstr>
      <vt:lpstr>lo1_syrjäisyysluku</vt:lpstr>
      <vt:lpstr>lo2_työpaikat</vt:lpstr>
      <vt:lpstr>lo3_työlliset</vt:lpstr>
      <vt:lpstr>lo4_hyte</vt:lpstr>
      <vt:lpstr>lo5_asukasmäärän_kasvu</vt:lpstr>
      <vt:lpstr>lo6_saamelaiskunta</vt:lpstr>
      <vt:lpstr>lo7_saamenkieliset</vt:lpstr>
      <vt:lpstr>muutla_30_54_v</vt:lpstr>
      <vt:lpstr>muutla_ilman_tutkintoa</vt:lpstr>
      <vt:lpstr>muutla_kaksikielisyys</vt:lpstr>
      <vt:lpstr>muutla_maapinta_ala</vt:lpstr>
      <vt:lpstr>muutla_ruotsinkieliset</vt:lpstr>
      <vt:lpstr>muutla_saaristoasema</vt:lpstr>
      <vt:lpstr>muutla_saaristolaiset</vt:lpstr>
      <vt:lpstr>muutla_työttömät</vt:lpstr>
      <vt:lpstr>muutla_työttömät_ja_palveluissa</vt:lpstr>
      <vt:lpstr>muutla_työvoima</vt:lpstr>
      <vt:lpstr>muutla_vieraskieliset</vt:lpstr>
      <vt:lpstr>OKMvos</vt:lpstr>
      <vt:lpstr>OKMvos_alle29v</vt:lpstr>
      <vt:lpstr>Syrjäkö?</vt:lpstr>
      <vt:lpstr>'1.Käyttöohjeet'!Tulostusalue</vt:lpstr>
      <vt:lpstr>'2.Yhteenveto'!Tulostusalue</vt:lpstr>
      <vt:lpstr>'7.OKM-vos'!Tulostusalue</vt:lpstr>
      <vt:lpstr>verotuloihin_perustuva_vos_tasaus</vt:lpstr>
      <vt:lpstr>verotulomenetysten_korvaus</vt:lpstr>
      <vt:lpstr>vl_10</vt:lpstr>
      <vt:lpstr>vl_11</vt:lpstr>
      <vt:lpstr>vl_12</vt:lpstr>
      <vt:lpstr>vl_13</vt:lpstr>
      <vt:lpstr>vl_14</vt:lpstr>
      <vt:lpstr>vl_19</vt:lpstr>
      <vt:lpstr>vl_2</vt:lpstr>
      <vt:lpstr>vl_22</vt:lpstr>
      <vt:lpstr>vl_23</vt:lpstr>
      <vt:lpstr>vl_24</vt:lpstr>
      <vt:lpstr>vl_25</vt:lpstr>
      <vt:lpstr>vl_26</vt:lpstr>
      <vt:lpstr>vl_27</vt:lpstr>
      <vt:lpstr>vl_28</vt:lpstr>
      <vt:lpstr>vl_9</vt:lpstr>
      <vt:lpstr>vl_etuuskompensaatio</vt:lpstr>
      <vt:lpstr>vl_sote_järjestelmämuutoksen_tasaus</vt:lpstr>
      <vt:lpstr>vl_sote_lisäsiirto</vt:lpstr>
      <vt:lpstr>vl_sote_lisäsiirto2023</vt:lpstr>
      <vt:lpstr>vl_sote_lisäsiirto2024</vt:lpstr>
      <vt:lpstr>vl_sote_muutosrajoitin</vt:lpstr>
      <vt:lpstr>vl_TE_porrastus</vt:lpstr>
      <vt:lpstr>vl_toimeentulotuki</vt:lpstr>
      <vt:lpstr>vl_valtionosuusjärjestelmän_säästö_2</vt:lpstr>
      <vt:lpstr>vl_vos_kehysriihisäästö</vt:lpstr>
      <vt:lpstr>vos_maks</vt:lpstr>
      <vt:lpstr>vos_maksatus</vt:lpstr>
      <vt:lpstr>vosC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KUNTALIITTO Excel Template</dc:title>
  <dc:creator>Riikonen Olli</dc:creator>
  <cp:lastModifiedBy>Riikonen Olli</cp:lastModifiedBy>
  <cp:lastPrinted>2021-04-22T10:06:15Z</cp:lastPrinted>
  <dcterms:created xsi:type="dcterms:W3CDTF">2016-10-23T13:00:51Z</dcterms:created>
  <dcterms:modified xsi:type="dcterms:W3CDTF">2025-12-03T11:09:59Z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0x010100050E8C7C1423A147B0CFE2687E431904</vt:lpwstr>
  </property>
</Properties>
</file>